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comments8.xml" ContentType="application/vnd.openxmlformats-officedocument.spreadsheetml.comments+xml"/>
  <Override PartName="/xl/drawings/drawing13.xml" ContentType="application/vnd.openxmlformats-officedocument.drawing+xml"/>
  <Override PartName="/xl/comments9.xml" ContentType="application/vnd.openxmlformats-officedocument.spreadsheetml.comments+xml"/>
  <Override PartName="/xl/drawings/drawing14.xml" ContentType="application/vnd.openxmlformats-officedocument.drawing+xml"/>
  <Override PartName="/xl/comments10.xml" ContentType="application/vnd.openxmlformats-officedocument.spreadsheetml.comments+xml"/>
  <Override PartName="/xl/drawings/drawing15.xml" ContentType="application/vnd.openxmlformats-officedocument.drawing+xml"/>
  <Override PartName="/xl/comments11.xml" ContentType="application/vnd.openxmlformats-officedocument.spreadsheetml.comments+xml"/>
  <Override PartName="/xl/drawings/drawing16.xml" ContentType="application/vnd.openxmlformats-officedocument.drawing+xml"/>
  <Override PartName="/xl/comments12.xml" ContentType="application/vnd.openxmlformats-officedocument.spreadsheetml.comments+xml"/>
  <Override PartName="/xl/drawings/drawing17.xml" ContentType="application/vnd.openxmlformats-officedocument.drawing+xml"/>
  <Override PartName="/xl/comments13.xml" ContentType="application/vnd.openxmlformats-officedocument.spreadsheetml.comments+xml"/>
  <Override PartName="/xl/drawings/drawing18.xml" ContentType="application/vnd.openxmlformats-officedocument.drawing+xml"/>
  <Override PartName="/xl/comments14.xml" ContentType="application/vnd.openxmlformats-officedocument.spreadsheetml.comments+xml"/>
  <Override PartName="/xl/drawings/drawing19.xml" ContentType="application/vnd.openxmlformats-officedocument.drawing+xml"/>
  <Override PartName="/xl/comments15.xml" ContentType="application/vnd.openxmlformats-officedocument.spreadsheetml.comments+xml"/>
  <Override PartName="/xl/drawings/drawing20.xml" ContentType="application/vnd.openxmlformats-officedocument.drawing+xml"/>
  <Override PartName="/xl/comments16.xml" ContentType="application/vnd.openxmlformats-officedocument.spreadsheetml.comments+xml"/>
  <Override PartName="/xl/drawings/drawing21.xml" ContentType="application/vnd.openxmlformats-officedocument.drawing+xml"/>
  <Override PartName="/xl/comments17.xml" ContentType="application/vnd.openxmlformats-officedocument.spreadsheetml.comments+xml"/>
  <Override PartName="/xl/drawings/drawing22.xml" ContentType="application/vnd.openxmlformats-officedocument.drawing+xml"/>
  <Override PartName="/xl/comments18.xml" ContentType="application/vnd.openxmlformats-officedocument.spreadsheetml.comments+xml"/>
  <Override PartName="/xl/drawings/drawing23.xml" ContentType="application/vnd.openxmlformats-officedocument.drawing+xml"/>
  <Override PartName="/xl/comments19.xml" ContentType="application/vnd.openxmlformats-officedocument.spreadsheetml.comments+xml"/>
  <Override PartName="/xl/drawings/drawing24.xml" ContentType="application/vnd.openxmlformats-officedocument.drawing+xml"/>
  <Override PartName="/xl/comments20.xml" ContentType="application/vnd.openxmlformats-officedocument.spreadsheetml.comments+xml"/>
  <Override PartName="/xl/drawings/drawing25.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1840" windowHeight="12435" firstSheet="2" activeTab="6"/>
  </bookViews>
  <sheets>
    <sheet name="Apresentação" sheetId="4" state="hidden" r:id="rId1"/>
    <sheet name="Culturas" sheetId="28" state="hidden" r:id="rId2"/>
    <sheet name="Adubos e corretivos" sheetId="6" r:id="rId3"/>
    <sheet name="Análise de solo" sheetId="32" state="hidden" r:id="rId4"/>
    <sheet name="Análise foliar" sheetId="34" state="hidden" r:id="rId5"/>
    <sheet name="Abacate formação" sheetId="1" r:id="rId6"/>
    <sheet name="Abacate produção" sheetId="7" r:id="rId7"/>
    <sheet name="Abacaxi produção" sheetId="24" state="hidden" r:id="rId8"/>
    <sheet name="Acerola formação" sheetId="8" state="hidden" r:id="rId9"/>
    <sheet name="Acerola produção" sheetId="11" state="hidden" r:id="rId10"/>
    <sheet name="Banana formação" sheetId="22" state="hidden" r:id="rId11"/>
    <sheet name="Banana produção" sheetId="23" state="hidden" r:id="rId12"/>
    <sheet name="Citros formação" sheetId="10" state="hidden" r:id="rId13"/>
    <sheet name="Citros produção" sheetId="12" state="hidden" r:id="rId14"/>
    <sheet name="Goiaba formação" sheetId="13" state="hidden" r:id="rId15"/>
    <sheet name="Goiaba produção" sheetId="14" state="hidden" r:id="rId16"/>
    <sheet name="Graviola formação" sheetId="15" state="hidden" r:id="rId17"/>
    <sheet name="Graviola produção" sheetId="16" state="hidden" r:id="rId18"/>
    <sheet name="Mamão produção" sheetId="25" state="hidden" r:id="rId19"/>
    <sheet name="Manga formação" sheetId="17" state="hidden" r:id="rId20"/>
    <sheet name="Manga produção" sheetId="18" state="hidden" r:id="rId21"/>
    <sheet name="Maracujá produção" sheetId="19" state="hidden" r:id="rId22"/>
    <sheet name="Pitaya formação" sheetId="26" state="hidden" r:id="rId23"/>
    <sheet name="Pitaya produção" sheetId="27" state="hidden" r:id="rId24"/>
    <sheet name="Pupunha formação e produção" sheetId="20" state="hidden" r:id="rId25"/>
    <sheet name="Seringueira formação e produção" sheetId="21" state="hidden" r:id="rId26"/>
    <sheet name="Saturação de base e PRNT" sheetId="29" state="hidden" r:id="rId27"/>
    <sheet name="Espaçamentos" sheetId="33" state="hidden" r:id="rId28"/>
    <sheet name="Conversão de unidades" sheetId="31" state="hidden" r:id="rId29"/>
  </sheets>
  <definedNames>
    <definedName name="_xlnm.Print_Area" localSheetId="5">'Abacate formação'!$B$1:$I$67</definedName>
    <definedName name="_xlnm.Print_Area" localSheetId="6">'Abacate produção'!$A$1:$J$113</definedName>
    <definedName name="_xlnm.Print_Area" localSheetId="7">'Abacaxi produção'!$B$1:$I$67</definedName>
    <definedName name="_xlnm.Print_Area" localSheetId="8">'Acerola formação'!$B$1:$I$67</definedName>
    <definedName name="_xlnm.Print_Area" localSheetId="9">'Acerola produção'!$B$1:$I$67</definedName>
    <definedName name="_xlnm.Print_Area" localSheetId="3">'Análise de solo'!$B$1:$I$67</definedName>
    <definedName name="_xlnm.Print_Area" localSheetId="4">'Análise foliar'!$B$1:$I$67</definedName>
    <definedName name="_xlnm.Print_Area" localSheetId="10">'Banana formação'!$B$1:$I$67</definedName>
    <definedName name="_xlnm.Print_Area" localSheetId="11">'Banana produção'!$B$1:$I$67</definedName>
    <definedName name="_xlnm.Print_Area" localSheetId="12">'Citros formação'!$B$1:$I$67</definedName>
    <definedName name="_xlnm.Print_Area" localSheetId="13">'Citros produção'!$B$1:$I$67</definedName>
    <definedName name="_xlnm.Print_Area" localSheetId="14">'Goiaba formação'!$B$1:$I$67</definedName>
    <definedName name="_xlnm.Print_Area" localSheetId="15">'Goiaba produção'!$B$1:$I$67</definedName>
    <definedName name="_xlnm.Print_Area" localSheetId="16">'Graviola formação'!$B$1:$I$67</definedName>
    <definedName name="_xlnm.Print_Area" localSheetId="17">'Graviola produção'!$B$1:$I$67</definedName>
    <definedName name="_xlnm.Print_Area" localSheetId="18">'Mamão produção'!$B$1:$I$67</definedName>
    <definedName name="_xlnm.Print_Area" localSheetId="19">'Manga formação'!$B$1:$I$67</definedName>
    <definedName name="_xlnm.Print_Area" localSheetId="20">'Manga produção'!$B$1:$I$67</definedName>
    <definedName name="_xlnm.Print_Area" localSheetId="21">'Maracujá produção'!$B$1:$I$67</definedName>
    <definedName name="_xlnm.Print_Area" localSheetId="22">'Pitaya formação'!$B$1:$I$67</definedName>
    <definedName name="_xlnm.Print_Area" localSheetId="23">'Pitaya produção'!$B$1:$I$67</definedName>
    <definedName name="_xlnm.Print_Area" localSheetId="24">'Pupunha formação e produção'!$B$1:$I$67</definedName>
    <definedName name="_xlnm.Print_Area" localSheetId="25">'Seringueira formação e produção'!$B$1:$I$67</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28" i="7" l="1"/>
  <c r="Q126" i="7"/>
  <c r="I18" i="7" l="1"/>
  <c r="D11" i="6" l="1"/>
  <c r="AQ20" i="7" l="1"/>
  <c r="AQ19" i="7"/>
  <c r="AQ18" i="7"/>
  <c r="AQ14" i="7"/>
  <c r="AQ13" i="7"/>
  <c r="AQ12" i="7"/>
  <c r="D63" i="6"/>
  <c r="F128" i="6"/>
  <c r="AK37" i="7" l="1"/>
  <c r="AU59" i="7" s="1"/>
  <c r="AL37" i="7"/>
  <c r="AK30" i="7"/>
  <c r="AU52" i="7" s="1"/>
  <c r="AL30" i="7"/>
  <c r="AK31" i="7"/>
  <c r="AU53" i="7" s="1"/>
  <c r="AL31" i="7"/>
  <c r="AK32" i="7"/>
  <c r="AU54" i="7" s="1"/>
  <c r="AL32" i="7"/>
  <c r="AK33" i="7"/>
  <c r="AU55" i="7" s="1"/>
  <c r="AL33" i="7"/>
  <c r="AK34" i="7"/>
  <c r="AU56" i="7" s="1"/>
  <c r="AL34" i="7"/>
  <c r="AK35" i="7"/>
  <c r="AU57" i="7" s="1"/>
  <c r="AL35" i="7"/>
  <c r="AK36" i="7"/>
  <c r="AU58" i="7" s="1"/>
  <c r="AL36" i="7"/>
  <c r="AK29" i="7"/>
  <c r="AU51" i="7" s="1"/>
  <c r="D28" i="6" l="1"/>
  <c r="D20" i="6"/>
  <c r="D10" i="6"/>
  <c r="AL29" i="7"/>
  <c r="D21" i="6"/>
  <c r="D19" i="6"/>
  <c r="D15" i="6"/>
  <c r="D14" i="6"/>
  <c r="D13" i="6"/>
  <c r="D12" i="6"/>
  <c r="D9" i="6"/>
  <c r="D8" i="6"/>
  <c r="D6" i="6"/>
  <c r="D4" i="6"/>
  <c r="D3" i="6"/>
  <c r="D106" i="6"/>
  <c r="D97" i="6"/>
  <c r="D22" i="6"/>
  <c r="D24" i="6"/>
  <c r="D25" i="6"/>
  <c r="D27" i="6"/>
  <c r="D29" i="6"/>
  <c r="D30" i="6"/>
  <c r="D31" i="6"/>
  <c r="D52" i="6"/>
  <c r="D48" i="6"/>
  <c r="D49" i="6"/>
  <c r="D50" i="6"/>
  <c r="D51" i="6"/>
  <c r="D79" i="6"/>
  <c r="D78" i="6"/>
  <c r="D77" i="6"/>
  <c r="D74" i="6"/>
  <c r="D73" i="6"/>
  <c r="D76" i="6"/>
  <c r="AE45" i="7"/>
  <c r="AC47" i="7"/>
  <c r="AC46" i="7"/>
  <c r="AC45" i="7"/>
  <c r="AE46" i="7" l="1"/>
  <c r="J38" i="7" s="1"/>
  <c r="V46" i="7"/>
  <c r="I14" i="34" l="1"/>
  <c r="I14" i="32" l="1"/>
  <c r="E83" i="31" l="1"/>
  <c r="E82" i="31"/>
  <c r="E81" i="31"/>
  <c r="E80" i="31"/>
  <c r="E79" i="31"/>
  <c r="E78" i="31"/>
  <c r="E77" i="31"/>
  <c r="E76" i="31"/>
  <c r="E75" i="31"/>
  <c r="E74" i="31"/>
  <c r="E73" i="31"/>
  <c r="E72" i="31"/>
  <c r="E71" i="31"/>
  <c r="E70" i="31"/>
  <c r="E69" i="31"/>
  <c r="E68" i="31"/>
  <c r="E67" i="31"/>
  <c r="E66" i="31"/>
  <c r="E65" i="31"/>
  <c r="E64" i="31"/>
  <c r="E63" i="31"/>
  <c r="E62" i="31"/>
  <c r="E58" i="31"/>
  <c r="E57" i="31"/>
  <c r="E56" i="31"/>
  <c r="E55" i="31"/>
  <c r="E51" i="31"/>
  <c r="E50" i="31"/>
  <c r="E49" i="31"/>
  <c r="E48" i="31"/>
  <c r="E47" i="31"/>
  <c r="E46" i="31"/>
  <c r="E45" i="31"/>
  <c r="E44" i="31"/>
  <c r="E43" i="31"/>
  <c r="E42" i="31"/>
  <c r="E41" i="31"/>
  <c r="E40" i="31"/>
  <c r="E39" i="31"/>
  <c r="E34" i="31"/>
  <c r="E30" i="31"/>
  <c r="E29" i="31"/>
  <c r="E28" i="31"/>
  <c r="E27" i="31"/>
  <c r="E23" i="31"/>
  <c r="E22" i="31"/>
  <c r="E21" i="31"/>
  <c r="E20" i="31"/>
  <c r="E19" i="31"/>
  <c r="E18" i="31"/>
  <c r="E17" i="31"/>
  <c r="E14" i="31"/>
  <c r="E13" i="31"/>
  <c r="E12" i="31"/>
  <c r="E11" i="31"/>
  <c r="E10" i="31"/>
  <c r="E9" i="31"/>
  <c r="E8" i="31"/>
  <c r="E7" i="31"/>
  <c r="M17" i="29"/>
  <c r="M16" i="29"/>
  <c r="M15" i="29"/>
  <c r="M14" i="29"/>
  <c r="M13" i="29"/>
  <c r="M12" i="29"/>
  <c r="M11" i="29"/>
  <c r="M10" i="29"/>
  <c r="M9" i="29"/>
  <c r="M8" i="29"/>
  <c r="M7" i="29"/>
  <c r="M6" i="29"/>
  <c r="M5" i="29"/>
  <c r="AO179" i="27"/>
  <c r="AN179" i="27"/>
  <c r="AM179" i="27"/>
  <c r="AL179" i="27"/>
  <c r="AK179" i="27"/>
  <c r="AJ179" i="27"/>
  <c r="AI179" i="27"/>
  <c r="AH179" i="27"/>
  <c r="AG179" i="27"/>
  <c r="AF179" i="27"/>
  <c r="AE179" i="27"/>
  <c r="AD179" i="27"/>
  <c r="AC179" i="27"/>
  <c r="AB179" i="27"/>
  <c r="AA179" i="27"/>
  <c r="Z179" i="27"/>
  <c r="Y179" i="27"/>
  <c r="X179" i="27"/>
  <c r="W179" i="27"/>
  <c r="V179" i="27"/>
  <c r="AO178" i="27"/>
  <c r="AN178" i="27"/>
  <c r="AM178" i="27"/>
  <c r="AL178" i="27"/>
  <c r="AK178" i="27"/>
  <c r="AJ178" i="27"/>
  <c r="AI178" i="27"/>
  <c r="AH178" i="27"/>
  <c r="AG178" i="27"/>
  <c r="AF178" i="27"/>
  <c r="AE178" i="27"/>
  <c r="AD178" i="27"/>
  <c r="AC178" i="27"/>
  <c r="AB178" i="27"/>
  <c r="AA178" i="27"/>
  <c r="Z178" i="27"/>
  <c r="Y178" i="27"/>
  <c r="X178" i="27"/>
  <c r="W178" i="27"/>
  <c r="V178" i="27"/>
  <c r="AO177" i="27"/>
  <c r="AN177" i="27"/>
  <c r="AM177" i="27"/>
  <c r="AL177" i="27"/>
  <c r="AK177" i="27"/>
  <c r="AJ177" i="27"/>
  <c r="AI177" i="27"/>
  <c r="AH177" i="27"/>
  <c r="AG177" i="27"/>
  <c r="AF177" i="27"/>
  <c r="AE177" i="27"/>
  <c r="AD177" i="27"/>
  <c r="AC177" i="27"/>
  <c r="AB177" i="27"/>
  <c r="AA177" i="27"/>
  <c r="Z177" i="27"/>
  <c r="Y177" i="27"/>
  <c r="X177" i="27"/>
  <c r="W177" i="27"/>
  <c r="V177" i="27"/>
  <c r="AO176" i="27"/>
  <c r="AN176" i="27"/>
  <c r="AM176" i="27"/>
  <c r="AL176" i="27"/>
  <c r="AK176" i="27"/>
  <c r="AJ176" i="27"/>
  <c r="AI176" i="27"/>
  <c r="AH176" i="27"/>
  <c r="AG176" i="27"/>
  <c r="AF176" i="27"/>
  <c r="AE176" i="27"/>
  <c r="AD176" i="27"/>
  <c r="AC176" i="27"/>
  <c r="AB176" i="27"/>
  <c r="AA176" i="27"/>
  <c r="Z176" i="27"/>
  <c r="Y176" i="27"/>
  <c r="X176" i="27"/>
  <c r="W176" i="27"/>
  <c r="V176" i="27"/>
  <c r="AO175" i="27"/>
  <c r="AN175" i="27"/>
  <c r="AM175" i="27"/>
  <c r="AL175" i="27"/>
  <c r="AK175" i="27"/>
  <c r="AJ175" i="27"/>
  <c r="AI175" i="27"/>
  <c r="AH175" i="27"/>
  <c r="AG175" i="27"/>
  <c r="AF175" i="27"/>
  <c r="AE175" i="27"/>
  <c r="AD175" i="27"/>
  <c r="AC175" i="27"/>
  <c r="AB175" i="27"/>
  <c r="AA175" i="27"/>
  <c r="Z175" i="27"/>
  <c r="Y175" i="27"/>
  <c r="X175" i="27"/>
  <c r="W175" i="27"/>
  <c r="V175" i="27"/>
  <c r="AO174" i="27"/>
  <c r="AN174" i="27"/>
  <c r="AM174" i="27"/>
  <c r="AL174" i="27"/>
  <c r="AK174" i="27"/>
  <c r="AJ174" i="27"/>
  <c r="AI174" i="27"/>
  <c r="AH174" i="27"/>
  <c r="AG174" i="27"/>
  <c r="AF174" i="27"/>
  <c r="AE174" i="27"/>
  <c r="AD174" i="27"/>
  <c r="AC174" i="27"/>
  <c r="AB174" i="27"/>
  <c r="AA174" i="27"/>
  <c r="Z174" i="27"/>
  <c r="Y174" i="27"/>
  <c r="X174" i="27"/>
  <c r="W174" i="27"/>
  <c r="V174" i="27"/>
  <c r="AO173" i="27"/>
  <c r="AN173" i="27"/>
  <c r="AM173" i="27"/>
  <c r="AL173" i="27"/>
  <c r="AK173" i="27"/>
  <c r="AJ173" i="27"/>
  <c r="AI173" i="27"/>
  <c r="AH173" i="27"/>
  <c r="AG173" i="27"/>
  <c r="AF173" i="27"/>
  <c r="AE173" i="27"/>
  <c r="AD173" i="27"/>
  <c r="AC173" i="27"/>
  <c r="AB173" i="27"/>
  <c r="AA173" i="27"/>
  <c r="Z173" i="27"/>
  <c r="Y173" i="27"/>
  <c r="X173" i="27"/>
  <c r="W173" i="27"/>
  <c r="V173" i="27"/>
  <c r="AO172" i="27"/>
  <c r="AN172" i="27"/>
  <c r="AM172" i="27"/>
  <c r="AL172" i="27"/>
  <c r="AK172" i="27"/>
  <c r="AJ172" i="27"/>
  <c r="AI172" i="27"/>
  <c r="AH172" i="27"/>
  <c r="AG172" i="27"/>
  <c r="AF172" i="27"/>
  <c r="AE172" i="27"/>
  <c r="AD172" i="27"/>
  <c r="AC172" i="27"/>
  <c r="AB172" i="27"/>
  <c r="AA172" i="27"/>
  <c r="Z172" i="27"/>
  <c r="Y172" i="27"/>
  <c r="X172" i="27"/>
  <c r="W172" i="27"/>
  <c r="V172" i="27"/>
  <c r="AO171" i="27"/>
  <c r="AN171" i="27"/>
  <c r="AM171" i="27"/>
  <c r="AL171" i="27"/>
  <c r="AK171" i="27"/>
  <c r="AJ171" i="27"/>
  <c r="AI171" i="27"/>
  <c r="AH171" i="27"/>
  <c r="AG171" i="27"/>
  <c r="AF171" i="27"/>
  <c r="AE171" i="27"/>
  <c r="AD171" i="27"/>
  <c r="AC171" i="27"/>
  <c r="AB171" i="27"/>
  <c r="AA171" i="27"/>
  <c r="Z171" i="27"/>
  <c r="Y171" i="27"/>
  <c r="X171" i="27"/>
  <c r="W171" i="27"/>
  <c r="V171" i="27"/>
  <c r="AO170" i="27"/>
  <c r="AN170" i="27"/>
  <c r="AM170" i="27"/>
  <c r="AL170" i="27"/>
  <c r="AK170" i="27"/>
  <c r="AJ170" i="27"/>
  <c r="AI170" i="27"/>
  <c r="AH170" i="27"/>
  <c r="AG170" i="27"/>
  <c r="AF170" i="27"/>
  <c r="AE170" i="27"/>
  <c r="AD170" i="27"/>
  <c r="AC170" i="27"/>
  <c r="AB170" i="27"/>
  <c r="AA170" i="27"/>
  <c r="Z170" i="27"/>
  <c r="Y170" i="27"/>
  <c r="X170" i="27"/>
  <c r="W170" i="27"/>
  <c r="V170" i="27"/>
  <c r="AO169" i="27"/>
  <c r="AN169" i="27"/>
  <c r="AM169" i="27"/>
  <c r="AL169" i="27"/>
  <c r="AK169" i="27"/>
  <c r="AJ169" i="27"/>
  <c r="AI169" i="27"/>
  <c r="AH169" i="27"/>
  <c r="AG169" i="27"/>
  <c r="AF169" i="27"/>
  <c r="AE169" i="27"/>
  <c r="AD169" i="27"/>
  <c r="AC169" i="27"/>
  <c r="AB169" i="27"/>
  <c r="AA169" i="27"/>
  <c r="Z169" i="27"/>
  <c r="Y169" i="27"/>
  <c r="X169" i="27"/>
  <c r="W169" i="27"/>
  <c r="V169" i="27"/>
  <c r="AO168" i="27"/>
  <c r="AN168" i="27"/>
  <c r="AM168" i="27"/>
  <c r="AL168" i="27"/>
  <c r="X95" i="27" s="1"/>
  <c r="AK168" i="27"/>
  <c r="AJ168" i="27"/>
  <c r="AI168" i="27"/>
  <c r="AH168" i="27"/>
  <c r="AG168" i="27"/>
  <c r="AF168" i="27"/>
  <c r="AE168" i="27"/>
  <c r="AD168" i="27"/>
  <c r="AC168" i="27"/>
  <c r="AB168" i="27"/>
  <c r="AB95" i="27" s="1"/>
  <c r="AA168" i="27"/>
  <c r="Z168" i="27"/>
  <c r="Y168" i="27"/>
  <c r="X168" i="27"/>
  <c r="W168" i="27"/>
  <c r="W95" i="27" s="1"/>
  <c r="V168" i="27"/>
  <c r="V95" i="27" s="1"/>
  <c r="AO167" i="27"/>
  <c r="AN167" i="27"/>
  <c r="AM167" i="27"/>
  <c r="AL167" i="27"/>
  <c r="X94" i="27" s="1"/>
  <c r="AK167" i="27"/>
  <c r="AJ167" i="27"/>
  <c r="AI167" i="27"/>
  <c r="AH167" i="27"/>
  <c r="AG167" i="27"/>
  <c r="AF167" i="27"/>
  <c r="AE167" i="27"/>
  <c r="AD167" i="27"/>
  <c r="AD94" i="27" s="1"/>
  <c r="AC167" i="27"/>
  <c r="AB167" i="27"/>
  <c r="AA167" i="27"/>
  <c r="AA94" i="27" s="1"/>
  <c r="Z167" i="27"/>
  <c r="Z94" i="27" s="1"/>
  <c r="Y167" i="27"/>
  <c r="Y94" i="27" s="1"/>
  <c r="X167" i="27"/>
  <c r="W167" i="27"/>
  <c r="W94" i="27" s="1"/>
  <c r="V167" i="27"/>
  <c r="V94" i="27" s="1"/>
  <c r="AO166" i="27"/>
  <c r="AN166" i="27"/>
  <c r="AM166" i="27"/>
  <c r="AL166" i="27"/>
  <c r="X93" i="27" s="1"/>
  <c r="AK166" i="27"/>
  <c r="AJ166" i="27"/>
  <c r="AI166" i="27"/>
  <c r="AH166" i="27"/>
  <c r="AG166" i="27"/>
  <c r="AF166" i="27"/>
  <c r="AE166" i="27"/>
  <c r="AD166" i="27"/>
  <c r="AD93" i="27" s="1"/>
  <c r="AC166" i="27"/>
  <c r="AC93" i="27" s="1"/>
  <c r="AB166" i="27"/>
  <c r="AA166" i="27"/>
  <c r="AA93" i="27" s="1"/>
  <c r="Z166" i="27"/>
  <c r="Z93" i="27" s="1"/>
  <c r="Y166" i="27"/>
  <c r="X166" i="27"/>
  <c r="W166" i="27"/>
  <c r="V166" i="27"/>
  <c r="AO165" i="27"/>
  <c r="AN165" i="27"/>
  <c r="AM165" i="27"/>
  <c r="AL165" i="27"/>
  <c r="AK165" i="27"/>
  <c r="AJ165" i="27"/>
  <c r="AI165" i="27"/>
  <c r="AH165" i="27"/>
  <c r="AG165" i="27"/>
  <c r="AF165" i="27"/>
  <c r="AE165" i="27"/>
  <c r="AD165" i="27"/>
  <c r="AD92" i="27" s="1"/>
  <c r="AC165" i="27"/>
  <c r="AC92" i="27" s="1"/>
  <c r="AB165" i="27"/>
  <c r="AB92" i="27" s="1"/>
  <c r="AA165" i="27"/>
  <c r="AA92" i="27" s="1"/>
  <c r="Z165" i="27"/>
  <c r="Z92" i="27" s="1"/>
  <c r="Y165" i="27"/>
  <c r="X165" i="27"/>
  <c r="W165" i="27"/>
  <c r="W92" i="27" s="1"/>
  <c r="V165" i="27"/>
  <c r="V92" i="27" s="1"/>
  <c r="AO164" i="27"/>
  <c r="AN164" i="27"/>
  <c r="AM164" i="27"/>
  <c r="AL164" i="27"/>
  <c r="X91" i="27" s="1"/>
  <c r="AK164" i="27"/>
  <c r="AJ164" i="27"/>
  <c r="AI164" i="27"/>
  <c r="AH164" i="27"/>
  <c r="AG164" i="27"/>
  <c r="AF164" i="27"/>
  <c r="AE164" i="27"/>
  <c r="AD164" i="27"/>
  <c r="AD91" i="27" s="1"/>
  <c r="AC164" i="27"/>
  <c r="AB164" i="27"/>
  <c r="AA164" i="27"/>
  <c r="AA91" i="27" s="1"/>
  <c r="Z164" i="27"/>
  <c r="Z91" i="27" s="1"/>
  <c r="Y164" i="27"/>
  <c r="Y91" i="27" s="1"/>
  <c r="X164" i="27"/>
  <c r="W164" i="27"/>
  <c r="V164" i="27"/>
  <c r="V91" i="27" s="1"/>
  <c r="AO163" i="27"/>
  <c r="AN163" i="27"/>
  <c r="AM163" i="27"/>
  <c r="AL163" i="27"/>
  <c r="X90" i="27" s="1"/>
  <c r="AK163" i="27"/>
  <c r="AJ163" i="27"/>
  <c r="AI163" i="27"/>
  <c r="AH163" i="27"/>
  <c r="AG163" i="27"/>
  <c r="AF163" i="27"/>
  <c r="AE163" i="27"/>
  <c r="AD163" i="27"/>
  <c r="AD90" i="27" s="1"/>
  <c r="AC163" i="27"/>
  <c r="AC90" i="27" s="1"/>
  <c r="AB163" i="27"/>
  <c r="AA163" i="27"/>
  <c r="AA90" i="27" s="1"/>
  <c r="Z163" i="27"/>
  <c r="Z90" i="27" s="1"/>
  <c r="Y163" i="27"/>
  <c r="X163" i="27"/>
  <c r="W163" i="27"/>
  <c r="W90" i="27" s="1"/>
  <c r="V163" i="27"/>
  <c r="V90" i="27" s="1"/>
  <c r="AO162" i="27"/>
  <c r="AN162" i="27"/>
  <c r="AM162" i="27"/>
  <c r="AL162" i="27"/>
  <c r="X89" i="27" s="1"/>
  <c r="AK162" i="27"/>
  <c r="AJ162" i="27"/>
  <c r="AI162" i="27"/>
  <c r="AH162" i="27"/>
  <c r="AG162" i="27"/>
  <c r="AF162" i="27"/>
  <c r="AE162" i="27"/>
  <c r="AD162" i="27"/>
  <c r="AD89" i="27" s="1"/>
  <c r="AC162" i="27"/>
  <c r="AC89" i="27" s="1"/>
  <c r="AB162" i="27"/>
  <c r="AB89" i="27" s="1"/>
  <c r="AA162" i="27"/>
  <c r="Z162" i="27"/>
  <c r="Z89" i="27" s="1"/>
  <c r="Y162" i="27"/>
  <c r="X162" i="27"/>
  <c r="W162" i="27"/>
  <c r="W89" i="27" s="1"/>
  <c r="V162" i="27"/>
  <c r="V89" i="27" s="1"/>
  <c r="AO161" i="27"/>
  <c r="AN161" i="27"/>
  <c r="AM161" i="27"/>
  <c r="AL161" i="27"/>
  <c r="X88" i="27" s="1"/>
  <c r="AK161" i="27"/>
  <c r="AJ161" i="27"/>
  <c r="AI161" i="27"/>
  <c r="AH161" i="27"/>
  <c r="AG161" i="27"/>
  <c r="AF161" i="27"/>
  <c r="AE161" i="27"/>
  <c r="AD161" i="27"/>
  <c r="AD88" i="27" s="1"/>
  <c r="AC161" i="27"/>
  <c r="AB161" i="27"/>
  <c r="AA161" i="27"/>
  <c r="AA88" i="27" s="1"/>
  <c r="Z161" i="27"/>
  <c r="Z88" i="27" s="1"/>
  <c r="Y161" i="27"/>
  <c r="X161" i="27"/>
  <c r="W161" i="27"/>
  <c r="W88" i="27" s="1"/>
  <c r="V161" i="27"/>
  <c r="V88" i="27" s="1"/>
  <c r="AO160" i="27"/>
  <c r="AN160" i="27"/>
  <c r="AM160" i="27"/>
  <c r="AL160" i="27"/>
  <c r="X87" i="27" s="1"/>
  <c r="AK160" i="27"/>
  <c r="AJ160" i="27"/>
  <c r="AI160" i="27"/>
  <c r="AH160" i="27"/>
  <c r="AG160" i="27"/>
  <c r="AF160" i="27"/>
  <c r="AE160" i="27"/>
  <c r="AD160" i="27"/>
  <c r="AD87" i="27" s="1"/>
  <c r="AC160" i="27"/>
  <c r="AC87" i="27" s="1"/>
  <c r="AB160" i="27"/>
  <c r="AA160" i="27"/>
  <c r="AA87" i="27" s="1"/>
  <c r="Z160" i="27"/>
  <c r="Z87" i="27" s="1"/>
  <c r="Y160" i="27"/>
  <c r="X160" i="27"/>
  <c r="W160" i="27"/>
  <c r="W87" i="27" s="1"/>
  <c r="V160" i="27"/>
  <c r="V87" i="27" s="1"/>
  <c r="AO159" i="27"/>
  <c r="AN159" i="27"/>
  <c r="AM159" i="27"/>
  <c r="AL159" i="27"/>
  <c r="AK159" i="27"/>
  <c r="AJ159" i="27"/>
  <c r="AI159" i="27"/>
  <c r="AH159" i="27"/>
  <c r="AG159" i="27"/>
  <c r="AF159" i="27"/>
  <c r="AE159" i="27"/>
  <c r="AD159" i="27"/>
  <c r="AC159" i="27"/>
  <c r="AB159" i="27"/>
  <c r="AA159" i="27"/>
  <c r="Z159" i="27"/>
  <c r="Y159" i="27"/>
  <c r="X159" i="27"/>
  <c r="W159" i="27"/>
  <c r="V159" i="27"/>
  <c r="AO158" i="27"/>
  <c r="AN158" i="27"/>
  <c r="AM158" i="27"/>
  <c r="AL158" i="27"/>
  <c r="AK158" i="27"/>
  <c r="AJ158" i="27"/>
  <c r="AI158" i="27"/>
  <c r="AH158" i="27"/>
  <c r="AG158" i="27"/>
  <c r="AF158" i="27"/>
  <c r="AE158" i="27"/>
  <c r="AD158" i="27"/>
  <c r="AC158" i="27"/>
  <c r="AB158" i="27"/>
  <c r="AA158" i="27"/>
  <c r="Z158" i="27"/>
  <c r="Y158" i="27"/>
  <c r="X158" i="27"/>
  <c r="W158" i="27"/>
  <c r="V158" i="27"/>
  <c r="AO157" i="27"/>
  <c r="AN157" i="27"/>
  <c r="AM157" i="27"/>
  <c r="AL157" i="27"/>
  <c r="AK157" i="27"/>
  <c r="AJ157" i="27"/>
  <c r="AI157" i="27"/>
  <c r="AH157" i="27"/>
  <c r="AG157" i="27"/>
  <c r="AF157" i="27"/>
  <c r="AE157" i="27"/>
  <c r="AD157" i="27"/>
  <c r="AC157" i="27"/>
  <c r="AB157" i="27"/>
  <c r="AA157" i="27"/>
  <c r="Z157" i="27"/>
  <c r="Y157" i="27"/>
  <c r="X157" i="27"/>
  <c r="W157" i="27"/>
  <c r="V157" i="27"/>
  <c r="AO156" i="27"/>
  <c r="AN156" i="27"/>
  <c r="AM156" i="27"/>
  <c r="AL156" i="27"/>
  <c r="AK156" i="27"/>
  <c r="AJ156" i="27"/>
  <c r="AI156" i="27"/>
  <c r="AH156" i="27"/>
  <c r="AG156" i="27"/>
  <c r="AF156" i="27"/>
  <c r="AE156" i="27"/>
  <c r="AD156" i="27"/>
  <c r="AC156" i="27"/>
  <c r="AB156" i="27"/>
  <c r="AA156" i="27"/>
  <c r="Z156" i="27"/>
  <c r="Y156" i="27"/>
  <c r="X156" i="27"/>
  <c r="W156" i="27"/>
  <c r="V156" i="27"/>
  <c r="AO155" i="27"/>
  <c r="AN155" i="27"/>
  <c r="AM155" i="27"/>
  <c r="AL155" i="27"/>
  <c r="AK155" i="27"/>
  <c r="AJ155" i="27"/>
  <c r="AI155" i="27"/>
  <c r="AH155" i="27"/>
  <c r="AG155" i="27"/>
  <c r="AF155" i="27"/>
  <c r="AE155" i="27"/>
  <c r="AD155" i="27"/>
  <c r="AC155" i="27"/>
  <c r="AB155" i="27"/>
  <c r="AA155" i="27"/>
  <c r="Z155" i="27"/>
  <c r="Y155" i="27"/>
  <c r="X155" i="27"/>
  <c r="W155" i="27"/>
  <c r="V155" i="27"/>
  <c r="AO154" i="27"/>
  <c r="AN154" i="27"/>
  <c r="AM154" i="27"/>
  <c r="AL154" i="27"/>
  <c r="AK154" i="27"/>
  <c r="AJ154" i="27"/>
  <c r="AI154" i="27"/>
  <c r="AH154" i="27"/>
  <c r="AG154" i="27"/>
  <c r="AF154" i="27"/>
  <c r="AE154" i="27"/>
  <c r="AD154" i="27"/>
  <c r="AC154" i="27"/>
  <c r="AB154" i="27"/>
  <c r="AA154" i="27"/>
  <c r="Z154" i="27"/>
  <c r="Y154" i="27"/>
  <c r="X154" i="27"/>
  <c r="W154" i="27"/>
  <c r="V154" i="27"/>
  <c r="AO153" i="27"/>
  <c r="AN153" i="27"/>
  <c r="AM153" i="27"/>
  <c r="AL153" i="27"/>
  <c r="AK153" i="27"/>
  <c r="AJ153" i="27"/>
  <c r="AI153" i="27"/>
  <c r="AH153" i="27"/>
  <c r="AG153" i="27"/>
  <c r="AF153" i="27"/>
  <c r="AE153" i="27"/>
  <c r="AD153" i="27"/>
  <c r="AC153" i="27"/>
  <c r="AB153" i="27"/>
  <c r="AA153" i="27"/>
  <c r="Z153" i="27"/>
  <c r="Y153" i="27"/>
  <c r="X153" i="27"/>
  <c r="W153" i="27"/>
  <c r="V153" i="27"/>
  <c r="AO152" i="27"/>
  <c r="AN152" i="27"/>
  <c r="AM152" i="27"/>
  <c r="AL152" i="27"/>
  <c r="AK152" i="27"/>
  <c r="AJ152" i="27"/>
  <c r="AI152" i="27"/>
  <c r="AH152" i="27"/>
  <c r="AG152" i="27"/>
  <c r="AF152" i="27"/>
  <c r="AE152" i="27"/>
  <c r="AD152" i="27"/>
  <c r="AC152" i="27"/>
  <c r="AB152" i="27"/>
  <c r="AA152" i="27"/>
  <c r="Z152" i="27"/>
  <c r="Y152" i="27"/>
  <c r="X152" i="27"/>
  <c r="W152" i="27"/>
  <c r="V152" i="27"/>
  <c r="AO151" i="27"/>
  <c r="AN151" i="27"/>
  <c r="AM151" i="27"/>
  <c r="AL151" i="27"/>
  <c r="AK151" i="27"/>
  <c r="AJ151" i="27"/>
  <c r="AI151" i="27"/>
  <c r="AH151" i="27"/>
  <c r="AG151" i="27"/>
  <c r="AF151" i="27"/>
  <c r="AE151" i="27"/>
  <c r="AD151" i="27"/>
  <c r="AC151" i="27"/>
  <c r="AB151" i="27"/>
  <c r="AA151" i="27"/>
  <c r="Z151" i="27"/>
  <c r="Y151" i="27"/>
  <c r="X151" i="27"/>
  <c r="W151" i="27"/>
  <c r="V151" i="27"/>
  <c r="AO150" i="27"/>
  <c r="AN150" i="27"/>
  <c r="AM150" i="27"/>
  <c r="AL150" i="27"/>
  <c r="AK150" i="27"/>
  <c r="AJ150" i="27"/>
  <c r="AI150" i="27"/>
  <c r="AH150" i="27"/>
  <c r="AG150" i="27"/>
  <c r="AF150" i="27"/>
  <c r="AE150" i="27"/>
  <c r="AD150" i="27"/>
  <c r="AC150" i="27"/>
  <c r="AB150" i="27"/>
  <c r="AA150" i="27"/>
  <c r="Z150" i="27"/>
  <c r="Y150" i="27"/>
  <c r="X150" i="27"/>
  <c r="W150" i="27"/>
  <c r="V150" i="27"/>
  <c r="AO149" i="27"/>
  <c r="AN149" i="27"/>
  <c r="AM149" i="27"/>
  <c r="AL149" i="27"/>
  <c r="AK149" i="27"/>
  <c r="AJ149" i="27"/>
  <c r="AI149" i="27"/>
  <c r="AH149" i="27"/>
  <c r="AG149" i="27"/>
  <c r="AF149" i="27"/>
  <c r="AE149" i="27"/>
  <c r="AD149" i="27"/>
  <c r="AC149" i="27"/>
  <c r="AB149" i="27"/>
  <c r="AA149" i="27"/>
  <c r="Z149" i="27"/>
  <c r="Y149" i="27"/>
  <c r="X149" i="27"/>
  <c r="W149" i="27"/>
  <c r="V149" i="27"/>
  <c r="AO148" i="27"/>
  <c r="AN148" i="27"/>
  <c r="AM148" i="27"/>
  <c r="AL148" i="27"/>
  <c r="AK148" i="27"/>
  <c r="AJ148" i="27"/>
  <c r="AI148" i="27"/>
  <c r="AH148" i="27"/>
  <c r="AG148" i="27"/>
  <c r="AF148" i="27"/>
  <c r="AE148" i="27"/>
  <c r="AD148" i="27"/>
  <c r="AC148" i="27"/>
  <c r="AB148" i="27"/>
  <c r="AA148" i="27"/>
  <c r="Z148" i="27"/>
  <c r="Y148" i="27"/>
  <c r="X148" i="27"/>
  <c r="W148" i="27"/>
  <c r="V148" i="27"/>
  <c r="AO147" i="27"/>
  <c r="AN147" i="27"/>
  <c r="AM147" i="27"/>
  <c r="AL147" i="27"/>
  <c r="AK147" i="27"/>
  <c r="AJ147" i="27"/>
  <c r="AI147" i="27"/>
  <c r="AH147" i="27"/>
  <c r="AG147" i="27"/>
  <c r="AF147" i="27"/>
  <c r="AE147" i="27"/>
  <c r="AD147" i="27"/>
  <c r="AC147" i="27"/>
  <c r="AB147" i="27"/>
  <c r="AA147" i="27"/>
  <c r="Z147" i="27"/>
  <c r="Y147" i="27"/>
  <c r="X147" i="27"/>
  <c r="W147" i="27"/>
  <c r="V147" i="27"/>
  <c r="AO146" i="27"/>
  <c r="AN146" i="27"/>
  <c r="AM146" i="27"/>
  <c r="AL146" i="27"/>
  <c r="AK146" i="27"/>
  <c r="AJ146" i="27"/>
  <c r="AI146" i="27"/>
  <c r="AH146" i="27"/>
  <c r="AG146" i="27"/>
  <c r="AF146" i="27"/>
  <c r="AE146" i="27"/>
  <c r="AD146" i="27"/>
  <c r="AC146" i="27"/>
  <c r="AB146" i="27"/>
  <c r="AA146" i="27"/>
  <c r="Z146" i="27"/>
  <c r="Y146" i="27"/>
  <c r="X146" i="27"/>
  <c r="W146" i="27"/>
  <c r="V146" i="27"/>
  <c r="AO145" i="27"/>
  <c r="AN145" i="27"/>
  <c r="AM145" i="27"/>
  <c r="AL145" i="27"/>
  <c r="AK145" i="27"/>
  <c r="AJ145" i="27"/>
  <c r="AI145" i="27"/>
  <c r="AH145" i="27"/>
  <c r="AG145" i="27"/>
  <c r="AF145" i="27"/>
  <c r="AE145" i="27"/>
  <c r="AD145" i="27"/>
  <c r="AC145" i="27"/>
  <c r="AB145" i="27"/>
  <c r="AA145" i="27"/>
  <c r="Z145" i="27"/>
  <c r="Y145" i="27"/>
  <c r="X145" i="27"/>
  <c r="W145" i="27"/>
  <c r="V145" i="27"/>
  <c r="AO144" i="27"/>
  <c r="AN144" i="27"/>
  <c r="AM144" i="27"/>
  <c r="AL144" i="27"/>
  <c r="AK144" i="27"/>
  <c r="AJ144" i="27"/>
  <c r="AI144" i="27"/>
  <c r="AH144" i="27"/>
  <c r="AG144" i="27"/>
  <c r="AF144" i="27"/>
  <c r="AE144" i="27"/>
  <c r="AD144" i="27"/>
  <c r="AC144" i="27"/>
  <c r="AB144" i="27"/>
  <c r="AA144" i="27"/>
  <c r="Z144" i="27"/>
  <c r="Y144" i="27"/>
  <c r="X144" i="27"/>
  <c r="W144" i="27"/>
  <c r="V144" i="27"/>
  <c r="AO143" i="27"/>
  <c r="AN143" i="27"/>
  <c r="AM143" i="27"/>
  <c r="AL143" i="27"/>
  <c r="AK143" i="27"/>
  <c r="AJ143" i="27"/>
  <c r="AI143" i="27"/>
  <c r="AH143" i="27"/>
  <c r="AG143" i="27"/>
  <c r="AF143" i="27"/>
  <c r="AE143" i="27"/>
  <c r="AD143" i="27"/>
  <c r="AC143" i="27"/>
  <c r="AB143" i="27"/>
  <c r="AA143" i="27"/>
  <c r="Z143" i="27"/>
  <c r="Y143" i="27"/>
  <c r="X143" i="27"/>
  <c r="W143" i="27"/>
  <c r="V143" i="27"/>
  <c r="AO142" i="27"/>
  <c r="AN142" i="27"/>
  <c r="AM142" i="27"/>
  <c r="AL142" i="27"/>
  <c r="AK142" i="27"/>
  <c r="AJ142" i="27"/>
  <c r="AI142" i="27"/>
  <c r="AH142" i="27"/>
  <c r="AG142" i="27"/>
  <c r="AF142" i="27"/>
  <c r="AE142" i="27"/>
  <c r="AD142" i="27"/>
  <c r="AC142" i="27"/>
  <c r="AB142" i="27"/>
  <c r="AA142" i="27"/>
  <c r="Z142" i="27"/>
  <c r="Y142" i="27"/>
  <c r="X142" i="27"/>
  <c r="W142" i="27"/>
  <c r="V142" i="27"/>
  <c r="AO141" i="27"/>
  <c r="AN141" i="27"/>
  <c r="AM141" i="27"/>
  <c r="AL141" i="27"/>
  <c r="AK141" i="27"/>
  <c r="AJ141" i="27"/>
  <c r="AI141" i="27"/>
  <c r="AH141" i="27"/>
  <c r="AG141" i="27"/>
  <c r="AF141" i="27"/>
  <c r="AE141" i="27"/>
  <c r="AD141" i="27"/>
  <c r="AC141" i="27"/>
  <c r="AB141" i="27"/>
  <c r="AA141" i="27"/>
  <c r="Z141" i="27"/>
  <c r="Y141" i="27"/>
  <c r="X141" i="27"/>
  <c r="W141" i="27"/>
  <c r="V141" i="27"/>
  <c r="AO140" i="27"/>
  <c r="AN140" i="27"/>
  <c r="AM140" i="27"/>
  <c r="AL140" i="27"/>
  <c r="AK140" i="27"/>
  <c r="AJ140" i="27"/>
  <c r="AI140" i="27"/>
  <c r="AH140" i="27"/>
  <c r="AG140" i="27"/>
  <c r="AF140" i="27"/>
  <c r="AE140" i="27"/>
  <c r="AD140" i="27"/>
  <c r="AC140" i="27"/>
  <c r="AB140" i="27"/>
  <c r="AA140" i="27"/>
  <c r="Z140" i="27"/>
  <c r="Y140" i="27"/>
  <c r="X140" i="27"/>
  <c r="W140" i="27"/>
  <c r="V140" i="27"/>
  <c r="AO139" i="27"/>
  <c r="AN139" i="27"/>
  <c r="AM139" i="27"/>
  <c r="AL139" i="27"/>
  <c r="AK139" i="27"/>
  <c r="AJ139" i="27"/>
  <c r="AI139" i="27"/>
  <c r="AH139" i="27"/>
  <c r="AG139" i="27"/>
  <c r="AF139" i="27"/>
  <c r="AE139" i="27"/>
  <c r="AD139" i="27"/>
  <c r="AC139" i="27"/>
  <c r="AB139" i="27"/>
  <c r="AA139" i="27"/>
  <c r="Z139" i="27"/>
  <c r="Y139" i="27"/>
  <c r="X139" i="27"/>
  <c r="W139" i="27"/>
  <c r="V139" i="27"/>
  <c r="AO138" i="27"/>
  <c r="AN138" i="27"/>
  <c r="AM138" i="27"/>
  <c r="AL138" i="27"/>
  <c r="AK138" i="27"/>
  <c r="AJ138" i="27"/>
  <c r="AI138" i="27"/>
  <c r="AH138" i="27"/>
  <c r="AG138" i="27"/>
  <c r="AF138" i="27"/>
  <c r="AE138" i="27"/>
  <c r="AD138" i="27"/>
  <c r="AC138" i="27"/>
  <c r="AB138" i="27"/>
  <c r="AA138" i="27"/>
  <c r="Z138" i="27"/>
  <c r="Y138" i="27"/>
  <c r="X138" i="27"/>
  <c r="W138" i="27"/>
  <c r="V138" i="27"/>
  <c r="AO137" i="27"/>
  <c r="AN137" i="27"/>
  <c r="AM137" i="27"/>
  <c r="AL137" i="27"/>
  <c r="AK137" i="27"/>
  <c r="AJ137" i="27"/>
  <c r="AI137" i="27"/>
  <c r="AH137" i="27"/>
  <c r="AG137" i="27"/>
  <c r="AF137" i="27"/>
  <c r="AE137" i="27"/>
  <c r="AD137" i="27"/>
  <c r="AC137" i="27"/>
  <c r="AB137" i="27"/>
  <c r="AA137" i="27"/>
  <c r="Z137" i="27"/>
  <c r="Y137" i="27"/>
  <c r="X137" i="27"/>
  <c r="W137" i="27"/>
  <c r="V137" i="27"/>
  <c r="AO136" i="27"/>
  <c r="AN136" i="27"/>
  <c r="AM136" i="27"/>
  <c r="AL136" i="27"/>
  <c r="AK136" i="27"/>
  <c r="AJ136" i="27"/>
  <c r="AI136" i="27"/>
  <c r="AH136" i="27"/>
  <c r="AG136" i="27"/>
  <c r="AF136" i="27"/>
  <c r="AE136" i="27"/>
  <c r="AD136" i="27"/>
  <c r="AC136" i="27"/>
  <c r="AB136" i="27"/>
  <c r="AA136" i="27"/>
  <c r="Z136" i="27"/>
  <c r="Y136" i="27"/>
  <c r="X136" i="27"/>
  <c r="W136" i="27"/>
  <c r="V136" i="27"/>
  <c r="AO135" i="27"/>
  <c r="AN135" i="27"/>
  <c r="AM135" i="27"/>
  <c r="AL135" i="27"/>
  <c r="AK135" i="27"/>
  <c r="AJ135" i="27"/>
  <c r="AI135" i="27"/>
  <c r="AH135" i="27"/>
  <c r="AG135" i="27"/>
  <c r="AF135" i="27"/>
  <c r="AE135" i="27"/>
  <c r="AD135" i="27"/>
  <c r="AC135" i="27"/>
  <c r="AB135" i="27"/>
  <c r="AA135" i="27"/>
  <c r="Z135" i="27"/>
  <c r="Y135" i="27"/>
  <c r="X135" i="27"/>
  <c r="W135" i="27"/>
  <c r="V135" i="27"/>
  <c r="AO134" i="27"/>
  <c r="AN134" i="27"/>
  <c r="AM134" i="27"/>
  <c r="AL134" i="27"/>
  <c r="AK134" i="27"/>
  <c r="AJ134" i="27"/>
  <c r="AI134" i="27"/>
  <c r="AH134" i="27"/>
  <c r="AG134" i="27"/>
  <c r="AF134" i="27"/>
  <c r="AE134" i="27"/>
  <c r="AD134" i="27"/>
  <c r="AC134" i="27"/>
  <c r="AB134" i="27"/>
  <c r="AA134" i="27"/>
  <c r="Z134" i="27"/>
  <c r="Y134" i="27"/>
  <c r="X134" i="27"/>
  <c r="W134" i="27"/>
  <c r="V134" i="27"/>
  <c r="AO133" i="27"/>
  <c r="AN133" i="27"/>
  <c r="AM133" i="27"/>
  <c r="AL133" i="27"/>
  <c r="AK133" i="27"/>
  <c r="AJ133" i="27"/>
  <c r="AI133" i="27"/>
  <c r="AH133" i="27"/>
  <c r="AG133" i="27"/>
  <c r="AF133" i="27"/>
  <c r="AE133" i="27"/>
  <c r="AD133" i="27"/>
  <c r="AC133" i="27"/>
  <c r="AB133" i="27"/>
  <c r="AA133" i="27"/>
  <c r="Z133" i="27"/>
  <c r="Y133" i="27"/>
  <c r="X133" i="27"/>
  <c r="W133" i="27"/>
  <c r="V133" i="27"/>
  <c r="AO132" i="27"/>
  <c r="AN132" i="27"/>
  <c r="AM132" i="27"/>
  <c r="AL132" i="27"/>
  <c r="AK132" i="27"/>
  <c r="AJ132" i="27"/>
  <c r="AI132" i="27"/>
  <c r="AH132" i="27"/>
  <c r="AG132" i="27"/>
  <c r="AF132" i="27"/>
  <c r="AE132" i="27"/>
  <c r="AD132" i="27"/>
  <c r="AC132" i="27"/>
  <c r="AB132" i="27"/>
  <c r="AA132" i="27"/>
  <c r="Z132" i="27"/>
  <c r="Y132" i="27"/>
  <c r="X132" i="27"/>
  <c r="W132" i="27"/>
  <c r="V132" i="27"/>
  <c r="AO131" i="27"/>
  <c r="AN131" i="27"/>
  <c r="AM131" i="27"/>
  <c r="AL131" i="27"/>
  <c r="AK131" i="27"/>
  <c r="AJ131" i="27"/>
  <c r="AI131" i="27"/>
  <c r="AH131" i="27"/>
  <c r="AG131" i="27"/>
  <c r="AF131" i="27"/>
  <c r="AE131" i="27"/>
  <c r="AD131" i="27"/>
  <c r="AC131" i="27"/>
  <c r="AB131" i="27"/>
  <c r="AA131" i="27"/>
  <c r="Z131" i="27"/>
  <c r="Y131" i="27"/>
  <c r="X131" i="27"/>
  <c r="W131" i="27"/>
  <c r="V131" i="27"/>
  <c r="AO130" i="27"/>
  <c r="AN130" i="27"/>
  <c r="AM130" i="27"/>
  <c r="AL130" i="27"/>
  <c r="AK130" i="27"/>
  <c r="AJ130" i="27"/>
  <c r="AI130" i="27"/>
  <c r="AH130" i="27"/>
  <c r="AG130" i="27"/>
  <c r="AF130" i="27"/>
  <c r="AE130" i="27"/>
  <c r="AD130" i="27"/>
  <c r="AC130" i="27"/>
  <c r="AB130" i="27"/>
  <c r="AA130" i="27"/>
  <c r="Z130" i="27"/>
  <c r="Y130" i="27"/>
  <c r="X130" i="27"/>
  <c r="W130" i="27"/>
  <c r="V130" i="27"/>
  <c r="AO129" i="27"/>
  <c r="AN129" i="27"/>
  <c r="AM129" i="27"/>
  <c r="AL129" i="27"/>
  <c r="AK129" i="27"/>
  <c r="AJ129" i="27"/>
  <c r="AI129" i="27"/>
  <c r="AH129" i="27"/>
  <c r="AG129" i="27"/>
  <c r="AF129" i="27"/>
  <c r="AE129" i="27"/>
  <c r="AD129" i="27"/>
  <c r="AC129" i="27"/>
  <c r="AB129" i="27"/>
  <c r="AA129" i="27"/>
  <c r="Z129" i="27"/>
  <c r="Y129" i="27"/>
  <c r="X129" i="27"/>
  <c r="W129" i="27"/>
  <c r="V129" i="27"/>
  <c r="AO128" i="27"/>
  <c r="AN128" i="27"/>
  <c r="AM128" i="27"/>
  <c r="AL128" i="27"/>
  <c r="AK128" i="27"/>
  <c r="AJ128" i="27"/>
  <c r="AI128" i="27"/>
  <c r="AH128" i="27"/>
  <c r="AG128" i="27"/>
  <c r="AF128" i="27"/>
  <c r="AE128" i="27"/>
  <c r="AD128" i="27"/>
  <c r="AC128" i="27"/>
  <c r="AB128" i="27"/>
  <c r="AA128" i="27"/>
  <c r="Z128" i="27"/>
  <c r="Y128" i="27"/>
  <c r="X128" i="27"/>
  <c r="W128" i="27"/>
  <c r="V128" i="27"/>
  <c r="AO127" i="27"/>
  <c r="AN127" i="27"/>
  <c r="AM127" i="27"/>
  <c r="AL127" i="27"/>
  <c r="AK127" i="27"/>
  <c r="AJ127" i="27"/>
  <c r="AI127" i="27"/>
  <c r="AH127" i="27"/>
  <c r="AG127" i="27"/>
  <c r="AF127" i="27"/>
  <c r="AE127" i="27"/>
  <c r="AD127" i="27"/>
  <c r="AC127" i="27"/>
  <c r="AB127" i="27"/>
  <c r="AA127" i="27"/>
  <c r="Z127" i="27"/>
  <c r="Y127" i="27"/>
  <c r="X127" i="27"/>
  <c r="W127" i="27"/>
  <c r="V127" i="27"/>
  <c r="AO126" i="27"/>
  <c r="AN126" i="27"/>
  <c r="AM126" i="27"/>
  <c r="AL126" i="27"/>
  <c r="AK126" i="27"/>
  <c r="AJ126" i="27"/>
  <c r="AI126" i="27"/>
  <c r="AH126" i="27"/>
  <c r="AG126" i="27"/>
  <c r="AF126" i="27"/>
  <c r="AE126" i="27"/>
  <c r="AD126" i="27"/>
  <c r="AC126" i="27"/>
  <c r="AB126" i="27"/>
  <c r="AA126" i="27"/>
  <c r="Z126" i="27"/>
  <c r="Y126" i="27"/>
  <c r="X126" i="27"/>
  <c r="W126" i="27"/>
  <c r="V126" i="27"/>
  <c r="AO125" i="27"/>
  <c r="AN125" i="27"/>
  <c r="AM125" i="27"/>
  <c r="AL125" i="27"/>
  <c r="AK125" i="27"/>
  <c r="AJ125" i="27"/>
  <c r="AI125" i="27"/>
  <c r="AH125" i="27"/>
  <c r="AG125" i="27"/>
  <c r="AF125" i="27"/>
  <c r="AE125" i="27"/>
  <c r="AD125" i="27"/>
  <c r="AC125" i="27"/>
  <c r="AB125" i="27"/>
  <c r="AA125" i="27"/>
  <c r="Z125" i="27"/>
  <c r="Y125" i="27"/>
  <c r="X125" i="27"/>
  <c r="W125" i="27"/>
  <c r="V125" i="27"/>
  <c r="AO124" i="27"/>
  <c r="AN124" i="27"/>
  <c r="AM124" i="27"/>
  <c r="AL124" i="27"/>
  <c r="AK124" i="27"/>
  <c r="AJ124" i="27"/>
  <c r="AI124" i="27"/>
  <c r="AH124" i="27"/>
  <c r="AG124" i="27"/>
  <c r="AF124" i="27"/>
  <c r="AE124" i="27"/>
  <c r="AD124" i="27"/>
  <c r="AC124" i="27"/>
  <c r="AB124" i="27"/>
  <c r="AA124" i="27"/>
  <c r="Z124" i="27"/>
  <c r="Y124" i="27"/>
  <c r="X124" i="27"/>
  <c r="W124" i="27"/>
  <c r="V124" i="27"/>
  <c r="AO123" i="27"/>
  <c r="AN123" i="27"/>
  <c r="AM123" i="27"/>
  <c r="AL123" i="27"/>
  <c r="AK123" i="27"/>
  <c r="AJ123" i="27"/>
  <c r="AI123" i="27"/>
  <c r="AH123" i="27"/>
  <c r="AG123" i="27"/>
  <c r="AF123" i="27"/>
  <c r="AE123" i="27"/>
  <c r="AD123" i="27"/>
  <c r="AC123" i="27"/>
  <c r="AB123" i="27"/>
  <c r="AA123" i="27"/>
  <c r="Z123" i="27"/>
  <c r="Y123" i="27"/>
  <c r="X123" i="27"/>
  <c r="W123" i="27"/>
  <c r="V123" i="27"/>
  <c r="AO122" i="27"/>
  <c r="AN122" i="27"/>
  <c r="AM122" i="27"/>
  <c r="AL122" i="27"/>
  <c r="AK122" i="27"/>
  <c r="AJ122" i="27"/>
  <c r="AI122" i="27"/>
  <c r="AH122" i="27"/>
  <c r="AG122" i="27"/>
  <c r="AF122" i="27"/>
  <c r="AE122" i="27"/>
  <c r="AD122" i="27"/>
  <c r="AC122" i="27"/>
  <c r="AB122" i="27"/>
  <c r="AA122" i="27"/>
  <c r="Z122" i="27"/>
  <c r="Y122" i="27"/>
  <c r="X122" i="27"/>
  <c r="W122" i="27"/>
  <c r="V122" i="27"/>
  <c r="AO121" i="27"/>
  <c r="AN121" i="27"/>
  <c r="AM121" i="27"/>
  <c r="AL121" i="27"/>
  <c r="AK121" i="27"/>
  <c r="AJ121" i="27"/>
  <c r="AI121" i="27"/>
  <c r="AH121" i="27"/>
  <c r="AG121" i="27"/>
  <c r="AF121" i="27"/>
  <c r="AE121" i="27"/>
  <c r="AD121" i="27"/>
  <c r="AC121" i="27"/>
  <c r="AB121" i="27"/>
  <c r="AA121" i="27"/>
  <c r="Z121" i="27"/>
  <c r="Y121" i="27"/>
  <c r="X121" i="27"/>
  <c r="W121" i="27"/>
  <c r="V121" i="27"/>
  <c r="AO120" i="27"/>
  <c r="AN120" i="27"/>
  <c r="AM120" i="27"/>
  <c r="AL120" i="27"/>
  <c r="AK120" i="27"/>
  <c r="AJ120" i="27"/>
  <c r="AI120" i="27"/>
  <c r="AH120" i="27"/>
  <c r="AG120" i="27"/>
  <c r="AF120" i="27"/>
  <c r="AE120" i="27"/>
  <c r="AD120" i="27"/>
  <c r="AC120" i="27"/>
  <c r="AB120" i="27"/>
  <c r="AA120" i="27"/>
  <c r="Z120" i="27"/>
  <c r="Y120" i="27"/>
  <c r="X120" i="27"/>
  <c r="W120" i="27"/>
  <c r="V120" i="27"/>
  <c r="AO119" i="27"/>
  <c r="AN119" i="27"/>
  <c r="AM119" i="27"/>
  <c r="AL119" i="27"/>
  <c r="AK119" i="27"/>
  <c r="AJ119" i="27"/>
  <c r="AI119" i="27"/>
  <c r="AH119" i="27"/>
  <c r="AG119" i="27"/>
  <c r="AF119" i="27"/>
  <c r="AE119" i="27"/>
  <c r="AD119" i="27"/>
  <c r="AC119" i="27"/>
  <c r="AB119" i="27"/>
  <c r="AA119" i="27"/>
  <c r="Z119" i="27"/>
  <c r="Y119" i="27"/>
  <c r="X119" i="27"/>
  <c r="W119" i="27"/>
  <c r="V119" i="27"/>
  <c r="AO118" i="27"/>
  <c r="AN118" i="27"/>
  <c r="AM118" i="27"/>
  <c r="AL118" i="27"/>
  <c r="AK118" i="27"/>
  <c r="AJ118" i="27"/>
  <c r="AI118" i="27"/>
  <c r="AH118" i="27"/>
  <c r="AG118" i="27"/>
  <c r="AF118" i="27"/>
  <c r="AE118" i="27"/>
  <c r="AD118" i="27"/>
  <c r="AC118" i="27"/>
  <c r="AB118" i="27"/>
  <c r="AA118" i="27"/>
  <c r="Z118" i="27"/>
  <c r="Y118" i="27"/>
  <c r="X118" i="27"/>
  <c r="W118" i="27"/>
  <c r="V118" i="27"/>
  <c r="AO117" i="27"/>
  <c r="AN117" i="27"/>
  <c r="AM117" i="27"/>
  <c r="AL117" i="27"/>
  <c r="AK117" i="27"/>
  <c r="AJ117" i="27"/>
  <c r="AI117" i="27"/>
  <c r="AH117" i="27"/>
  <c r="AG117" i="27"/>
  <c r="AF117" i="27"/>
  <c r="AE117" i="27"/>
  <c r="AD117" i="27"/>
  <c r="AC117" i="27"/>
  <c r="AB117" i="27"/>
  <c r="AA117" i="27"/>
  <c r="Z117" i="27"/>
  <c r="Y117" i="27"/>
  <c r="X117" i="27"/>
  <c r="W117" i="27"/>
  <c r="V117" i="27"/>
  <c r="AO116" i="27"/>
  <c r="AN116" i="27"/>
  <c r="AM116" i="27"/>
  <c r="AL116" i="27"/>
  <c r="AK116" i="27"/>
  <c r="AJ116" i="27"/>
  <c r="AI116" i="27"/>
  <c r="AH116" i="27"/>
  <c r="AG116" i="27"/>
  <c r="AF116" i="27"/>
  <c r="AE116" i="27"/>
  <c r="AD116" i="27"/>
  <c r="AC116" i="27"/>
  <c r="AB116" i="27"/>
  <c r="AA116" i="27"/>
  <c r="Z116" i="27"/>
  <c r="Y116" i="27"/>
  <c r="X116" i="27"/>
  <c r="W116" i="27"/>
  <c r="V116" i="27"/>
  <c r="AO115" i="27"/>
  <c r="AN115" i="27"/>
  <c r="AM115" i="27"/>
  <c r="AL115" i="27"/>
  <c r="AK115" i="27"/>
  <c r="AJ115" i="27"/>
  <c r="AI115" i="27"/>
  <c r="AH115" i="27"/>
  <c r="AG115" i="27"/>
  <c r="AF115" i="27"/>
  <c r="AE115" i="27"/>
  <c r="AD115" i="27"/>
  <c r="AC115" i="27"/>
  <c r="AB115" i="27"/>
  <c r="AA115" i="27"/>
  <c r="Z115" i="27"/>
  <c r="Y115" i="27"/>
  <c r="X115" i="27"/>
  <c r="W115" i="27"/>
  <c r="V115" i="27"/>
  <c r="AO114" i="27"/>
  <c r="AN114" i="27"/>
  <c r="AM114" i="27"/>
  <c r="AL114" i="27"/>
  <c r="AK114" i="27"/>
  <c r="AJ114" i="27"/>
  <c r="AI114" i="27"/>
  <c r="AH114" i="27"/>
  <c r="AG114" i="27"/>
  <c r="AF114" i="27"/>
  <c r="AE114" i="27"/>
  <c r="AD114" i="27"/>
  <c r="AC114" i="27"/>
  <c r="AB114" i="27"/>
  <c r="AA114" i="27"/>
  <c r="Z114" i="27"/>
  <c r="Y114" i="27"/>
  <c r="X114" i="27"/>
  <c r="W114" i="27"/>
  <c r="V114" i="27"/>
  <c r="AO113" i="27"/>
  <c r="AN113" i="27"/>
  <c r="AM113" i="27"/>
  <c r="AL113" i="27"/>
  <c r="AK113" i="27"/>
  <c r="AJ113" i="27"/>
  <c r="AI113" i="27"/>
  <c r="AH113" i="27"/>
  <c r="AG113" i="27"/>
  <c r="AF113" i="27"/>
  <c r="AE113" i="27"/>
  <c r="AD113" i="27"/>
  <c r="AC113" i="27"/>
  <c r="AB113" i="27"/>
  <c r="AA113" i="27"/>
  <c r="Z113" i="27"/>
  <c r="Y113" i="27"/>
  <c r="X113" i="27"/>
  <c r="W113" i="27"/>
  <c r="V113" i="27"/>
  <c r="AO112" i="27"/>
  <c r="AN112" i="27"/>
  <c r="AM112" i="27"/>
  <c r="AL112" i="27"/>
  <c r="AK112" i="27"/>
  <c r="AJ112" i="27"/>
  <c r="AI112" i="27"/>
  <c r="AH112" i="27"/>
  <c r="AG112" i="27"/>
  <c r="AF112" i="27"/>
  <c r="AE112" i="27"/>
  <c r="AD112" i="27"/>
  <c r="AC112" i="27"/>
  <c r="AB112" i="27"/>
  <c r="AA112" i="27"/>
  <c r="Z112" i="27"/>
  <c r="Y112" i="27"/>
  <c r="X112" i="27"/>
  <c r="W112" i="27"/>
  <c r="V112" i="27"/>
  <c r="AO111" i="27"/>
  <c r="AN111" i="27"/>
  <c r="AM111" i="27"/>
  <c r="AL111" i="27"/>
  <c r="AK111" i="27"/>
  <c r="AJ111" i="27"/>
  <c r="AI111" i="27"/>
  <c r="AH111" i="27"/>
  <c r="AG111" i="27"/>
  <c r="AF111" i="27"/>
  <c r="AE111" i="27"/>
  <c r="AD111" i="27"/>
  <c r="AC111" i="27"/>
  <c r="AB111" i="27"/>
  <c r="AA111" i="27"/>
  <c r="Z111" i="27"/>
  <c r="Y111" i="27"/>
  <c r="X111" i="27"/>
  <c r="W111" i="27"/>
  <c r="V111" i="27"/>
  <c r="AO110" i="27"/>
  <c r="AN110" i="27"/>
  <c r="AM110" i="27"/>
  <c r="AL110" i="27"/>
  <c r="AK110" i="27"/>
  <c r="AJ110" i="27"/>
  <c r="AI110" i="27"/>
  <c r="AH110" i="27"/>
  <c r="AG110" i="27"/>
  <c r="AF110" i="27"/>
  <c r="AE110" i="27"/>
  <c r="AD110" i="27"/>
  <c r="AC110" i="27"/>
  <c r="AB110" i="27"/>
  <c r="AA110" i="27"/>
  <c r="Z110" i="27"/>
  <c r="Y110" i="27"/>
  <c r="X110" i="27"/>
  <c r="W110" i="27"/>
  <c r="V110" i="27"/>
  <c r="AO109" i="27"/>
  <c r="AN109" i="27"/>
  <c r="AM109" i="27"/>
  <c r="AL109" i="27"/>
  <c r="AK109" i="27"/>
  <c r="AJ109" i="27"/>
  <c r="AI109" i="27"/>
  <c r="AH109" i="27"/>
  <c r="AG109" i="27"/>
  <c r="AF109" i="27"/>
  <c r="AE109" i="27"/>
  <c r="AD109" i="27"/>
  <c r="AC109" i="27"/>
  <c r="AB109" i="27"/>
  <c r="AA109" i="27"/>
  <c r="Z109" i="27"/>
  <c r="Y109" i="27"/>
  <c r="X109" i="27"/>
  <c r="W109" i="27"/>
  <c r="V109" i="27"/>
  <c r="AO108" i="27"/>
  <c r="AN108" i="27"/>
  <c r="AM108" i="27"/>
  <c r="AL108" i="27"/>
  <c r="AK108" i="27"/>
  <c r="AJ108" i="27"/>
  <c r="AI108" i="27"/>
  <c r="AH108" i="27"/>
  <c r="AG108" i="27"/>
  <c r="AF108" i="27"/>
  <c r="AE108" i="27"/>
  <c r="AD108" i="27"/>
  <c r="AC108" i="27"/>
  <c r="AB108" i="27"/>
  <c r="AA108" i="27"/>
  <c r="Z108" i="27"/>
  <c r="Y108" i="27"/>
  <c r="X108" i="27"/>
  <c r="W108" i="27"/>
  <c r="V108" i="27"/>
  <c r="AO107" i="27"/>
  <c r="AN107" i="27"/>
  <c r="AM107" i="27"/>
  <c r="AL107" i="27"/>
  <c r="AK107" i="27"/>
  <c r="AJ107" i="27"/>
  <c r="AI107" i="27"/>
  <c r="AH107" i="27"/>
  <c r="AG107" i="27"/>
  <c r="AF107" i="27"/>
  <c r="AE107" i="27"/>
  <c r="AD107" i="27"/>
  <c r="AC107" i="27"/>
  <c r="AB107" i="27"/>
  <c r="AA107" i="27"/>
  <c r="Z107" i="27"/>
  <c r="Y107" i="27"/>
  <c r="X107" i="27"/>
  <c r="W107" i="27"/>
  <c r="V107" i="27"/>
  <c r="AO106" i="27"/>
  <c r="AN106" i="27"/>
  <c r="AM106" i="27"/>
  <c r="AL106" i="27"/>
  <c r="AK106" i="27"/>
  <c r="AJ106" i="27"/>
  <c r="AI106" i="27"/>
  <c r="AH106" i="27"/>
  <c r="AG106" i="27"/>
  <c r="AF106" i="27"/>
  <c r="AE106" i="27"/>
  <c r="AD106" i="27"/>
  <c r="AC106" i="27"/>
  <c r="AB106" i="27"/>
  <c r="AA106" i="27"/>
  <c r="Z106" i="27"/>
  <c r="Y106" i="27"/>
  <c r="X106" i="27"/>
  <c r="W106" i="27"/>
  <c r="V106" i="27"/>
  <c r="AO105" i="27"/>
  <c r="AN105" i="27"/>
  <c r="AM105" i="27"/>
  <c r="AL105" i="27"/>
  <c r="AK105" i="27"/>
  <c r="AJ105" i="27"/>
  <c r="AI105" i="27"/>
  <c r="AH105" i="27"/>
  <c r="AG105" i="27"/>
  <c r="AF105" i="27"/>
  <c r="AE105" i="27"/>
  <c r="AD105" i="27"/>
  <c r="AC105" i="27"/>
  <c r="AB105" i="27"/>
  <c r="AA105" i="27"/>
  <c r="Z105" i="27"/>
  <c r="Y105" i="27"/>
  <c r="X105" i="27"/>
  <c r="W105" i="27"/>
  <c r="V105" i="27"/>
  <c r="AO104" i="27"/>
  <c r="AN104" i="27"/>
  <c r="AM104" i="27"/>
  <c r="AL104" i="27"/>
  <c r="AK104" i="27"/>
  <c r="AJ104" i="27"/>
  <c r="AI104" i="27"/>
  <c r="AH104" i="27"/>
  <c r="AG104" i="27"/>
  <c r="AF104" i="27"/>
  <c r="AE104" i="27"/>
  <c r="AD104" i="27"/>
  <c r="AC104" i="27"/>
  <c r="AB104" i="27"/>
  <c r="AA104" i="27"/>
  <c r="Z104" i="27"/>
  <c r="Y104" i="27"/>
  <c r="X104" i="27"/>
  <c r="W104" i="27"/>
  <c r="V104" i="27"/>
  <c r="AO103" i="27"/>
  <c r="AN103" i="27"/>
  <c r="AM103" i="27"/>
  <c r="AL103" i="27"/>
  <c r="AK103" i="27"/>
  <c r="AJ103" i="27"/>
  <c r="AI103" i="27"/>
  <c r="AH103" i="27"/>
  <c r="AG103" i="27"/>
  <c r="AF103" i="27"/>
  <c r="AE103" i="27"/>
  <c r="AD103" i="27"/>
  <c r="AC103" i="27"/>
  <c r="AB103" i="27"/>
  <c r="AA103" i="27"/>
  <c r="Z103" i="27"/>
  <c r="Y103" i="27"/>
  <c r="X103" i="27"/>
  <c r="W103" i="27"/>
  <c r="V103" i="27"/>
  <c r="AO102" i="27"/>
  <c r="AN102" i="27"/>
  <c r="AM102" i="27"/>
  <c r="AL102" i="27"/>
  <c r="AK102" i="27"/>
  <c r="AJ102" i="27"/>
  <c r="AI102" i="27"/>
  <c r="AH102" i="27"/>
  <c r="AG102" i="27"/>
  <c r="AF102" i="27"/>
  <c r="AE102" i="27"/>
  <c r="AD102" i="27"/>
  <c r="AC102" i="27"/>
  <c r="AB102" i="27"/>
  <c r="AA102" i="27"/>
  <c r="Z102" i="27"/>
  <c r="Y102" i="27"/>
  <c r="X102" i="27"/>
  <c r="W102" i="27"/>
  <c r="V102" i="27"/>
  <c r="AO101" i="27"/>
  <c r="AN101" i="27"/>
  <c r="AM101" i="27"/>
  <c r="AL101" i="27"/>
  <c r="AK101" i="27"/>
  <c r="AJ101" i="27"/>
  <c r="AI101" i="27"/>
  <c r="AH101" i="27"/>
  <c r="AG101" i="27"/>
  <c r="AF101" i="27"/>
  <c r="AE101" i="27"/>
  <c r="AD101" i="27"/>
  <c r="AC101" i="27"/>
  <c r="AB101" i="27"/>
  <c r="AA101" i="27"/>
  <c r="Z101" i="27"/>
  <c r="Y101" i="27"/>
  <c r="X101" i="27"/>
  <c r="W101" i="27"/>
  <c r="V101" i="27"/>
  <c r="AO100" i="27"/>
  <c r="AN100" i="27"/>
  <c r="AM100" i="27"/>
  <c r="AL100" i="27"/>
  <c r="AK100" i="27"/>
  <c r="AJ100" i="27"/>
  <c r="AI100" i="27"/>
  <c r="AH100" i="27"/>
  <c r="AG100" i="27"/>
  <c r="AF100" i="27"/>
  <c r="AE100" i="27"/>
  <c r="AD100" i="27"/>
  <c r="AC100" i="27"/>
  <c r="AB100" i="27"/>
  <c r="AA100" i="27"/>
  <c r="Z100" i="27"/>
  <c r="Y100" i="27"/>
  <c r="X100" i="27"/>
  <c r="W100" i="27"/>
  <c r="V100" i="27"/>
  <c r="AD95" i="27"/>
  <c r="AC95" i="27"/>
  <c r="AA95" i="27"/>
  <c r="Z95" i="27"/>
  <c r="Y95" i="27"/>
  <c r="AC94" i="27"/>
  <c r="AB94" i="27"/>
  <c r="AB93" i="27"/>
  <c r="Y93" i="27"/>
  <c r="W93" i="27"/>
  <c r="V93" i="27"/>
  <c r="Y92" i="27"/>
  <c r="X92" i="27"/>
  <c r="AC91" i="27"/>
  <c r="AB91" i="27"/>
  <c r="W91" i="27"/>
  <c r="AB90" i="27"/>
  <c r="Y90" i="27"/>
  <c r="AA89" i="27"/>
  <c r="Y89" i="27"/>
  <c r="AC88" i="27"/>
  <c r="AB88" i="27"/>
  <c r="Y88" i="27"/>
  <c r="AB87" i="27"/>
  <c r="Y87" i="27"/>
  <c r="Z82" i="27"/>
  <c r="Y82" i="27"/>
  <c r="X82" i="27"/>
  <c r="W82" i="27"/>
  <c r="V82" i="27"/>
  <c r="Z81" i="27"/>
  <c r="Y81" i="27"/>
  <c r="X81" i="27"/>
  <c r="W81" i="27"/>
  <c r="V81" i="27"/>
  <c r="Z80" i="27"/>
  <c r="Y80" i="27"/>
  <c r="X80" i="27"/>
  <c r="W80" i="27"/>
  <c r="V80" i="27"/>
  <c r="Z79" i="27"/>
  <c r="Y79" i="27"/>
  <c r="X79" i="27"/>
  <c r="W79" i="27"/>
  <c r="V79" i="27"/>
  <c r="Z78" i="27"/>
  <c r="Y78" i="27"/>
  <c r="X78" i="27"/>
  <c r="W78" i="27"/>
  <c r="V78" i="27"/>
  <c r="Z77" i="27"/>
  <c r="Y77" i="27"/>
  <c r="X77" i="27"/>
  <c r="W77" i="27"/>
  <c r="V77" i="27"/>
  <c r="Z76" i="27"/>
  <c r="Y76" i="27"/>
  <c r="X76" i="27"/>
  <c r="W76" i="27"/>
  <c r="V76" i="27"/>
  <c r="Z75" i="27"/>
  <c r="Y75" i="27"/>
  <c r="X75" i="27"/>
  <c r="W75" i="27"/>
  <c r="V75" i="27"/>
  <c r="Z74" i="27"/>
  <c r="Y74" i="27"/>
  <c r="X74" i="27"/>
  <c r="W74" i="27"/>
  <c r="V74" i="27"/>
  <c r="Z73" i="27"/>
  <c r="Y73" i="27"/>
  <c r="X73" i="27"/>
  <c r="W73" i="27"/>
  <c r="V73" i="27"/>
  <c r="AA68" i="27"/>
  <c r="Z68" i="27"/>
  <c r="Y68" i="27"/>
  <c r="X68" i="27"/>
  <c r="W68" i="27"/>
  <c r="V68" i="27"/>
  <c r="AA67" i="27"/>
  <c r="Z67" i="27"/>
  <c r="Y67" i="27"/>
  <c r="X67" i="27"/>
  <c r="W67" i="27"/>
  <c r="V67" i="27"/>
  <c r="Z66" i="27"/>
  <c r="Y66" i="27"/>
  <c r="X66" i="27"/>
  <c r="W66" i="27"/>
  <c r="V66" i="27"/>
  <c r="AA65" i="27"/>
  <c r="Z65" i="27"/>
  <c r="Y65" i="27"/>
  <c r="X65" i="27"/>
  <c r="W65" i="27"/>
  <c r="V65" i="27"/>
  <c r="AA64" i="27"/>
  <c r="Z64" i="27"/>
  <c r="Y64" i="27"/>
  <c r="X64" i="27"/>
  <c r="W64" i="27"/>
  <c r="V64" i="27"/>
  <c r="AA63" i="27"/>
  <c r="Z63" i="27"/>
  <c r="Y63" i="27"/>
  <c r="X63" i="27"/>
  <c r="W63" i="27"/>
  <c r="V63" i="27"/>
  <c r="AA62" i="27"/>
  <c r="Z62" i="27"/>
  <c r="Y62" i="27"/>
  <c r="X62" i="27"/>
  <c r="W62" i="27"/>
  <c r="V62" i="27"/>
  <c r="AA61" i="27"/>
  <c r="Z61" i="27"/>
  <c r="Y61" i="27"/>
  <c r="X61" i="27"/>
  <c r="W61" i="27"/>
  <c r="V61" i="27"/>
  <c r="AA60" i="27"/>
  <c r="Z60" i="27"/>
  <c r="Y60" i="27"/>
  <c r="X60" i="27"/>
  <c r="W60" i="27"/>
  <c r="V60" i="27"/>
  <c r="AA59" i="27"/>
  <c r="Z59" i="27"/>
  <c r="Y59" i="27"/>
  <c r="X59" i="27"/>
  <c r="W59" i="27"/>
  <c r="V59" i="27"/>
  <c r="AQ58" i="27"/>
  <c r="AA58" i="27"/>
  <c r="Z58" i="27"/>
  <c r="Y58" i="27"/>
  <c r="X58" i="27"/>
  <c r="W58" i="27"/>
  <c r="V58" i="27"/>
  <c r="B58" i="27"/>
  <c r="AA57" i="27"/>
  <c r="Z57" i="27"/>
  <c r="Y57" i="27"/>
  <c r="X57" i="27"/>
  <c r="W57" i="27"/>
  <c r="V57" i="27"/>
  <c r="B57" i="27"/>
  <c r="AA56" i="27"/>
  <c r="Z56" i="27"/>
  <c r="Y56" i="27"/>
  <c r="X56" i="27"/>
  <c r="W56" i="27"/>
  <c r="V56" i="27"/>
  <c r="B49" i="27"/>
  <c r="AQ36" i="27" s="1"/>
  <c r="B48" i="27"/>
  <c r="B46" i="27"/>
  <c r="AQ33" i="27" s="1"/>
  <c r="B45" i="27"/>
  <c r="AP44" i="27"/>
  <c r="B59" i="27" s="1"/>
  <c r="AP43" i="27"/>
  <c r="AP42" i="27"/>
  <c r="AP41" i="27"/>
  <c r="B56" i="27" s="1"/>
  <c r="AP40" i="27"/>
  <c r="B55" i="27" s="1"/>
  <c r="E40" i="27"/>
  <c r="D40" i="27"/>
  <c r="B40" i="27"/>
  <c r="X39" i="27"/>
  <c r="X38" i="27"/>
  <c r="X37" i="27"/>
  <c r="X36" i="27"/>
  <c r="AQ35" i="27"/>
  <c r="X35" i="27"/>
  <c r="Q35" i="27"/>
  <c r="P35" i="27"/>
  <c r="E18" i="27" s="1"/>
  <c r="AL12" i="27" s="1"/>
  <c r="J35" i="27"/>
  <c r="E35" i="27"/>
  <c r="B35" i="27"/>
  <c r="X34" i="27"/>
  <c r="J34" i="27"/>
  <c r="D35" i="27" s="1"/>
  <c r="X33" i="27"/>
  <c r="AQ32" i="27"/>
  <c r="X32" i="27"/>
  <c r="AG31" i="27"/>
  <c r="X31" i="27"/>
  <c r="X30" i="27"/>
  <c r="X29" i="27"/>
  <c r="B29" i="27"/>
  <c r="AQ27" i="27" s="1"/>
  <c r="X28" i="27"/>
  <c r="B27" i="27"/>
  <c r="P25" i="27"/>
  <c r="P24" i="27"/>
  <c r="I24" i="27"/>
  <c r="G24" i="27"/>
  <c r="E24" i="27"/>
  <c r="C24" i="27"/>
  <c r="AC23" i="27"/>
  <c r="AB23" i="27"/>
  <c r="AA23" i="27"/>
  <c r="Z23" i="27"/>
  <c r="Y23" i="27"/>
  <c r="I23" i="27"/>
  <c r="G23" i="27"/>
  <c r="E23" i="27"/>
  <c r="C23" i="27"/>
  <c r="AD22" i="27"/>
  <c r="AB39" i="27" s="1"/>
  <c r="AB22" i="27"/>
  <c r="AA22" i="27"/>
  <c r="Z22" i="27"/>
  <c r="AC22" i="27" s="1"/>
  <c r="Y22" i="27"/>
  <c r="I22" i="27"/>
  <c r="G22" i="27"/>
  <c r="E22" i="27"/>
  <c r="C22" i="27"/>
  <c r="I21" i="27"/>
  <c r="G21" i="27"/>
  <c r="E21" i="27"/>
  <c r="C21" i="27"/>
  <c r="AQ20" i="27"/>
  <c r="AI20" i="27"/>
  <c r="I20" i="27"/>
  <c r="G20" i="27"/>
  <c r="AQ19" i="27"/>
  <c r="AI19" i="27"/>
  <c r="AQ18" i="27"/>
  <c r="AJ18" i="27"/>
  <c r="AI18" i="27"/>
  <c r="I18" i="27"/>
  <c r="AI17" i="27"/>
  <c r="AI16" i="27"/>
  <c r="AJ15" i="27"/>
  <c r="AI15" i="27"/>
  <c r="AQ14" i="27"/>
  <c r="AI14" i="27"/>
  <c r="I14" i="27"/>
  <c r="AQ13" i="27"/>
  <c r="AI13" i="27"/>
  <c r="AQ12" i="27"/>
  <c r="AI12" i="27"/>
  <c r="AJ12" i="27" s="1"/>
  <c r="AI11" i="27"/>
  <c r="AC11" i="27"/>
  <c r="AB11" i="27"/>
  <c r="AA11" i="27"/>
  <c r="Z11" i="27"/>
  <c r="Y11" i="27"/>
  <c r="AI10" i="27"/>
  <c r="AC10" i="27"/>
  <c r="AB10" i="27"/>
  <c r="AA10" i="27"/>
  <c r="Z10" i="27"/>
  <c r="Y10" i="27"/>
  <c r="AJ9" i="27"/>
  <c r="AI9" i="27"/>
  <c r="AC9" i="27"/>
  <c r="AB9" i="27"/>
  <c r="AA9" i="27"/>
  <c r="Z9" i="27"/>
  <c r="Y9" i="27"/>
  <c r="AQ8" i="27"/>
  <c r="AB8" i="27"/>
  <c r="AA8" i="27"/>
  <c r="Z8" i="27"/>
  <c r="AC8" i="27" s="1"/>
  <c r="AD8" i="27" s="1"/>
  <c r="AB36" i="27" s="1"/>
  <c r="Y8" i="27"/>
  <c r="AQ7" i="27"/>
  <c r="AQ6" i="27"/>
  <c r="AC30" i="26"/>
  <c r="AO179" i="26"/>
  <c r="AN179" i="26"/>
  <c r="AM179" i="26"/>
  <c r="AL179" i="26"/>
  <c r="AK179" i="26"/>
  <c r="AJ179" i="26"/>
  <c r="AI179" i="26"/>
  <c r="AH179" i="26"/>
  <c r="AG179" i="26"/>
  <c r="AF179" i="26"/>
  <c r="AE179" i="26"/>
  <c r="AD179" i="26"/>
  <c r="AC179" i="26"/>
  <c r="AB179" i="26"/>
  <c r="AA179" i="26"/>
  <c r="Z179" i="26"/>
  <c r="Y179" i="26"/>
  <c r="X179" i="26"/>
  <c r="W179" i="26"/>
  <c r="V179" i="26"/>
  <c r="AO178" i="26"/>
  <c r="AN178" i="26"/>
  <c r="AM178" i="26"/>
  <c r="AL178" i="26"/>
  <c r="AK178" i="26"/>
  <c r="AJ178" i="26"/>
  <c r="AI178" i="26"/>
  <c r="AH178" i="26"/>
  <c r="AG178" i="26"/>
  <c r="AF178" i="26"/>
  <c r="AE178" i="26"/>
  <c r="AD178" i="26"/>
  <c r="AC178" i="26"/>
  <c r="AB178" i="26"/>
  <c r="AA178" i="26"/>
  <c r="Z178" i="26"/>
  <c r="Y178" i="26"/>
  <c r="X178" i="26"/>
  <c r="W178" i="26"/>
  <c r="V178" i="26"/>
  <c r="AO177" i="26"/>
  <c r="AN177" i="26"/>
  <c r="AM177" i="26"/>
  <c r="AL177" i="26"/>
  <c r="AK177" i="26"/>
  <c r="AJ177" i="26"/>
  <c r="AI177" i="26"/>
  <c r="AH177" i="26"/>
  <c r="AG177" i="26"/>
  <c r="AF177" i="26"/>
  <c r="AE177" i="26"/>
  <c r="AD177" i="26"/>
  <c r="AC177" i="26"/>
  <c r="AB177" i="26"/>
  <c r="AA177" i="26"/>
  <c r="Z177" i="26"/>
  <c r="Y177" i="26"/>
  <c r="X177" i="26"/>
  <c r="W177" i="26"/>
  <c r="V177" i="26"/>
  <c r="AO176" i="26"/>
  <c r="AN176" i="26"/>
  <c r="AM176" i="26"/>
  <c r="AL176" i="26"/>
  <c r="AK176" i="26"/>
  <c r="AJ176" i="26"/>
  <c r="AI176" i="26"/>
  <c r="AH176" i="26"/>
  <c r="AG176" i="26"/>
  <c r="AF176" i="26"/>
  <c r="AE176" i="26"/>
  <c r="AD176" i="26"/>
  <c r="AC176" i="26"/>
  <c r="AB176" i="26"/>
  <c r="AA176" i="26"/>
  <c r="Z176" i="26"/>
  <c r="Y176" i="26"/>
  <c r="X176" i="26"/>
  <c r="W176" i="26"/>
  <c r="V176" i="26"/>
  <c r="AO175" i="26"/>
  <c r="AN175" i="26"/>
  <c r="AM175" i="26"/>
  <c r="AL175" i="26"/>
  <c r="AK175" i="26"/>
  <c r="AJ175" i="26"/>
  <c r="AI175" i="26"/>
  <c r="AH175" i="26"/>
  <c r="AG175" i="26"/>
  <c r="AF175" i="26"/>
  <c r="AE175" i="26"/>
  <c r="AD175" i="26"/>
  <c r="AC175" i="26"/>
  <c r="AB175" i="26"/>
  <c r="AA175" i="26"/>
  <c r="Z175" i="26"/>
  <c r="Y175" i="26"/>
  <c r="X175" i="26"/>
  <c r="W175" i="26"/>
  <c r="V175" i="26"/>
  <c r="AO174" i="26"/>
  <c r="AN174" i="26"/>
  <c r="AM174" i="26"/>
  <c r="AL174" i="26"/>
  <c r="AK174" i="26"/>
  <c r="AJ174" i="26"/>
  <c r="AI174" i="26"/>
  <c r="AH174" i="26"/>
  <c r="AG174" i="26"/>
  <c r="AF174" i="26"/>
  <c r="AE174" i="26"/>
  <c r="AD174" i="26"/>
  <c r="AC174" i="26"/>
  <c r="AB174" i="26"/>
  <c r="AA174" i="26"/>
  <c r="Z174" i="26"/>
  <c r="Y174" i="26"/>
  <c r="X174" i="26"/>
  <c r="W174" i="26"/>
  <c r="V174" i="26"/>
  <c r="AO173" i="26"/>
  <c r="AN173" i="26"/>
  <c r="AM173" i="26"/>
  <c r="AL173" i="26"/>
  <c r="AK173" i="26"/>
  <c r="AJ173" i="26"/>
  <c r="AI173" i="26"/>
  <c r="AH173" i="26"/>
  <c r="AG173" i="26"/>
  <c r="AF173" i="26"/>
  <c r="AE173" i="26"/>
  <c r="AD173" i="26"/>
  <c r="AC173" i="26"/>
  <c r="AB173" i="26"/>
  <c r="AA173" i="26"/>
  <c r="Z173" i="26"/>
  <c r="Y173" i="26"/>
  <c r="X173" i="26"/>
  <c r="W173" i="26"/>
  <c r="V173" i="26"/>
  <c r="AO172" i="26"/>
  <c r="AN172" i="26"/>
  <c r="AM172" i="26"/>
  <c r="AL172" i="26"/>
  <c r="AK172" i="26"/>
  <c r="AJ172" i="26"/>
  <c r="AI172" i="26"/>
  <c r="AH172" i="26"/>
  <c r="AG172" i="26"/>
  <c r="AF172" i="26"/>
  <c r="AE172" i="26"/>
  <c r="AD172" i="26"/>
  <c r="AC172" i="26"/>
  <c r="AB172" i="26"/>
  <c r="AA172" i="26"/>
  <c r="Z172" i="26"/>
  <c r="Y172" i="26"/>
  <c r="X172" i="26"/>
  <c r="W172" i="26"/>
  <c r="V172" i="26"/>
  <c r="AO171" i="26"/>
  <c r="AN171" i="26"/>
  <c r="AM171" i="26"/>
  <c r="AL171" i="26"/>
  <c r="AK171" i="26"/>
  <c r="AJ171" i="26"/>
  <c r="AI171" i="26"/>
  <c r="AH171" i="26"/>
  <c r="AG171" i="26"/>
  <c r="AF171" i="26"/>
  <c r="AE171" i="26"/>
  <c r="AD171" i="26"/>
  <c r="AC171" i="26"/>
  <c r="AB171" i="26"/>
  <c r="AA171" i="26"/>
  <c r="Z171" i="26"/>
  <c r="Y171" i="26"/>
  <c r="X171" i="26"/>
  <c r="W171" i="26"/>
  <c r="V171" i="26"/>
  <c r="AO170" i="26"/>
  <c r="AN170" i="26"/>
  <c r="AM170" i="26"/>
  <c r="AL170" i="26"/>
  <c r="AK170" i="26"/>
  <c r="AJ170" i="26"/>
  <c r="AI170" i="26"/>
  <c r="AH170" i="26"/>
  <c r="AG170" i="26"/>
  <c r="AF170" i="26"/>
  <c r="AE170" i="26"/>
  <c r="AD170" i="26"/>
  <c r="AC170" i="26"/>
  <c r="AB170" i="26"/>
  <c r="AA170" i="26"/>
  <c r="Z170" i="26"/>
  <c r="Y170" i="26"/>
  <c r="X170" i="26"/>
  <c r="W170" i="26"/>
  <c r="V170" i="26"/>
  <c r="AO169" i="26"/>
  <c r="AN169" i="26"/>
  <c r="AM169" i="26"/>
  <c r="AL169" i="26"/>
  <c r="AK169" i="26"/>
  <c r="AJ169" i="26"/>
  <c r="AI169" i="26"/>
  <c r="AH169" i="26"/>
  <c r="AG169" i="26"/>
  <c r="AF169" i="26"/>
  <c r="AE169" i="26"/>
  <c r="AD169" i="26"/>
  <c r="AC169" i="26"/>
  <c r="AB169" i="26"/>
  <c r="AA169" i="26"/>
  <c r="Z169" i="26"/>
  <c r="Y169" i="26"/>
  <c r="X169" i="26"/>
  <c r="W169" i="26"/>
  <c r="V169" i="26"/>
  <c r="AO168" i="26"/>
  <c r="AN168" i="26"/>
  <c r="AM168" i="26"/>
  <c r="AL168" i="26"/>
  <c r="AK168" i="26"/>
  <c r="AJ168" i="26"/>
  <c r="AI168" i="26"/>
  <c r="AH168" i="26"/>
  <c r="AG168" i="26"/>
  <c r="AF168" i="26"/>
  <c r="AE168" i="26"/>
  <c r="AD168" i="26"/>
  <c r="AD95" i="26" s="1"/>
  <c r="AC168" i="26"/>
  <c r="AC95" i="26" s="1"/>
  <c r="AB168" i="26"/>
  <c r="AA168" i="26"/>
  <c r="Z168" i="26"/>
  <c r="Y168" i="26"/>
  <c r="X168" i="26"/>
  <c r="W168" i="26"/>
  <c r="W95" i="26" s="1"/>
  <c r="V168" i="26"/>
  <c r="V95" i="26" s="1"/>
  <c r="AO167" i="26"/>
  <c r="AN167" i="26"/>
  <c r="AM167" i="26"/>
  <c r="AL167" i="26"/>
  <c r="X94" i="26" s="1"/>
  <c r="AK167" i="26"/>
  <c r="AJ167" i="26"/>
  <c r="AI167" i="26"/>
  <c r="AH167" i="26"/>
  <c r="AG167" i="26"/>
  <c r="AF167" i="26"/>
  <c r="AE167" i="26"/>
  <c r="AD167" i="26"/>
  <c r="AD94" i="26" s="1"/>
  <c r="AC167" i="26"/>
  <c r="AC94" i="26" s="1"/>
  <c r="AB167" i="26"/>
  <c r="AA167" i="26"/>
  <c r="Z167" i="26"/>
  <c r="Z94" i="26" s="1"/>
  <c r="Y167" i="26"/>
  <c r="Y94" i="26" s="1"/>
  <c r="X167" i="26"/>
  <c r="W167" i="26"/>
  <c r="W94" i="26" s="1"/>
  <c r="V167" i="26"/>
  <c r="AO166" i="26"/>
  <c r="AN166" i="26"/>
  <c r="AM166" i="26"/>
  <c r="AL166" i="26"/>
  <c r="X93" i="26" s="1"/>
  <c r="AK166" i="26"/>
  <c r="AJ166" i="26"/>
  <c r="AI166" i="26"/>
  <c r="AH166" i="26"/>
  <c r="AG166" i="26"/>
  <c r="AF166" i="26"/>
  <c r="AE166" i="26"/>
  <c r="AD166" i="26"/>
  <c r="AD93" i="26" s="1"/>
  <c r="AC166" i="26"/>
  <c r="AB166" i="26"/>
  <c r="AB93" i="26" s="1"/>
  <c r="AA166" i="26"/>
  <c r="AA93" i="26" s="1"/>
  <c r="Z166" i="26"/>
  <c r="Z93" i="26" s="1"/>
  <c r="Y166" i="26"/>
  <c r="X166" i="26"/>
  <c r="W166" i="26"/>
  <c r="V166" i="26"/>
  <c r="V93" i="26" s="1"/>
  <c r="AO165" i="26"/>
  <c r="AN165" i="26"/>
  <c r="AM165" i="26"/>
  <c r="AL165" i="26"/>
  <c r="AK165" i="26"/>
  <c r="AJ165" i="26"/>
  <c r="AI165" i="26"/>
  <c r="AH165" i="26"/>
  <c r="AG165" i="26"/>
  <c r="AF165" i="26"/>
  <c r="AE165" i="26"/>
  <c r="AD165" i="26"/>
  <c r="AD92" i="26" s="1"/>
  <c r="AC165" i="26"/>
  <c r="AC92" i="26" s="1"/>
  <c r="AB165" i="26"/>
  <c r="AB92" i="26" s="1"/>
  <c r="AA165" i="26"/>
  <c r="AA92" i="26" s="1"/>
  <c r="Z165" i="26"/>
  <c r="Y165" i="26"/>
  <c r="X165" i="26"/>
  <c r="W165" i="26"/>
  <c r="W92" i="26" s="1"/>
  <c r="V165" i="26"/>
  <c r="V92" i="26" s="1"/>
  <c r="AO164" i="26"/>
  <c r="AN164" i="26"/>
  <c r="AM164" i="26"/>
  <c r="AL164" i="26"/>
  <c r="X91" i="26" s="1"/>
  <c r="AK164" i="26"/>
  <c r="AJ164" i="26"/>
  <c r="AI164" i="26"/>
  <c r="AH164" i="26"/>
  <c r="AG164" i="26"/>
  <c r="AF164" i="26"/>
  <c r="AE164" i="26"/>
  <c r="AD164" i="26"/>
  <c r="AD91" i="26" s="1"/>
  <c r="AC164" i="26"/>
  <c r="AC91" i="26" s="1"/>
  <c r="AB164" i="26"/>
  <c r="AA164" i="26"/>
  <c r="Z164" i="26"/>
  <c r="Z91" i="26" s="1"/>
  <c r="Y164" i="26"/>
  <c r="X164" i="26"/>
  <c r="W164" i="26"/>
  <c r="W91" i="26" s="1"/>
  <c r="V164" i="26"/>
  <c r="AO163" i="26"/>
  <c r="AN163" i="26"/>
  <c r="AM163" i="26"/>
  <c r="AL163" i="26"/>
  <c r="X90" i="26" s="1"/>
  <c r="AK163" i="26"/>
  <c r="AJ163" i="26"/>
  <c r="AI163" i="26"/>
  <c r="AH163" i="26"/>
  <c r="AG163" i="26"/>
  <c r="AF163" i="26"/>
  <c r="AE163" i="26"/>
  <c r="AD163" i="26"/>
  <c r="AD90" i="26" s="1"/>
  <c r="AC163" i="26"/>
  <c r="AB163" i="26"/>
  <c r="AB90" i="26" s="1"/>
  <c r="AA163" i="26"/>
  <c r="AA90" i="26" s="1"/>
  <c r="Z163" i="26"/>
  <c r="Z90" i="26" s="1"/>
  <c r="Y163" i="26"/>
  <c r="Y90" i="26" s="1"/>
  <c r="X163" i="26"/>
  <c r="W163" i="26"/>
  <c r="V163" i="26"/>
  <c r="V90" i="26" s="1"/>
  <c r="AO162" i="26"/>
  <c r="AN162" i="26"/>
  <c r="AM162" i="26"/>
  <c r="AL162" i="26"/>
  <c r="AK162" i="26"/>
  <c r="AJ162" i="26"/>
  <c r="AI162" i="26"/>
  <c r="AH162" i="26"/>
  <c r="AG162" i="26"/>
  <c r="AF162" i="26"/>
  <c r="AE162" i="26"/>
  <c r="AD162" i="26"/>
  <c r="AD89" i="26" s="1"/>
  <c r="AC162" i="26"/>
  <c r="AC89" i="26" s="1"/>
  <c r="AB162" i="26"/>
  <c r="AB89" i="26" s="1"/>
  <c r="AA162" i="26"/>
  <c r="AA89" i="26" s="1"/>
  <c r="Z162" i="26"/>
  <c r="Y162" i="26"/>
  <c r="X162" i="26"/>
  <c r="W162" i="26"/>
  <c r="W89" i="26" s="1"/>
  <c r="V162" i="26"/>
  <c r="V89" i="26" s="1"/>
  <c r="AO161" i="26"/>
  <c r="AN161" i="26"/>
  <c r="AM161" i="26"/>
  <c r="AL161" i="26"/>
  <c r="X88" i="26" s="1"/>
  <c r="AK161" i="26"/>
  <c r="AJ161" i="26"/>
  <c r="AI161" i="26"/>
  <c r="AH161" i="26"/>
  <c r="AG161" i="26"/>
  <c r="AF161" i="26"/>
  <c r="AE161" i="26"/>
  <c r="AD161" i="26"/>
  <c r="AD88" i="26" s="1"/>
  <c r="AC161" i="26"/>
  <c r="AC88" i="26" s="1"/>
  <c r="AB161" i="26"/>
  <c r="AA161" i="26"/>
  <c r="Z161" i="26"/>
  <c r="Z88" i="26" s="1"/>
  <c r="Y161" i="26"/>
  <c r="Y88" i="26" s="1"/>
  <c r="X161" i="26"/>
  <c r="W161" i="26"/>
  <c r="W88" i="26" s="1"/>
  <c r="V161" i="26"/>
  <c r="AO160" i="26"/>
  <c r="AN160" i="26"/>
  <c r="AM160" i="26"/>
  <c r="AL160" i="26"/>
  <c r="X87" i="26" s="1"/>
  <c r="AK160" i="26"/>
  <c r="AJ160" i="26"/>
  <c r="AI160" i="26"/>
  <c r="AH160" i="26"/>
  <c r="AG160" i="26"/>
  <c r="AF160" i="26"/>
  <c r="AE160" i="26"/>
  <c r="AD160" i="26"/>
  <c r="AD87" i="26" s="1"/>
  <c r="AC160" i="26"/>
  <c r="AB160" i="26"/>
  <c r="AB87" i="26" s="1"/>
  <c r="AA160" i="26"/>
  <c r="AA87" i="26" s="1"/>
  <c r="Z160" i="26"/>
  <c r="Z87" i="26" s="1"/>
  <c r="Y160" i="26"/>
  <c r="Y87" i="26" s="1"/>
  <c r="X160" i="26"/>
  <c r="W160" i="26"/>
  <c r="V160" i="26"/>
  <c r="V87" i="26" s="1"/>
  <c r="AO159" i="26"/>
  <c r="AN159" i="26"/>
  <c r="AM159" i="26"/>
  <c r="AL159" i="26"/>
  <c r="AK159" i="26"/>
  <c r="AJ159" i="26"/>
  <c r="AI159" i="26"/>
  <c r="AH159" i="26"/>
  <c r="AG159" i="26"/>
  <c r="AF159" i="26"/>
  <c r="AE159" i="26"/>
  <c r="AD159" i="26"/>
  <c r="AC159" i="26"/>
  <c r="AB159" i="26"/>
  <c r="AA159" i="26"/>
  <c r="Z159" i="26"/>
  <c r="Y159" i="26"/>
  <c r="X159" i="26"/>
  <c r="W159" i="26"/>
  <c r="V159" i="26"/>
  <c r="AO158" i="26"/>
  <c r="AN158" i="26"/>
  <c r="AM158" i="26"/>
  <c r="AL158" i="26"/>
  <c r="AK158" i="26"/>
  <c r="AJ158" i="26"/>
  <c r="AI158" i="26"/>
  <c r="AH158" i="26"/>
  <c r="AG158" i="26"/>
  <c r="AF158" i="26"/>
  <c r="AE158" i="26"/>
  <c r="AD158" i="26"/>
  <c r="AC158" i="26"/>
  <c r="AB158" i="26"/>
  <c r="AA158" i="26"/>
  <c r="Z158" i="26"/>
  <c r="Y158" i="26"/>
  <c r="X158" i="26"/>
  <c r="W158" i="26"/>
  <c r="V158" i="26"/>
  <c r="AO157" i="26"/>
  <c r="AN157" i="26"/>
  <c r="AM157" i="26"/>
  <c r="AL157" i="26"/>
  <c r="AK157" i="26"/>
  <c r="AJ157" i="26"/>
  <c r="AI157" i="26"/>
  <c r="AH157" i="26"/>
  <c r="AG157" i="26"/>
  <c r="AF157" i="26"/>
  <c r="AE157" i="26"/>
  <c r="AD157" i="26"/>
  <c r="AC157" i="26"/>
  <c r="AB157" i="26"/>
  <c r="AA157" i="26"/>
  <c r="Z157" i="26"/>
  <c r="Y157" i="26"/>
  <c r="X157" i="26"/>
  <c r="W157" i="26"/>
  <c r="V157" i="26"/>
  <c r="AO156" i="26"/>
  <c r="AN156" i="26"/>
  <c r="AM156" i="26"/>
  <c r="AL156" i="26"/>
  <c r="AK156" i="26"/>
  <c r="AJ156" i="26"/>
  <c r="AI156" i="26"/>
  <c r="AH156" i="26"/>
  <c r="AG156" i="26"/>
  <c r="AF156" i="26"/>
  <c r="AE156" i="26"/>
  <c r="AD156" i="26"/>
  <c r="AC156" i="26"/>
  <c r="AB156" i="26"/>
  <c r="AA156" i="26"/>
  <c r="Z156" i="26"/>
  <c r="Y156" i="26"/>
  <c r="X156" i="26"/>
  <c r="W156" i="26"/>
  <c r="V156" i="26"/>
  <c r="AO155" i="26"/>
  <c r="AN155" i="26"/>
  <c r="AM155" i="26"/>
  <c r="AL155" i="26"/>
  <c r="AK155" i="26"/>
  <c r="AJ155" i="26"/>
  <c r="AI155" i="26"/>
  <c r="AH155" i="26"/>
  <c r="AG155" i="26"/>
  <c r="AF155" i="26"/>
  <c r="AE155" i="26"/>
  <c r="AD155" i="26"/>
  <c r="AC155" i="26"/>
  <c r="AB155" i="26"/>
  <c r="AA155" i="26"/>
  <c r="Z155" i="26"/>
  <c r="Y155" i="26"/>
  <c r="X155" i="26"/>
  <c r="W155" i="26"/>
  <c r="V155" i="26"/>
  <c r="AO154" i="26"/>
  <c r="AN154" i="26"/>
  <c r="AM154" i="26"/>
  <c r="AL154" i="26"/>
  <c r="AK154" i="26"/>
  <c r="AJ154" i="26"/>
  <c r="AI154" i="26"/>
  <c r="AH154" i="26"/>
  <c r="AG154" i="26"/>
  <c r="AF154" i="26"/>
  <c r="AE154" i="26"/>
  <c r="AD154" i="26"/>
  <c r="AC154" i="26"/>
  <c r="AB154" i="26"/>
  <c r="AA154" i="26"/>
  <c r="Z154" i="26"/>
  <c r="Y154" i="26"/>
  <c r="X154" i="26"/>
  <c r="W154" i="26"/>
  <c r="V154" i="26"/>
  <c r="AO153" i="26"/>
  <c r="AN153" i="26"/>
  <c r="AM153" i="26"/>
  <c r="AL153" i="26"/>
  <c r="AK153" i="26"/>
  <c r="AJ153" i="26"/>
  <c r="AI153" i="26"/>
  <c r="AH153" i="26"/>
  <c r="AG153" i="26"/>
  <c r="AF153" i="26"/>
  <c r="AE153" i="26"/>
  <c r="AD153" i="26"/>
  <c r="AC153" i="26"/>
  <c r="AB153" i="26"/>
  <c r="AA153" i="26"/>
  <c r="Z153" i="26"/>
  <c r="Y153" i="26"/>
  <c r="X153" i="26"/>
  <c r="W153" i="26"/>
  <c r="V153" i="26"/>
  <c r="AO152" i="26"/>
  <c r="AN152" i="26"/>
  <c r="AM152" i="26"/>
  <c r="AL152" i="26"/>
  <c r="AK152" i="26"/>
  <c r="AJ152" i="26"/>
  <c r="AI152" i="26"/>
  <c r="AH152" i="26"/>
  <c r="AG152" i="26"/>
  <c r="AF152" i="26"/>
  <c r="AE152" i="26"/>
  <c r="AD152" i="26"/>
  <c r="AC152" i="26"/>
  <c r="AB152" i="26"/>
  <c r="AA152" i="26"/>
  <c r="Z152" i="26"/>
  <c r="Y152" i="26"/>
  <c r="X152" i="26"/>
  <c r="W152" i="26"/>
  <c r="V152" i="26"/>
  <c r="AO151" i="26"/>
  <c r="AN151" i="26"/>
  <c r="AM151" i="26"/>
  <c r="AL151" i="26"/>
  <c r="AK151" i="26"/>
  <c r="AJ151" i="26"/>
  <c r="AI151" i="26"/>
  <c r="AH151" i="26"/>
  <c r="AG151" i="26"/>
  <c r="AF151" i="26"/>
  <c r="AE151" i="26"/>
  <c r="AD151" i="26"/>
  <c r="AC151" i="26"/>
  <c r="AB151" i="26"/>
  <c r="AA151" i="26"/>
  <c r="Z151" i="26"/>
  <c r="Y151" i="26"/>
  <c r="X151" i="26"/>
  <c r="W151" i="26"/>
  <c r="V151" i="26"/>
  <c r="AO150" i="26"/>
  <c r="AN150" i="26"/>
  <c r="AM150" i="26"/>
  <c r="AL150" i="26"/>
  <c r="AK150" i="26"/>
  <c r="AJ150" i="26"/>
  <c r="AI150" i="26"/>
  <c r="AH150" i="26"/>
  <c r="AG150" i="26"/>
  <c r="AF150" i="26"/>
  <c r="AE150" i="26"/>
  <c r="AD150" i="26"/>
  <c r="AC150" i="26"/>
  <c r="AB150" i="26"/>
  <c r="AA150" i="26"/>
  <c r="Z150" i="26"/>
  <c r="Y150" i="26"/>
  <c r="X150" i="26"/>
  <c r="W150" i="26"/>
  <c r="V150" i="26"/>
  <c r="AO149" i="26"/>
  <c r="AN149" i="26"/>
  <c r="AM149" i="26"/>
  <c r="AL149" i="26"/>
  <c r="AK149" i="26"/>
  <c r="AJ149" i="26"/>
  <c r="AI149" i="26"/>
  <c r="AH149" i="26"/>
  <c r="AG149" i="26"/>
  <c r="AF149" i="26"/>
  <c r="AE149" i="26"/>
  <c r="AD149" i="26"/>
  <c r="AC149" i="26"/>
  <c r="AB149" i="26"/>
  <c r="AA149" i="26"/>
  <c r="Z149" i="26"/>
  <c r="Y149" i="26"/>
  <c r="X149" i="26"/>
  <c r="W149" i="26"/>
  <c r="V149" i="26"/>
  <c r="AO148" i="26"/>
  <c r="AN148" i="26"/>
  <c r="AM148" i="26"/>
  <c r="AL148" i="26"/>
  <c r="AK148" i="26"/>
  <c r="AJ148" i="26"/>
  <c r="AI148" i="26"/>
  <c r="AH148" i="26"/>
  <c r="AG148" i="26"/>
  <c r="AF148" i="26"/>
  <c r="AE148" i="26"/>
  <c r="AD148" i="26"/>
  <c r="AC148" i="26"/>
  <c r="AB148" i="26"/>
  <c r="AA148" i="26"/>
  <c r="Z148" i="26"/>
  <c r="Y148" i="26"/>
  <c r="X148" i="26"/>
  <c r="W148" i="26"/>
  <c r="V148" i="26"/>
  <c r="AO147" i="26"/>
  <c r="AN147" i="26"/>
  <c r="AM147" i="26"/>
  <c r="AL147" i="26"/>
  <c r="AK147" i="26"/>
  <c r="AJ147" i="26"/>
  <c r="AI147" i="26"/>
  <c r="AH147" i="26"/>
  <c r="AG147" i="26"/>
  <c r="AF147" i="26"/>
  <c r="AE147" i="26"/>
  <c r="AD147" i="26"/>
  <c r="AC147" i="26"/>
  <c r="AB147" i="26"/>
  <c r="AA147" i="26"/>
  <c r="Z147" i="26"/>
  <c r="Y147" i="26"/>
  <c r="X147" i="26"/>
  <c r="W147" i="26"/>
  <c r="V147" i="26"/>
  <c r="AO146" i="26"/>
  <c r="AN146" i="26"/>
  <c r="AM146" i="26"/>
  <c r="AL146" i="26"/>
  <c r="AK146" i="26"/>
  <c r="AJ146" i="26"/>
  <c r="AI146" i="26"/>
  <c r="AH146" i="26"/>
  <c r="AG146" i="26"/>
  <c r="AF146" i="26"/>
  <c r="AE146" i="26"/>
  <c r="AD146" i="26"/>
  <c r="AC146" i="26"/>
  <c r="AB146" i="26"/>
  <c r="AA146" i="26"/>
  <c r="Z146" i="26"/>
  <c r="Y146" i="26"/>
  <c r="X146" i="26"/>
  <c r="W146" i="26"/>
  <c r="V146" i="26"/>
  <c r="AO145" i="26"/>
  <c r="AN145" i="26"/>
  <c r="AM145" i="26"/>
  <c r="AL145" i="26"/>
  <c r="AK145" i="26"/>
  <c r="AJ145" i="26"/>
  <c r="AI145" i="26"/>
  <c r="AH145" i="26"/>
  <c r="AG145" i="26"/>
  <c r="AF145" i="26"/>
  <c r="AE145" i="26"/>
  <c r="AD145" i="26"/>
  <c r="AC145" i="26"/>
  <c r="AB145" i="26"/>
  <c r="AA145" i="26"/>
  <c r="Z145" i="26"/>
  <c r="Y145" i="26"/>
  <c r="X145" i="26"/>
  <c r="W145" i="26"/>
  <c r="V145" i="26"/>
  <c r="AO144" i="26"/>
  <c r="AN144" i="26"/>
  <c r="AM144" i="26"/>
  <c r="AL144" i="26"/>
  <c r="AK144" i="26"/>
  <c r="AJ144" i="26"/>
  <c r="AI144" i="26"/>
  <c r="AH144" i="26"/>
  <c r="AG144" i="26"/>
  <c r="AF144" i="26"/>
  <c r="AE144" i="26"/>
  <c r="AD144" i="26"/>
  <c r="AC144" i="26"/>
  <c r="AB144" i="26"/>
  <c r="AA144" i="26"/>
  <c r="Z144" i="26"/>
  <c r="Y144" i="26"/>
  <c r="X144" i="26"/>
  <c r="W144" i="26"/>
  <c r="V144" i="26"/>
  <c r="AO143" i="26"/>
  <c r="AN143" i="26"/>
  <c r="AM143" i="26"/>
  <c r="AL143" i="26"/>
  <c r="AK143" i="26"/>
  <c r="AJ143" i="26"/>
  <c r="AI143" i="26"/>
  <c r="AH143" i="26"/>
  <c r="AG143" i="26"/>
  <c r="AF143" i="26"/>
  <c r="AE143" i="26"/>
  <c r="AD143" i="26"/>
  <c r="AC143" i="26"/>
  <c r="AB143" i="26"/>
  <c r="AA143" i="26"/>
  <c r="Z143" i="26"/>
  <c r="Y143" i="26"/>
  <c r="X143" i="26"/>
  <c r="W143" i="26"/>
  <c r="V143" i="26"/>
  <c r="AO142" i="26"/>
  <c r="AN142" i="26"/>
  <c r="AM142" i="26"/>
  <c r="AL142" i="26"/>
  <c r="AK142" i="26"/>
  <c r="AJ142" i="26"/>
  <c r="AI142" i="26"/>
  <c r="AH142" i="26"/>
  <c r="AG142" i="26"/>
  <c r="AF142" i="26"/>
  <c r="AE142" i="26"/>
  <c r="AD142" i="26"/>
  <c r="AC142" i="26"/>
  <c r="AB142" i="26"/>
  <c r="AA142" i="26"/>
  <c r="Z142" i="26"/>
  <c r="Y142" i="26"/>
  <c r="X142" i="26"/>
  <c r="W142" i="26"/>
  <c r="V142" i="26"/>
  <c r="AO141" i="26"/>
  <c r="AN141" i="26"/>
  <c r="AM141" i="26"/>
  <c r="AL141" i="26"/>
  <c r="AK141" i="26"/>
  <c r="AJ141" i="26"/>
  <c r="AI141" i="26"/>
  <c r="AH141" i="26"/>
  <c r="AG141" i="26"/>
  <c r="AF141" i="26"/>
  <c r="AE141" i="26"/>
  <c r="AD141" i="26"/>
  <c r="AC141" i="26"/>
  <c r="AB141" i="26"/>
  <c r="AA141" i="26"/>
  <c r="Z141" i="26"/>
  <c r="Y141" i="26"/>
  <c r="X141" i="26"/>
  <c r="W141" i="26"/>
  <c r="V141" i="26"/>
  <c r="AO140" i="26"/>
  <c r="AN140" i="26"/>
  <c r="AM140" i="26"/>
  <c r="AL140" i="26"/>
  <c r="AK140" i="26"/>
  <c r="AJ140" i="26"/>
  <c r="AI140" i="26"/>
  <c r="AH140" i="26"/>
  <c r="AG140" i="26"/>
  <c r="AF140" i="26"/>
  <c r="AE140" i="26"/>
  <c r="AD140" i="26"/>
  <c r="AC140" i="26"/>
  <c r="AB140" i="26"/>
  <c r="AA140" i="26"/>
  <c r="Z140" i="26"/>
  <c r="Y140" i="26"/>
  <c r="X140" i="26"/>
  <c r="W140" i="26"/>
  <c r="V140" i="26"/>
  <c r="AO139" i="26"/>
  <c r="AN139" i="26"/>
  <c r="AM139" i="26"/>
  <c r="AL139" i="26"/>
  <c r="AK139" i="26"/>
  <c r="AJ139" i="26"/>
  <c r="AI139" i="26"/>
  <c r="AH139" i="26"/>
  <c r="AG139" i="26"/>
  <c r="AF139" i="26"/>
  <c r="AE139" i="26"/>
  <c r="AD139" i="26"/>
  <c r="AC139" i="26"/>
  <c r="AB139" i="26"/>
  <c r="AA139" i="26"/>
  <c r="Z139" i="26"/>
  <c r="Y139" i="26"/>
  <c r="X139" i="26"/>
  <c r="W139" i="26"/>
  <c r="V139" i="26"/>
  <c r="AO138" i="26"/>
  <c r="AN138" i="26"/>
  <c r="AM138" i="26"/>
  <c r="AL138" i="26"/>
  <c r="AK138" i="26"/>
  <c r="AJ138" i="26"/>
  <c r="AI138" i="26"/>
  <c r="AH138" i="26"/>
  <c r="AG138" i="26"/>
  <c r="AF138" i="26"/>
  <c r="AE138" i="26"/>
  <c r="AD138" i="26"/>
  <c r="AC138" i="26"/>
  <c r="AB138" i="26"/>
  <c r="AA138" i="26"/>
  <c r="Z138" i="26"/>
  <c r="Y138" i="26"/>
  <c r="X138" i="26"/>
  <c r="W138" i="26"/>
  <c r="V138" i="26"/>
  <c r="AO137" i="26"/>
  <c r="AN137" i="26"/>
  <c r="AM137" i="26"/>
  <c r="AL137" i="26"/>
  <c r="AK137" i="26"/>
  <c r="AJ137" i="26"/>
  <c r="AI137" i="26"/>
  <c r="AH137" i="26"/>
  <c r="AG137" i="26"/>
  <c r="AF137" i="26"/>
  <c r="AE137" i="26"/>
  <c r="AD137" i="26"/>
  <c r="AC137" i="26"/>
  <c r="AB137" i="26"/>
  <c r="AA137" i="26"/>
  <c r="Z137" i="26"/>
  <c r="Y137" i="26"/>
  <c r="X137" i="26"/>
  <c r="W137" i="26"/>
  <c r="V137" i="26"/>
  <c r="AO136" i="26"/>
  <c r="AN136" i="26"/>
  <c r="AM136" i="26"/>
  <c r="AL136" i="26"/>
  <c r="AK136" i="26"/>
  <c r="AJ136" i="26"/>
  <c r="AI136" i="26"/>
  <c r="AH136" i="26"/>
  <c r="AG136" i="26"/>
  <c r="AF136" i="26"/>
  <c r="AE136" i="26"/>
  <c r="AD136" i="26"/>
  <c r="AC136" i="26"/>
  <c r="AB136" i="26"/>
  <c r="AA136" i="26"/>
  <c r="Z136" i="26"/>
  <c r="Y136" i="26"/>
  <c r="X136" i="26"/>
  <c r="W136" i="26"/>
  <c r="V136" i="26"/>
  <c r="AO135" i="26"/>
  <c r="AN135" i="26"/>
  <c r="AM135" i="26"/>
  <c r="AL135" i="26"/>
  <c r="AK135" i="26"/>
  <c r="AJ135" i="26"/>
  <c r="AI135" i="26"/>
  <c r="AH135" i="26"/>
  <c r="AG135" i="26"/>
  <c r="AF135" i="26"/>
  <c r="AE135" i="26"/>
  <c r="AD135" i="26"/>
  <c r="AC135" i="26"/>
  <c r="AB135" i="26"/>
  <c r="AA135" i="26"/>
  <c r="Z135" i="26"/>
  <c r="Y135" i="26"/>
  <c r="X135" i="26"/>
  <c r="W135" i="26"/>
  <c r="V135" i="26"/>
  <c r="AO134" i="26"/>
  <c r="AN134" i="26"/>
  <c r="AM134" i="26"/>
  <c r="AL134" i="26"/>
  <c r="AK134" i="26"/>
  <c r="AJ134" i="26"/>
  <c r="AI134" i="26"/>
  <c r="AH134" i="26"/>
  <c r="AG134" i="26"/>
  <c r="AF134" i="26"/>
  <c r="AE134" i="26"/>
  <c r="AD134" i="26"/>
  <c r="AC134" i="26"/>
  <c r="AB134" i="26"/>
  <c r="AA134" i="26"/>
  <c r="Z134" i="26"/>
  <c r="Y134" i="26"/>
  <c r="X134" i="26"/>
  <c r="W134" i="26"/>
  <c r="V134" i="26"/>
  <c r="AO133" i="26"/>
  <c r="AN133" i="26"/>
  <c r="AM133" i="26"/>
  <c r="AL133" i="26"/>
  <c r="AK133" i="26"/>
  <c r="AJ133" i="26"/>
  <c r="AI133" i="26"/>
  <c r="AH133" i="26"/>
  <c r="AG133" i="26"/>
  <c r="AF133" i="26"/>
  <c r="AE133" i="26"/>
  <c r="AD133" i="26"/>
  <c r="AC133" i="26"/>
  <c r="AB133" i="26"/>
  <c r="AA133" i="26"/>
  <c r="Z133" i="26"/>
  <c r="Y133" i="26"/>
  <c r="X133" i="26"/>
  <c r="W133" i="26"/>
  <c r="V133" i="26"/>
  <c r="AO132" i="26"/>
  <c r="AN132" i="26"/>
  <c r="AM132" i="26"/>
  <c r="AL132" i="26"/>
  <c r="AK132" i="26"/>
  <c r="AJ132" i="26"/>
  <c r="AI132" i="26"/>
  <c r="AH132" i="26"/>
  <c r="AG132" i="26"/>
  <c r="AF132" i="26"/>
  <c r="AE132" i="26"/>
  <c r="AD132" i="26"/>
  <c r="AC132" i="26"/>
  <c r="AB132" i="26"/>
  <c r="AA132" i="26"/>
  <c r="Z132" i="26"/>
  <c r="Y132" i="26"/>
  <c r="X132" i="26"/>
  <c r="W132" i="26"/>
  <c r="V132" i="26"/>
  <c r="AO131" i="26"/>
  <c r="AN131" i="26"/>
  <c r="AM131" i="26"/>
  <c r="AL131" i="26"/>
  <c r="AK131" i="26"/>
  <c r="AJ131" i="26"/>
  <c r="AI131" i="26"/>
  <c r="AH131" i="26"/>
  <c r="AG131" i="26"/>
  <c r="AF131" i="26"/>
  <c r="AE131" i="26"/>
  <c r="AD131" i="26"/>
  <c r="AC131" i="26"/>
  <c r="AB131" i="26"/>
  <c r="AA131" i="26"/>
  <c r="Z131" i="26"/>
  <c r="Y131" i="26"/>
  <c r="X131" i="26"/>
  <c r="W131" i="26"/>
  <c r="V131" i="26"/>
  <c r="AO130" i="26"/>
  <c r="AN130" i="26"/>
  <c r="AM130" i="26"/>
  <c r="AL130" i="26"/>
  <c r="AK130" i="26"/>
  <c r="AJ130" i="26"/>
  <c r="AI130" i="26"/>
  <c r="AH130" i="26"/>
  <c r="AG130" i="26"/>
  <c r="AF130" i="26"/>
  <c r="AE130" i="26"/>
  <c r="AD130" i="26"/>
  <c r="AC130" i="26"/>
  <c r="AB130" i="26"/>
  <c r="AA130" i="26"/>
  <c r="Z130" i="26"/>
  <c r="Y130" i="26"/>
  <c r="X130" i="26"/>
  <c r="W130" i="26"/>
  <c r="V130" i="26"/>
  <c r="AO129" i="26"/>
  <c r="AN129" i="26"/>
  <c r="AM129" i="26"/>
  <c r="AL129" i="26"/>
  <c r="AK129" i="26"/>
  <c r="AJ129" i="26"/>
  <c r="AI129" i="26"/>
  <c r="AH129" i="26"/>
  <c r="AG129" i="26"/>
  <c r="AF129" i="26"/>
  <c r="AE129" i="26"/>
  <c r="AD129" i="26"/>
  <c r="AC129" i="26"/>
  <c r="AB129" i="26"/>
  <c r="AA129" i="26"/>
  <c r="Z129" i="26"/>
  <c r="Y129" i="26"/>
  <c r="X129" i="26"/>
  <c r="W129" i="26"/>
  <c r="V129" i="26"/>
  <c r="AO128" i="26"/>
  <c r="AN128" i="26"/>
  <c r="AM128" i="26"/>
  <c r="AL128" i="26"/>
  <c r="AK128" i="26"/>
  <c r="AJ128" i="26"/>
  <c r="AI128" i="26"/>
  <c r="AH128" i="26"/>
  <c r="AG128" i="26"/>
  <c r="AF128" i="26"/>
  <c r="AE128" i="26"/>
  <c r="AD128" i="26"/>
  <c r="AC128" i="26"/>
  <c r="AB128" i="26"/>
  <c r="AA128" i="26"/>
  <c r="Z128" i="26"/>
  <c r="Y128" i="26"/>
  <c r="X128" i="26"/>
  <c r="W128" i="26"/>
  <c r="V128" i="26"/>
  <c r="AO127" i="26"/>
  <c r="AN127" i="26"/>
  <c r="AM127" i="26"/>
  <c r="AL127" i="26"/>
  <c r="AK127" i="26"/>
  <c r="AJ127" i="26"/>
  <c r="AI127" i="26"/>
  <c r="AH127" i="26"/>
  <c r="AG127" i="26"/>
  <c r="AF127" i="26"/>
  <c r="AE127" i="26"/>
  <c r="AD127" i="26"/>
  <c r="AC127" i="26"/>
  <c r="AB127" i="26"/>
  <c r="AA127" i="26"/>
  <c r="Z127" i="26"/>
  <c r="Y127" i="26"/>
  <c r="X127" i="26"/>
  <c r="W127" i="26"/>
  <c r="V127" i="26"/>
  <c r="AO126" i="26"/>
  <c r="AN126" i="26"/>
  <c r="AM126" i="26"/>
  <c r="AL126" i="26"/>
  <c r="AK126" i="26"/>
  <c r="AJ126" i="26"/>
  <c r="AI126" i="26"/>
  <c r="AH126" i="26"/>
  <c r="AG126" i="26"/>
  <c r="AF126" i="26"/>
  <c r="AE126" i="26"/>
  <c r="AD126" i="26"/>
  <c r="AC126" i="26"/>
  <c r="AB126" i="26"/>
  <c r="AA126" i="26"/>
  <c r="Z126" i="26"/>
  <c r="Y126" i="26"/>
  <c r="X126" i="26"/>
  <c r="W126" i="26"/>
  <c r="V126" i="26"/>
  <c r="AO125" i="26"/>
  <c r="AN125" i="26"/>
  <c r="AM125" i="26"/>
  <c r="AL125" i="26"/>
  <c r="AK125" i="26"/>
  <c r="AJ125" i="26"/>
  <c r="AI125" i="26"/>
  <c r="AH125" i="26"/>
  <c r="AG125" i="26"/>
  <c r="AF125" i="26"/>
  <c r="AE125" i="26"/>
  <c r="AD125" i="26"/>
  <c r="AC125" i="26"/>
  <c r="AB125" i="26"/>
  <c r="AA125" i="26"/>
  <c r="Z125" i="26"/>
  <c r="Y125" i="26"/>
  <c r="X125" i="26"/>
  <c r="W125" i="26"/>
  <c r="V125" i="26"/>
  <c r="AO124" i="26"/>
  <c r="AN124" i="26"/>
  <c r="AM124" i="26"/>
  <c r="AL124" i="26"/>
  <c r="AK124" i="26"/>
  <c r="AJ124" i="26"/>
  <c r="AI124" i="26"/>
  <c r="AH124" i="26"/>
  <c r="AG124" i="26"/>
  <c r="AF124" i="26"/>
  <c r="AE124" i="26"/>
  <c r="AD124" i="26"/>
  <c r="AC124" i="26"/>
  <c r="AB124" i="26"/>
  <c r="AA124" i="26"/>
  <c r="Z124" i="26"/>
  <c r="Y124" i="26"/>
  <c r="X124" i="26"/>
  <c r="W124" i="26"/>
  <c r="V124" i="26"/>
  <c r="AO123" i="26"/>
  <c r="AN123" i="26"/>
  <c r="AM123" i="26"/>
  <c r="AL123" i="26"/>
  <c r="AK123" i="26"/>
  <c r="AJ123" i="26"/>
  <c r="AI123" i="26"/>
  <c r="AH123" i="26"/>
  <c r="AG123" i="26"/>
  <c r="AF123" i="26"/>
  <c r="AE123" i="26"/>
  <c r="AD123" i="26"/>
  <c r="AC123" i="26"/>
  <c r="AB123" i="26"/>
  <c r="AA123" i="26"/>
  <c r="Z123" i="26"/>
  <c r="Y123" i="26"/>
  <c r="X123" i="26"/>
  <c r="W123" i="26"/>
  <c r="V123" i="26"/>
  <c r="AO122" i="26"/>
  <c r="AN122" i="26"/>
  <c r="AM122" i="26"/>
  <c r="AL122" i="26"/>
  <c r="AK122" i="26"/>
  <c r="AJ122" i="26"/>
  <c r="AI122" i="26"/>
  <c r="AH122" i="26"/>
  <c r="AG122" i="26"/>
  <c r="AF122" i="26"/>
  <c r="AE122" i="26"/>
  <c r="AD122" i="26"/>
  <c r="AC122" i="26"/>
  <c r="AB122" i="26"/>
  <c r="AA122" i="26"/>
  <c r="Z122" i="26"/>
  <c r="Y122" i="26"/>
  <c r="X122" i="26"/>
  <c r="W122" i="26"/>
  <c r="V122" i="26"/>
  <c r="AO121" i="26"/>
  <c r="AN121" i="26"/>
  <c r="AM121" i="26"/>
  <c r="AL121" i="26"/>
  <c r="AK121" i="26"/>
  <c r="AJ121" i="26"/>
  <c r="AI121" i="26"/>
  <c r="AH121" i="26"/>
  <c r="AG121" i="26"/>
  <c r="AF121" i="26"/>
  <c r="AE121" i="26"/>
  <c r="AD121" i="26"/>
  <c r="AC121" i="26"/>
  <c r="AB121" i="26"/>
  <c r="AA121" i="26"/>
  <c r="Z121" i="26"/>
  <c r="Y121" i="26"/>
  <c r="X121" i="26"/>
  <c r="W121" i="26"/>
  <c r="V121" i="26"/>
  <c r="AO120" i="26"/>
  <c r="AN120" i="26"/>
  <c r="AM120" i="26"/>
  <c r="AL120" i="26"/>
  <c r="AK120" i="26"/>
  <c r="AJ120" i="26"/>
  <c r="AI120" i="26"/>
  <c r="AH120" i="26"/>
  <c r="AG120" i="26"/>
  <c r="AF120" i="26"/>
  <c r="AE120" i="26"/>
  <c r="AD120" i="26"/>
  <c r="AC120" i="26"/>
  <c r="AB120" i="26"/>
  <c r="AA120" i="26"/>
  <c r="Z120" i="26"/>
  <c r="Y120" i="26"/>
  <c r="X120" i="26"/>
  <c r="W120" i="26"/>
  <c r="V120" i="26"/>
  <c r="AO119" i="26"/>
  <c r="AN119" i="26"/>
  <c r="AM119" i="26"/>
  <c r="AL119" i="26"/>
  <c r="AK119" i="26"/>
  <c r="AJ119" i="26"/>
  <c r="AI119" i="26"/>
  <c r="AH119" i="26"/>
  <c r="AG119" i="26"/>
  <c r="AF119" i="26"/>
  <c r="AE119" i="26"/>
  <c r="AD119" i="26"/>
  <c r="AC119" i="26"/>
  <c r="AB119" i="26"/>
  <c r="AA119" i="26"/>
  <c r="Z119" i="26"/>
  <c r="Y119" i="26"/>
  <c r="X119" i="26"/>
  <c r="W119" i="26"/>
  <c r="V119" i="26"/>
  <c r="AO118" i="26"/>
  <c r="AN118" i="26"/>
  <c r="AM118" i="26"/>
  <c r="AL118" i="26"/>
  <c r="AK118" i="26"/>
  <c r="AJ118" i="26"/>
  <c r="AI118" i="26"/>
  <c r="AH118" i="26"/>
  <c r="AG118" i="26"/>
  <c r="AF118" i="26"/>
  <c r="AE118" i="26"/>
  <c r="AD118" i="26"/>
  <c r="AC118" i="26"/>
  <c r="AB118" i="26"/>
  <c r="AA118" i="26"/>
  <c r="Z118" i="26"/>
  <c r="Y118" i="26"/>
  <c r="X118" i="26"/>
  <c r="W118" i="26"/>
  <c r="V118" i="26"/>
  <c r="AO117" i="26"/>
  <c r="AN117" i="26"/>
  <c r="AM117" i="26"/>
  <c r="AL117" i="26"/>
  <c r="AK117" i="26"/>
  <c r="AJ117" i="26"/>
  <c r="AI117" i="26"/>
  <c r="AH117" i="26"/>
  <c r="AG117" i="26"/>
  <c r="AF117" i="26"/>
  <c r="AE117" i="26"/>
  <c r="AD117" i="26"/>
  <c r="AC117" i="26"/>
  <c r="AB117" i="26"/>
  <c r="AA117" i="26"/>
  <c r="Z117" i="26"/>
  <c r="Y117" i="26"/>
  <c r="X117" i="26"/>
  <c r="W117" i="26"/>
  <c r="V117" i="26"/>
  <c r="AO116" i="26"/>
  <c r="AN116" i="26"/>
  <c r="AM116" i="26"/>
  <c r="AL116" i="26"/>
  <c r="AK116" i="26"/>
  <c r="AJ116" i="26"/>
  <c r="AI116" i="26"/>
  <c r="AH116" i="26"/>
  <c r="AG116" i="26"/>
  <c r="AF116" i="26"/>
  <c r="AE116" i="26"/>
  <c r="AD116" i="26"/>
  <c r="AC116" i="26"/>
  <c r="AB116" i="26"/>
  <c r="AA116" i="26"/>
  <c r="Z116" i="26"/>
  <c r="Y116" i="26"/>
  <c r="X116" i="26"/>
  <c r="W116" i="26"/>
  <c r="V116" i="26"/>
  <c r="AO115" i="26"/>
  <c r="AN115" i="26"/>
  <c r="AM115" i="26"/>
  <c r="AL115" i="26"/>
  <c r="AK115" i="26"/>
  <c r="AJ115" i="26"/>
  <c r="AI115" i="26"/>
  <c r="AH115" i="26"/>
  <c r="AG115" i="26"/>
  <c r="AF115" i="26"/>
  <c r="AE115" i="26"/>
  <c r="AD115" i="26"/>
  <c r="AC115" i="26"/>
  <c r="AB115" i="26"/>
  <c r="AA115" i="26"/>
  <c r="Z115" i="26"/>
  <c r="Y115" i="26"/>
  <c r="X115" i="26"/>
  <c r="W115" i="26"/>
  <c r="V115" i="26"/>
  <c r="AO114" i="26"/>
  <c r="AN114" i="26"/>
  <c r="AM114" i="26"/>
  <c r="AL114" i="26"/>
  <c r="AK114" i="26"/>
  <c r="AJ114" i="26"/>
  <c r="AI114" i="26"/>
  <c r="AH114" i="26"/>
  <c r="AG114" i="26"/>
  <c r="AF114" i="26"/>
  <c r="AE114" i="26"/>
  <c r="AD114" i="26"/>
  <c r="AC114" i="26"/>
  <c r="AB114" i="26"/>
  <c r="AA114" i="26"/>
  <c r="Z114" i="26"/>
  <c r="Y114" i="26"/>
  <c r="X114" i="26"/>
  <c r="W114" i="26"/>
  <c r="V114" i="26"/>
  <c r="AO113" i="26"/>
  <c r="AN113" i="26"/>
  <c r="AM113" i="26"/>
  <c r="AL113" i="26"/>
  <c r="AK113" i="26"/>
  <c r="AJ113" i="26"/>
  <c r="AI113" i="26"/>
  <c r="AH113" i="26"/>
  <c r="AG113" i="26"/>
  <c r="AF113" i="26"/>
  <c r="AE113" i="26"/>
  <c r="AD113" i="26"/>
  <c r="AC113" i="26"/>
  <c r="AB113" i="26"/>
  <c r="AA113" i="26"/>
  <c r="Z113" i="26"/>
  <c r="Y113" i="26"/>
  <c r="X113" i="26"/>
  <c r="W113" i="26"/>
  <c r="V113" i="26"/>
  <c r="AO112" i="26"/>
  <c r="AN112" i="26"/>
  <c r="AM112" i="26"/>
  <c r="AL112" i="26"/>
  <c r="AK112" i="26"/>
  <c r="AJ112" i="26"/>
  <c r="AI112" i="26"/>
  <c r="AH112" i="26"/>
  <c r="AG112" i="26"/>
  <c r="AF112" i="26"/>
  <c r="AE112" i="26"/>
  <c r="AD112" i="26"/>
  <c r="AC112" i="26"/>
  <c r="AB112" i="26"/>
  <c r="AA112" i="26"/>
  <c r="Z112" i="26"/>
  <c r="Y112" i="26"/>
  <c r="X112" i="26"/>
  <c r="W112" i="26"/>
  <c r="V112" i="26"/>
  <c r="AO111" i="26"/>
  <c r="AN111" i="26"/>
  <c r="AM111" i="26"/>
  <c r="AL111" i="26"/>
  <c r="AK111" i="26"/>
  <c r="AJ111" i="26"/>
  <c r="AI111" i="26"/>
  <c r="AH111" i="26"/>
  <c r="AG111" i="26"/>
  <c r="AF111" i="26"/>
  <c r="AE111" i="26"/>
  <c r="AD111" i="26"/>
  <c r="AC111" i="26"/>
  <c r="AB111" i="26"/>
  <c r="AA111" i="26"/>
  <c r="Z111" i="26"/>
  <c r="Y111" i="26"/>
  <c r="X111" i="26"/>
  <c r="W111" i="26"/>
  <c r="V111" i="26"/>
  <c r="AO110" i="26"/>
  <c r="AN110" i="26"/>
  <c r="AM110" i="26"/>
  <c r="AL110" i="26"/>
  <c r="AK110" i="26"/>
  <c r="AJ110" i="26"/>
  <c r="AI110" i="26"/>
  <c r="AH110" i="26"/>
  <c r="AG110" i="26"/>
  <c r="AF110" i="26"/>
  <c r="AE110" i="26"/>
  <c r="AD110" i="26"/>
  <c r="AC110" i="26"/>
  <c r="AB110" i="26"/>
  <c r="AA110" i="26"/>
  <c r="Z110" i="26"/>
  <c r="Y110" i="26"/>
  <c r="X110" i="26"/>
  <c r="W110" i="26"/>
  <c r="V110" i="26"/>
  <c r="AO109" i="26"/>
  <c r="AN109" i="26"/>
  <c r="AM109" i="26"/>
  <c r="AL109" i="26"/>
  <c r="AK109" i="26"/>
  <c r="AJ109" i="26"/>
  <c r="AI109" i="26"/>
  <c r="AH109" i="26"/>
  <c r="AG109" i="26"/>
  <c r="AF109" i="26"/>
  <c r="AE109" i="26"/>
  <c r="AD109" i="26"/>
  <c r="AC109" i="26"/>
  <c r="AB109" i="26"/>
  <c r="AA109" i="26"/>
  <c r="Z109" i="26"/>
  <c r="Y109" i="26"/>
  <c r="X109" i="26"/>
  <c r="W109" i="26"/>
  <c r="V109" i="26"/>
  <c r="AO108" i="26"/>
  <c r="AN108" i="26"/>
  <c r="AM108" i="26"/>
  <c r="AL108" i="26"/>
  <c r="AK108" i="26"/>
  <c r="AJ108" i="26"/>
  <c r="AI108" i="26"/>
  <c r="AH108" i="26"/>
  <c r="AG108" i="26"/>
  <c r="AF108" i="26"/>
  <c r="AE108" i="26"/>
  <c r="AD108" i="26"/>
  <c r="AC108" i="26"/>
  <c r="AB108" i="26"/>
  <c r="AA108" i="26"/>
  <c r="Z108" i="26"/>
  <c r="Y108" i="26"/>
  <c r="X108" i="26"/>
  <c r="W108" i="26"/>
  <c r="V108" i="26"/>
  <c r="AO107" i="26"/>
  <c r="AN107" i="26"/>
  <c r="AM107" i="26"/>
  <c r="AL107" i="26"/>
  <c r="AK107" i="26"/>
  <c r="AJ107" i="26"/>
  <c r="AI107" i="26"/>
  <c r="AH107" i="26"/>
  <c r="AG107" i="26"/>
  <c r="AF107" i="26"/>
  <c r="AE107" i="26"/>
  <c r="AD107" i="26"/>
  <c r="AC107" i="26"/>
  <c r="AB107" i="26"/>
  <c r="AA107" i="26"/>
  <c r="Z107" i="26"/>
  <c r="Y107" i="26"/>
  <c r="X107" i="26"/>
  <c r="W107" i="26"/>
  <c r="V107" i="26"/>
  <c r="AO106" i="26"/>
  <c r="AN106" i="26"/>
  <c r="AM106" i="26"/>
  <c r="AL106" i="26"/>
  <c r="AK106" i="26"/>
  <c r="AJ106" i="26"/>
  <c r="AI106" i="26"/>
  <c r="AH106" i="26"/>
  <c r="AG106" i="26"/>
  <c r="AF106" i="26"/>
  <c r="AE106" i="26"/>
  <c r="AD106" i="26"/>
  <c r="AC106" i="26"/>
  <c r="AB106" i="26"/>
  <c r="AA106" i="26"/>
  <c r="Z106" i="26"/>
  <c r="Y106" i="26"/>
  <c r="X106" i="26"/>
  <c r="W106" i="26"/>
  <c r="V106" i="26"/>
  <c r="AO105" i="26"/>
  <c r="AN105" i="26"/>
  <c r="AM105" i="26"/>
  <c r="AL105" i="26"/>
  <c r="AK105" i="26"/>
  <c r="AJ105" i="26"/>
  <c r="AI105" i="26"/>
  <c r="AH105" i="26"/>
  <c r="AG105" i="26"/>
  <c r="AF105" i="26"/>
  <c r="AE105" i="26"/>
  <c r="AD105" i="26"/>
  <c r="AC105" i="26"/>
  <c r="AB105" i="26"/>
  <c r="AA105" i="26"/>
  <c r="Z105" i="26"/>
  <c r="Y105" i="26"/>
  <c r="X105" i="26"/>
  <c r="W105" i="26"/>
  <c r="V105" i="26"/>
  <c r="AO104" i="26"/>
  <c r="AN104" i="26"/>
  <c r="AM104" i="26"/>
  <c r="AL104" i="26"/>
  <c r="AK104" i="26"/>
  <c r="AJ104" i="26"/>
  <c r="AI104" i="26"/>
  <c r="AH104" i="26"/>
  <c r="AG104" i="26"/>
  <c r="AF104" i="26"/>
  <c r="AE104" i="26"/>
  <c r="AD104" i="26"/>
  <c r="AC104" i="26"/>
  <c r="AB104" i="26"/>
  <c r="AA104" i="26"/>
  <c r="Z104" i="26"/>
  <c r="Y104" i="26"/>
  <c r="X104" i="26"/>
  <c r="W104" i="26"/>
  <c r="V104" i="26"/>
  <c r="AO103" i="26"/>
  <c r="AN103" i="26"/>
  <c r="AM103" i="26"/>
  <c r="AL103" i="26"/>
  <c r="AK103" i="26"/>
  <c r="AJ103" i="26"/>
  <c r="AI103" i="26"/>
  <c r="AH103" i="26"/>
  <c r="AG103" i="26"/>
  <c r="AF103" i="26"/>
  <c r="AE103" i="26"/>
  <c r="AD103" i="26"/>
  <c r="AC103" i="26"/>
  <c r="AB103" i="26"/>
  <c r="AA103" i="26"/>
  <c r="Z103" i="26"/>
  <c r="Y103" i="26"/>
  <c r="X103" i="26"/>
  <c r="W103" i="26"/>
  <c r="V103" i="26"/>
  <c r="AO102" i="26"/>
  <c r="AN102" i="26"/>
  <c r="AM102" i="26"/>
  <c r="AL102" i="26"/>
  <c r="AK102" i="26"/>
  <c r="AJ102" i="26"/>
  <c r="AI102" i="26"/>
  <c r="AH102" i="26"/>
  <c r="AG102" i="26"/>
  <c r="AF102" i="26"/>
  <c r="AE102" i="26"/>
  <c r="AD102" i="26"/>
  <c r="AC102" i="26"/>
  <c r="AB102" i="26"/>
  <c r="AA102" i="26"/>
  <c r="Z102" i="26"/>
  <c r="Y102" i="26"/>
  <c r="X102" i="26"/>
  <c r="W102" i="26"/>
  <c r="V102" i="26"/>
  <c r="AO101" i="26"/>
  <c r="AN101" i="26"/>
  <c r="AM101" i="26"/>
  <c r="AL101" i="26"/>
  <c r="AK101" i="26"/>
  <c r="AJ101" i="26"/>
  <c r="AI101" i="26"/>
  <c r="AH101" i="26"/>
  <c r="AG101" i="26"/>
  <c r="AF101" i="26"/>
  <c r="AE101" i="26"/>
  <c r="AD101" i="26"/>
  <c r="AC101" i="26"/>
  <c r="AB101" i="26"/>
  <c r="AA101" i="26"/>
  <c r="Z101" i="26"/>
  <c r="Y101" i="26"/>
  <c r="X101" i="26"/>
  <c r="W101" i="26"/>
  <c r="V101" i="26"/>
  <c r="AO100" i="26"/>
  <c r="AN100" i="26"/>
  <c r="AM100" i="26"/>
  <c r="AL100" i="26"/>
  <c r="AK100" i="26"/>
  <c r="AJ100" i="26"/>
  <c r="AI100" i="26"/>
  <c r="AH100" i="26"/>
  <c r="AG100" i="26"/>
  <c r="AF100" i="26"/>
  <c r="AE100" i="26"/>
  <c r="AD100" i="26"/>
  <c r="AC100" i="26"/>
  <c r="AB100" i="26"/>
  <c r="AA100" i="26"/>
  <c r="Z100" i="26"/>
  <c r="Y100" i="26"/>
  <c r="X100" i="26"/>
  <c r="W100" i="26"/>
  <c r="V100" i="26"/>
  <c r="AV95" i="26"/>
  <c r="AB95" i="26"/>
  <c r="AA95" i="26"/>
  <c r="Z95" i="26"/>
  <c r="Y95" i="26"/>
  <c r="X95" i="26"/>
  <c r="AV94" i="26"/>
  <c r="AB94" i="26"/>
  <c r="AA94" i="26"/>
  <c r="V94" i="26"/>
  <c r="AV93" i="26"/>
  <c r="AC93" i="26"/>
  <c r="Y93" i="26"/>
  <c r="W93" i="26"/>
  <c r="AV92" i="26"/>
  <c r="Z92" i="26"/>
  <c r="Y92" i="26"/>
  <c r="X92" i="26"/>
  <c r="AV91" i="26"/>
  <c r="AB91" i="26"/>
  <c r="AA91" i="26"/>
  <c r="Y91" i="26"/>
  <c r="V91" i="26"/>
  <c r="AV90" i="26"/>
  <c r="AC90" i="26"/>
  <c r="W90" i="26"/>
  <c r="AV89" i="26"/>
  <c r="Z89" i="26"/>
  <c r="Y89" i="26"/>
  <c r="X89" i="26"/>
  <c r="AV88" i="26"/>
  <c r="AB88" i="26"/>
  <c r="AA88" i="26"/>
  <c r="V88" i="26"/>
  <c r="AV87" i="26"/>
  <c r="AC87" i="26"/>
  <c r="W87" i="26"/>
  <c r="AV86" i="26"/>
  <c r="AV85" i="26"/>
  <c r="AV84" i="26"/>
  <c r="AV83" i="26"/>
  <c r="AV82" i="26"/>
  <c r="Z82" i="26"/>
  <c r="Y82" i="26"/>
  <c r="X82" i="26"/>
  <c r="W82" i="26"/>
  <c r="V82" i="26"/>
  <c r="AV81" i="26"/>
  <c r="Z81" i="26"/>
  <c r="Y81" i="26"/>
  <c r="X81" i="26"/>
  <c r="W81" i="26"/>
  <c r="V81" i="26"/>
  <c r="AV80" i="26"/>
  <c r="Z80" i="26"/>
  <c r="Y80" i="26"/>
  <c r="X80" i="26"/>
  <c r="W80" i="26"/>
  <c r="V80" i="26"/>
  <c r="AV79" i="26"/>
  <c r="Z79" i="26"/>
  <c r="Y79" i="26"/>
  <c r="X79" i="26"/>
  <c r="W79" i="26"/>
  <c r="V79" i="26"/>
  <c r="AV78" i="26"/>
  <c r="Z78" i="26"/>
  <c r="Y78" i="26"/>
  <c r="X78" i="26"/>
  <c r="W78" i="26"/>
  <c r="V78" i="26"/>
  <c r="AV77" i="26"/>
  <c r="Z77" i="26"/>
  <c r="Y77" i="26"/>
  <c r="X77" i="26"/>
  <c r="W77" i="26"/>
  <c r="V77" i="26"/>
  <c r="AV76" i="26"/>
  <c r="Z76" i="26"/>
  <c r="Y76" i="26"/>
  <c r="X76" i="26"/>
  <c r="W76" i="26"/>
  <c r="V76" i="26"/>
  <c r="AV75" i="26"/>
  <c r="Z75" i="26"/>
  <c r="Y75" i="26"/>
  <c r="X75" i="26"/>
  <c r="W75" i="26"/>
  <c r="V75" i="26"/>
  <c r="AV74" i="26"/>
  <c r="Z74" i="26"/>
  <c r="Y74" i="26"/>
  <c r="X74" i="26"/>
  <c r="W74" i="26"/>
  <c r="V74" i="26"/>
  <c r="AV73" i="26"/>
  <c r="Z73" i="26"/>
  <c r="Y73" i="26"/>
  <c r="X73" i="26"/>
  <c r="W73" i="26"/>
  <c r="V73" i="26"/>
  <c r="AV72" i="26"/>
  <c r="AV71" i="26"/>
  <c r="AV70" i="26"/>
  <c r="AV69" i="26"/>
  <c r="AV68" i="26"/>
  <c r="AA68" i="26"/>
  <c r="Z68" i="26"/>
  <c r="Y68" i="26"/>
  <c r="X68" i="26"/>
  <c r="W68" i="26"/>
  <c r="V68" i="26"/>
  <c r="AV67" i="26"/>
  <c r="AA67" i="26"/>
  <c r="Z67" i="26"/>
  <c r="Y67" i="26"/>
  <c r="X67" i="26"/>
  <c r="W67" i="26"/>
  <c r="V67" i="26"/>
  <c r="AV66" i="26"/>
  <c r="Z66" i="26"/>
  <c r="Y66" i="26"/>
  <c r="X66" i="26"/>
  <c r="W66" i="26"/>
  <c r="V66" i="26"/>
  <c r="AV65" i="26"/>
  <c r="AA65" i="26"/>
  <c r="Z65" i="26"/>
  <c r="Y65" i="26"/>
  <c r="X65" i="26"/>
  <c r="W65" i="26"/>
  <c r="V65" i="26"/>
  <c r="AV64" i="26"/>
  <c r="AA64" i="26"/>
  <c r="Z64" i="26"/>
  <c r="Y64" i="26"/>
  <c r="X64" i="26"/>
  <c r="W64" i="26"/>
  <c r="V64" i="26"/>
  <c r="AV63" i="26"/>
  <c r="AA63" i="26"/>
  <c r="Z63" i="26"/>
  <c r="Y63" i="26"/>
  <c r="X63" i="26"/>
  <c r="W63" i="26"/>
  <c r="V63" i="26"/>
  <c r="AV62" i="26"/>
  <c r="AA62" i="26"/>
  <c r="Z62" i="26"/>
  <c r="Y62" i="26"/>
  <c r="X62" i="26"/>
  <c r="W62" i="26"/>
  <c r="V62" i="26"/>
  <c r="AV61" i="26"/>
  <c r="AA61" i="26"/>
  <c r="Z61" i="26"/>
  <c r="Y61" i="26"/>
  <c r="X61" i="26"/>
  <c r="W61" i="26"/>
  <c r="V61" i="26"/>
  <c r="AV60" i="26"/>
  <c r="AA60" i="26"/>
  <c r="Z60" i="26"/>
  <c r="Y60" i="26"/>
  <c r="X60" i="26"/>
  <c r="W60" i="26"/>
  <c r="V60" i="26"/>
  <c r="AV59" i="26"/>
  <c r="AA59" i="26"/>
  <c r="Z59" i="26"/>
  <c r="Y59" i="26"/>
  <c r="X59" i="26"/>
  <c r="W59" i="26"/>
  <c r="V59" i="26"/>
  <c r="AV58" i="26"/>
  <c r="AQ58" i="26"/>
  <c r="AQ59" i="26" s="1"/>
  <c r="E40" i="26" s="1"/>
  <c r="AA58" i="26"/>
  <c r="Z58" i="26"/>
  <c r="Y58" i="26"/>
  <c r="X58" i="26"/>
  <c r="W58" i="26"/>
  <c r="V58" i="26"/>
  <c r="AV57" i="26"/>
  <c r="AA57" i="26"/>
  <c r="Z57" i="26"/>
  <c r="Y57" i="26"/>
  <c r="X57" i="26"/>
  <c r="W57" i="26"/>
  <c r="V57" i="26"/>
  <c r="AV56" i="26"/>
  <c r="AA56" i="26"/>
  <c r="Z56" i="26"/>
  <c r="Y56" i="26"/>
  <c r="X56" i="26"/>
  <c r="W56" i="26"/>
  <c r="V56" i="26"/>
  <c r="AV55" i="26"/>
  <c r="AV54" i="26"/>
  <c r="AV53" i="26"/>
  <c r="AV52" i="26"/>
  <c r="AV51" i="26"/>
  <c r="B48" i="26"/>
  <c r="AQ35" i="26" s="1"/>
  <c r="B45" i="26"/>
  <c r="AP44" i="26"/>
  <c r="B59" i="26" s="1"/>
  <c r="AP43" i="26"/>
  <c r="B58" i="26" s="1"/>
  <c r="AP42" i="26"/>
  <c r="B57" i="26" s="1"/>
  <c r="AP41" i="26"/>
  <c r="B56" i="26" s="1"/>
  <c r="AP40" i="26"/>
  <c r="B55" i="26" s="1"/>
  <c r="B40" i="26"/>
  <c r="X36" i="26"/>
  <c r="X35" i="26"/>
  <c r="Q35" i="26"/>
  <c r="P35" i="26"/>
  <c r="E18" i="26" s="1"/>
  <c r="AL18" i="26" s="1"/>
  <c r="J35" i="26"/>
  <c r="E36" i="26" s="1"/>
  <c r="E35" i="26"/>
  <c r="B35" i="26"/>
  <c r="X34" i="26"/>
  <c r="J34" i="26"/>
  <c r="D35" i="26" s="1"/>
  <c r="X33" i="26"/>
  <c r="AQ32" i="26"/>
  <c r="X32" i="26"/>
  <c r="AG31" i="26"/>
  <c r="X31" i="26"/>
  <c r="O99" i="26"/>
  <c r="X30" i="26"/>
  <c r="X29" i="26"/>
  <c r="B29" i="26"/>
  <c r="X28" i="26"/>
  <c r="AQ27" i="26"/>
  <c r="B27" i="26"/>
  <c r="P25" i="26"/>
  <c r="P24" i="26"/>
  <c r="I24" i="26"/>
  <c r="G24" i="26"/>
  <c r="E24" i="26"/>
  <c r="C24" i="26"/>
  <c r="AC23" i="26"/>
  <c r="AB23" i="26"/>
  <c r="AA23" i="26"/>
  <c r="Z23" i="26"/>
  <c r="Y23" i="26"/>
  <c r="I23" i="26"/>
  <c r="G23" i="26"/>
  <c r="E23" i="26"/>
  <c r="C23" i="26"/>
  <c r="AB22" i="26"/>
  <c r="AA22" i="26"/>
  <c r="Z22" i="26"/>
  <c r="AC22" i="26" s="1"/>
  <c r="AD22" i="26" s="1"/>
  <c r="AB39" i="26" s="1"/>
  <c r="AC32" i="26" s="1"/>
  <c r="Y22" i="26"/>
  <c r="I22" i="26"/>
  <c r="G22" i="26"/>
  <c r="E22" i="26"/>
  <c r="C22" i="26"/>
  <c r="I21" i="26"/>
  <c r="G21" i="26"/>
  <c r="E21" i="26"/>
  <c r="C21" i="26"/>
  <c r="AQ20" i="26"/>
  <c r="B49" i="26" s="1"/>
  <c r="AQ36" i="26" s="1"/>
  <c r="AI20" i="26"/>
  <c r="I20" i="26"/>
  <c r="G20" i="26"/>
  <c r="AQ19" i="26"/>
  <c r="AI19" i="26"/>
  <c r="AQ18" i="26"/>
  <c r="AI18" i="26"/>
  <c r="AJ18" i="26" s="1"/>
  <c r="AK18" i="26" s="1"/>
  <c r="AV26" i="26" s="1"/>
  <c r="I18" i="26"/>
  <c r="AI17" i="26"/>
  <c r="AI16" i="26"/>
  <c r="AL15" i="26"/>
  <c r="AJ15" i="26"/>
  <c r="AK15" i="26" s="1"/>
  <c r="AU26" i="26" s="1"/>
  <c r="AI15" i="26"/>
  <c r="AQ14" i="26"/>
  <c r="AI14" i="26"/>
  <c r="I14" i="26"/>
  <c r="AQ13" i="26"/>
  <c r="AI13" i="26"/>
  <c r="AQ12" i="26"/>
  <c r="AL12" i="26"/>
  <c r="AJ12" i="26"/>
  <c r="AI12" i="26"/>
  <c r="AI11" i="26"/>
  <c r="AB11" i="26"/>
  <c r="AA11" i="26"/>
  <c r="Z11" i="26"/>
  <c r="AC11" i="26" s="1"/>
  <c r="Y11" i="26"/>
  <c r="AI10" i="26"/>
  <c r="AC10" i="26"/>
  <c r="AB10" i="26"/>
  <c r="AA10" i="26"/>
  <c r="Z10" i="26"/>
  <c r="Y10" i="26"/>
  <c r="AL9" i="26"/>
  <c r="AJ9" i="26"/>
  <c r="AK9" i="26" s="1"/>
  <c r="AS26" i="26" s="1"/>
  <c r="AI9" i="26"/>
  <c r="AC9" i="26"/>
  <c r="AB9" i="26"/>
  <c r="AA9" i="26"/>
  <c r="Z9" i="26"/>
  <c r="Y9" i="26"/>
  <c r="AQ8" i="26"/>
  <c r="AD8" i="26"/>
  <c r="AB36" i="26" s="1"/>
  <c r="AC31" i="26" s="1"/>
  <c r="AB8" i="26"/>
  <c r="AA8" i="26"/>
  <c r="Z8" i="26"/>
  <c r="AC8" i="26" s="1"/>
  <c r="Y8" i="26"/>
  <c r="AQ7" i="26"/>
  <c r="AQ6" i="26"/>
  <c r="AE94" i="26" l="1"/>
  <c r="AE91" i="27"/>
  <c r="AE87" i="26"/>
  <c r="AE87" i="27"/>
  <c r="V49" i="26"/>
  <c r="V47" i="26" s="1"/>
  <c r="V48" i="26" s="1"/>
  <c r="V51" i="26" s="1"/>
  <c r="J27" i="26" s="1"/>
  <c r="V49" i="27"/>
  <c r="V47" i="27" s="1"/>
  <c r="V48" i="27" s="1"/>
  <c r="V51" i="27" s="1"/>
  <c r="J27" i="27" s="1"/>
  <c r="AV35" i="27" s="1"/>
  <c r="V50" i="26"/>
  <c r="AE93" i="26"/>
  <c r="AE89" i="26"/>
  <c r="AE95" i="27"/>
  <c r="AE92" i="26"/>
  <c r="Z46" i="26" s="1"/>
  <c r="AE89" i="27"/>
  <c r="AE90" i="26"/>
  <c r="AE95" i="26"/>
  <c r="AE88" i="26"/>
  <c r="AE91" i="26"/>
  <c r="AE88" i="27"/>
  <c r="AE93" i="27"/>
  <c r="AL15" i="27"/>
  <c r="AK15" i="27" s="1"/>
  <c r="AU26" i="27" s="1"/>
  <c r="P114" i="27" s="1"/>
  <c r="AC30" i="27"/>
  <c r="AC31" i="27"/>
  <c r="P99" i="27" s="1"/>
  <c r="AL9" i="27"/>
  <c r="AK9" i="27" s="1"/>
  <c r="AS26" i="27" s="1"/>
  <c r="N114" i="27" s="1"/>
  <c r="AL18" i="27"/>
  <c r="AK18" i="27" s="1"/>
  <c r="AV26" i="27" s="1"/>
  <c r="Q114" i="27" s="1"/>
  <c r="AC32" i="27"/>
  <c r="AT5" i="27"/>
  <c r="AK12" i="27"/>
  <c r="AT26" i="27" s="1"/>
  <c r="B44" i="27"/>
  <c r="AQ31" i="27" s="1"/>
  <c r="AE90" i="27"/>
  <c r="V50" i="27"/>
  <c r="AE92" i="27"/>
  <c r="Z46" i="27" s="1"/>
  <c r="E36" i="27"/>
  <c r="D36" i="27"/>
  <c r="B43" i="27"/>
  <c r="AQ30" i="27" s="1"/>
  <c r="B47" i="27"/>
  <c r="AQ34" i="27" s="1"/>
  <c r="B41" i="27"/>
  <c r="AQ28" i="27" s="1"/>
  <c r="B42" i="27"/>
  <c r="AQ29" i="27" s="1"/>
  <c r="AE94" i="27"/>
  <c r="D40" i="26"/>
  <c r="P99" i="26"/>
  <c r="AT5" i="26"/>
  <c r="Q114" i="26"/>
  <c r="N114" i="26"/>
  <c r="Q99" i="26"/>
  <c r="AU5" i="26"/>
  <c r="P114" i="26"/>
  <c r="AK12" i="26"/>
  <c r="AT26" i="26" s="1"/>
  <c r="B41" i="26"/>
  <c r="AQ28" i="26" s="1"/>
  <c r="B42" i="26"/>
  <c r="AQ29" i="26" s="1"/>
  <c r="B44" i="26"/>
  <c r="AQ31" i="26" s="1"/>
  <c r="B46" i="26"/>
  <c r="AQ33" i="26" s="1"/>
  <c r="AS5" i="26"/>
  <c r="D36" i="26"/>
  <c r="B43" i="26"/>
  <c r="AQ30" i="26" s="1"/>
  <c r="B47" i="26"/>
  <c r="AQ34" i="26" s="1"/>
  <c r="AO179" i="25"/>
  <c r="AN179" i="25"/>
  <c r="AM179" i="25"/>
  <c r="AL179" i="25"/>
  <c r="AK179" i="25"/>
  <c r="AJ179" i="25"/>
  <c r="AI179" i="25"/>
  <c r="AH179" i="25"/>
  <c r="AG179" i="25"/>
  <c r="AF179" i="25"/>
  <c r="AE179" i="25"/>
  <c r="AD179" i="25"/>
  <c r="AC179" i="25"/>
  <c r="AB179" i="25"/>
  <c r="AA179" i="25"/>
  <c r="Z179" i="25"/>
  <c r="Y179" i="25"/>
  <c r="X179" i="25"/>
  <c r="W179" i="25"/>
  <c r="V179" i="25"/>
  <c r="AO178" i="25"/>
  <c r="AN178" i="25"/>
  <c r="AM178" i="25"/>
  <c r="AL178" i="25"/>
  <c r="AK178" i="25"/>
  <c r="AJ178" i="25"/>
  <c r="AI178" i="25"/>
  <c r="AH178" i="25"/>
  <c r="AG178" i="25"/>
  <c r="AF178" i="25"/>
  <c r="AE178" i="25"/>
  <c r="AD178" i="25"/>
  <c r="AC178" i="25"/>
  <c r="AB178" i="25"/>
  <c r="AA178" i="25"/>
  <c r="Z178" i="25"/>
  <c r="Y178" i="25"/>
  <c r="X178" i="25"/>
  <c r="W178" i="25"/>
  <c r="V178" i="25"/>
  <c r="AO177" i="25"/>
  <c r="AN177" i="25"/>
  <c r="AM177" i="25"/>
  <c r="AL177" i="25"/>
  <c r="AK177" i="25"/>
  <c r="AJ177" i="25"/>
  <c r="AI177" i="25"/>
  <c r="AH177" i="25"/>
  <c r="AG177" i="25"/>
  <c r="AF177" i="25"/>
  <c r="AE177" i="25"/>
  <c r="AD177" i="25"/>
  <c r="AC177" i="25"/>
  <c r="AB177" i="25"/>
  <c r="AA177" i="25"/>
  <c r="Z177" i="25"/>
  <c r="Y177" i="25"/>
  <c r="X177" i="25"/>
  <c r="W177" i="25"/>
  <c r="V177" i="25"/>
  <c r="AO176" i="25"/>
  <c r="AN176" i="25"/>
  <c r="AM176" i="25"/>
  <c r="AL176" i="25"/>
  <c r="AK176" i="25"/>
  <c r="AJ176" i="25"/>
  <c r="AI176" i="25"/>
  <c r="AH176" i="25"/>
  <c r="AG176" i="25"/>
  <c r="AF176" i="25"/>
  <c r="AE176" i="25"/>
  <c r="AD176" i="25"/>
  <c r="AC176" i="25"/>
  <c r="AB176" i="25"/>
  <c r="AA176" i="25"/>
  <c r="Z176" i="25"/>
  <c r="Y176" i="25"/>
  <c r="X176" i="25"/>
  <c r="W176" i="25"/>
  <c r="V176" i="25"/>
  <c r="AO175" i="25"/>
  <c r="AN175" i="25"/>
  <c r="AM175" i="25"/>
  <c r="AL175" i="25"/>
  <c r="AK175" i="25"/>
  <c r="AJ175" i="25"/>
  <c r="AI175" i="25"/>
  <c r="AH175" i="25"/>
  <c r="AG175" i="25"/>
  <c r="AF175" i="25"/>
  <c r="AE175" i="25"/>
  <c r="AD175" i="25"/>
  <c r="AC175" i="25"/>
  <c r="AB175" i="25"/>
  <c r="AA175" i="25"/>
  <c r="Z175" i="25"/>
  <c r="Y175" i="25"/>
  <c r="X175" i="25"/>
  <c r="W175" i="25"/>
  <c r="V175" i="25"/>
  <c r="AO174" i="25"/>
  <c r="AN174" i="25"/>
  <c r="AM174" i="25"/>
  <c r="AL174" i="25"/>
  <c r="AK174" i="25"/>
  <c r="AJ174" i="25"/>
  <c r="AI174" i="25"/>
  <c r="AH174" i="25"/>
  <c r="AG174" i="25"/>
  <c r="AF174" i="25"/>
  <c r="AE174" i="25"/>
  <c r="AD174" i="25"/>
  <c r="AC174" i="25"/>
  <c r="AB174" i="25"/>
  <c r="AA174" i="25"/>
  <c r="Z174" i="25"/>
  <c r="Y174" i="25"/>
  <c r="X174" i="25"/>
  <c r="W174" i="25"/>
  <c r="V174" i="25"/>
  <c r="AO173" i="25"/>
  <c r="AN173" i="25"/>
  <c r="AM173" i="25"/>
  <c r="AL173" i="25"/>
  <c r="AK173" i="25"/>
  <c r="AJ173" i="25"/>
  <c r="AI173" i="25"/>
  <c r="AH173" i="25"/>
  <c r="AG173" i="25"/>
  <c r="AF173" i="25"/>
  <c r="AE173" i="25"/>
  <c r="AD173" i="25"/>
  <c r="AC173" i="25"/>
  <c r="AB173" i="25"/>
  <c r="AA173" i="25"/>
  <c r="Z173" i="25"/>
  <c r="Y173" i="25"/>
  <c r="X173" i="25"/>
  <c r="W173" i="25"/>
  <c r="V173" i="25"/>
  <c r="AO172" i="25"/>
  <c r="AN172" i="25"/>
  <c r="AM172" i="25"/>
  <c r="AL172" i="25"/>
  <c r="AK172" i="25"/>
  <c r="AJ172" i="25"/>
  <c r="AI172" i="25"/>
  <c r="AH172" i="25"/>
  <c r="AG172" i="25"/>
  <c r="AF172" i="25"/>
  <c r="AE172" i="25"/>
  <c r="AD172" i="25"/>
  <c r="AC172" i="25"/>
  <c r="AB172" i="25"/>
  <c r="AA172" i="25"/>
  <c r="Z172" i="25"/>
  <c r="Y172" i="25"/>
  <c r="X172" i="25"/>
  <c r="W172" i="25"/>
  <c r="V172" i="25"/>
  <c r="AO171" i="25"/>
  <c r="AN171" i="25"/>
  <c r="AM171" i="25"/>
  <c r="AL171" i="25"/>
  <c r="AK171" i="25"/>
  <c r="AJ171" i="25"/>
  <c r="AI171" i="25"/>
  <c r="AH171" i="25"/>
  <c r="AG171" i="25"/>
  <c r="AF171" i="25"/>
  <c r="AE171" i="25"/>
  <c r="AD171" i="25"/>
  <c r="AC171" i="25"/>
  <c r="AB171" i="25"/>
  <c r="AA171" i="25"/>
  <c r="Z171" i="25"/>
  <c r="Y171" i="25"/>
  <c r="X171" i="25"/>
  <c r="W171" i="25"/>
  <c r="V171" i="25"/>
  <c r="AO170" i="25"/>
  <c r="AN170" i="25"/>
  <c r="AM170" i="25"/>
  <c r="AL170" i="25"/>
  <c r="AK170" i="25"/>
  <c r="AJ170" i="25"/>
  <c r="AI170" i="25"/>
  <c r="AH170" i="25"/>
  <c r="AG170" i="25"/>
  <c r="AF170" i="25"/>
  <c r="AE170" i="25"/>
  <c r="AD170" i="25"/>
  <c r="AC170" i="25"/>
  <c r="AB170" i="25"/>
  <c r="AA170" i="25"/>
  <c r="Z170" i="25"/>
  <c r="Y170" i="25"/>
  <c r="X170" i="25"/>
  <c r="W170" i="25"/>
  <c r="V170" i="25"/>
  <c r="AO169" i="25"/>
  <c r="AN169" i="25"/>
  <c r="AM169" i="25"/>
  <c r="AL169" i="25"/>
  <c r="AK169" i="25"/>
  <c r="AJ169" i="25"/>
  <c r="AI169" i="25"/>
  <c r="AH169" i="25"/>
  <c r="AG169" i="25"/>
  <c r="AF169" i="25"/>
  <c r="AE169" i="25"/>
  <c r="AD169" i="25"/>
  <c r="AC169" i="25"/>
  <c r="AB169" i="25"/>
  <c r="AA169" i="25"/>
  <c r="Z169" i="25"/>
  <c r="Y169" i="25"/>
  <c r="X169" i="25"/>
  <c r="W169" i="25"/>
  <c r="V169" i="25"/>
  <c r="AO168" i="25"/>
  <c r="AN168" i="25"/>
  <c r="AM168" i="25"/>
  <c r="AL168" i="25"/>
  <c r="X95" i="25" s="1"/>
  <c r="AK168" i="25"/>
  <c r="AJ168" i="25"/>
  <c r="AI168" i="25"/>
  <c r="AH168" i="25"/>
  <c r="AG168" i="25"/>
  <c r="AF168" i="25"/>
  <c r="AE168" i="25"/>
  <c r="AD168" i="25"/>
  <c r="AC168" i="25"/>
  <c r="AB168" i="25"/>
  <c r="AB95" i="25" s="1"/>
  <c r="AA168" i="25"/>
  <c r="Z168" i="25"/>
  <c r="Z95" i="25" s="1"/>
  <c r="Y168" i="25"/>
  <c r="Y95" i="25" s="1"/>
  <c r="X168" i="25"/>
  <c r="W168" i="25"/>
  <c r="V168" i="25"/>
  <c r="V95" i="25" s="1"/>
  <c r="AO167" i="25"/>
  <c r="AN167" i="25"/>
  <c r="AM167" i="25"/>
  <c r="AL167" i="25"/>
  <c r="AK167" i="25"/>
  <c r="AJ167" i="25"/>
  <c r="AI167" i="25"/>
  <c r="AH167" i="25"/>
  <c r="AG167" i="25"/>
  <c r="AF167" i="25"/>
  <c r="AE167" i="25"/>
  <c r="AD167" i="25"/>
  <c r="AD94" i="25" s="1"/>
  <c r="AC167" i="25"/>
  <c r="AC94" i="25" s="1"/>
  <c r="AB167" i="25"/>
  <c r="AB94" i="25" s="1"/>
  <c r="AA167" i="25"/>
  <c r="AA94" i="25" s="1"/>
  <c r="Z167" i="25"/>
  <c r="Y167" i="25"/>
  <c r="X167" i="25"/>
  <c r="W167" i="25"/>
  <c r="W94" i="25" s="1"/>
  <c r="V167" i="25"/>
  <c r="V94" i="25" s="1"/>
  <c r="AO166" i="25"/>
  <c r="AN166" i="25"/>
  <c r="AM166" i="25"/>
  <c r="AL166" i="25"/>
  <c r="AK166" i="25"/>
  <c r="AJ166" i="25"/>
  <c r="AI166" i="25"/>
  <c r="AH166" i="25"/>
  <c r="AG166" i="25"/>
  <c r="AF166" i="25"/>
  <c r="AE166" i="25"/>
  <c r="AD166" i="25"/>
  <c r="AD93" i="25" s="1"/>
  <c r="AC166" i="25"/>
  <c r="AC93" i="25" s="1"/>
  <c r="AB166" i="25"/>
  <c r="AA166" i="25"/>
  <c r="Z166" i="25"/>
  <c r="Z93" i="25" s="1"/>
  <c r="Y166" i="25"/>
  <c r="X166" i="25"/>
  <c r="W166" i="25"/>
  <c r="W93" i="25" s="1"/>
  <c r="V166" i="25"/>
  <c r="AO165" i="25"/>
  <c r="AN165" i="25"/>
  <c r="AM165" i="25"/>
  <c r="AL165" i="25"/>
  <c r="X92" i="25" s="1"/>
  <c r="AK165" i="25"/>
  <c r="AJ165" i="25"/>
  <c r="AI165" i="25"/>
  <c r="AH165" i="25"/>
  <c r="AG165" i="25"/>
  <c r="AF165" i="25"/>
  <c r="AE165" i="25"/>
  <c r="AD165" i="25"/>
  <c r="AC165" i="25"/>
  <c r="AB165" i="25"/>
  <c r="AB92" i="25" s="1"/>
  <c r="AA165" i="25"/>
  <c r="Z165" i="25"/>
  <c r="Z92" i="25" s="1"/>
  <c r="Y165" i="25"/>
  <c r="X165" i="25"/>
  <c r="W165" i="25"/>
  <c r="V165" i="25"/>
  <c r="V92" i="25" s="1"/>
  <c r="AO164" i="25"/>
  <c r="AN164" i="25"/>
  <c r="AM164" i="25"/>
  <c r="AL164" i="25"/>
  <c r="AK164" i="25"/>
  <c r="AJ164" i="25"/>
  <c r="AI164" i="25"/>
  <c r="AH164" i="25"/>
  <c r="AG164" i="25"/>
  <c r="AF164" i="25"/>
  <c r="AE164" i="25"/>
  <c r="AD164" i="25"/>
  <c r="AD91" i="25" s="1"/>
  <c r="AC164" i="25"/>
  <c r="AB164" i="25"/>
  <c r="AB91" i="25" s="1"/>
  <c r="AA164" i="25"/>
  <c r="AA91" i="25" s="1"/>
  <c r="Z164" i="25"/>
  <c r="Y164" i="25"/>
  <c r="X164" i="25"/>
  <c r="W164" i="25"/>
  <c r="W91" i="25" s="1"/>
  <c r="V164" i="25"/>
  <c r="V91" i="25" s="1"/>
  <c r="AO163" i="25"/>
  <c r="AN163" i="25"/>
  <c r="AM163" i="25"/>
  <c r="AL163" i="25"/>
  <c r="X90" i="25" s="1"/>
  <c r="AK163" i="25"/>
  <c r="AJ163" i="25"/>
  <c r="AI163" i="25"/>
  <c r="AH163" i="25"/>
  <c r="AG163" i="25"/>
  <c r="AF163" i="25"/>
  <c r="AE163" i="25"/>
  <c r="AD163" i="25"/>
  <c r="AD90" i="25" s="1"/>
  <c r="AC163" i="25"/>
  <c r="AC90" i="25" s="1"/>
  <c r="AB163" i="25"/>
  <c r="AA163" i="25"/>
  <c r="Z163" i="25"/>
  <c r="Z90" i="25" s="1"/>
  <c r="Y163" i="25"/>
  <c r="X163" i="25"/>
  <c r="W163" i="25"/>
  <c r="W90" i="25" s="1"/>
  <c r="V163" i="25"/>
  <c r="AO162" i="25"/>
  <c r="AN162" i="25"/>
  <c r="AM162" i="25"/>
  <c r="AL162" i="25"/>
  <c r="X89" i="25" s="1"/>
  <c r="AK162" i="25"/>
  <c r="AJ162" i="25"/>
  <c r="AI162" i="25"/>
  <c r="AH162" i="25"/>
  <c r="AG162" i="25"/>
  <c r="AF162" i="25"/>
  <c r="AE162" i="25"/>
  <c r="AD162" i="25"/>
  <c r="AC162" i="25"/>
  <c r="AB162" i="25"/>
  <c r="AB89" i="25" s="1"/>
  <c r="AA162" i="25"/>
  <c r="Z162" i="25"/>
  <c r="Z89" i="25" s="1"/>
  <c r="Y162" i="25"/>
  <c r="X162" i="25"/>
  <c r="W162" i="25"/>
  <c r="V162" i="25"/>
  <c r="V89" i="25" s="1"/>
  <c r="AO161" i="25"/>
  <c r="AN161" i="25"/>
  <c r="AM161" i="25"/>
  <c r="AL161" i="25"/>
  <c r="AK161" i="25"/>
  <c r="AJ161" i="25"/>
  <c r="AI161" i="25"/>
  <c r="AH161" i="25"/>
  <c r="AG161" i="25"/>
  <c r="AF161" i="25"/>
  <c r="AE161" i="25"/>
  <c r="AD161" i="25"/>
  <c r="AD88" i="25" s="1"/>
  <c r="AC161" i="25"/>
  <c r="AC88" i="25" s="1"/>
  <c r="AB161" i="25"/>
  <c r="AB88" i="25" s="1"/>
  <c r="AA161" i="25"/>
  <c r="AA88" i="25" s="1"/>
  <c r="Z161" i="25"/>
  <c r="Y161" i="25"/>
  <c r="X161" i="25"/>
  <c r="W161" i="25"/>
  <c r="W88" i="25" s="1"/>
  <c r="V161" i="25"/>
  <c r="V88" i="25" s="1"/>
  <c r="AO160" i="25"/>
  <c r="AN160" i="25"/>
  <c r="AM160" i="25"/>
  <c r="AL160" i="25"/>
  <c r="X87" i="25" s="1"/>
  <c r="AK160" i="25"/>
  <c r="AJ160" i="25"/>
  <c r="AI160" i="25"/>
  <c r="AH160" i="25"/>
  <c r="AG160" i="25"/>
  <c r="AF160" i="25"/>
  <c r="AE160" i="25"/>
  <c r="AD160" i="25"/>
  <c r="AD87" i="25" s="1"/>
  <c r="AC160" i="25"/>
  <c r="AC87" i="25" s="1"/>
  <c r="AB160" i="25"/>
  <c r="AA160" i="25"/>
  <c r="Z160" i="25"/>
  <c r="Z87" i="25" s="1"/>
  <c r="Y160" i="25"/>
  <c r="X160" i="25"/>
  <c r="W160" i="25"/>
  <c r="V160" i="25"/>
  <c r="AO159" i="25"/>
  <c r="AN159" i="25"/>
  <c r="AM159" i="25"/>
  <c r="AL159" i="25"/>
  <c r="AK159" i="25"/>
  <c r="AJ159" i="25"/>
  <c r="AI159" i="25"/>
  <c r="AH159" i="25"/>
  <c r="AG159" i="25"/>
  <c r="AF159" i="25"/>
  <c r="AE159" i="25"/>
  <c r="AD159" i="25"/>
  <c r="AC159" i="25"/>
  <c r="AB159" i="25"/>
  <c r="AA159" i="25"/>
  <c r="Z159" i="25"/>
  <c r="Y159" i="25"/>
  <c r="X159" i="25"/>
  <c r="W159" i="25"/>
  <c r="V159" i="25"/>
  <c r="AO158" i="25"/>
  <c r="AN158" i="25"/>
  <c r="AM158" i="25"/>
  <c r="AL158" i="25"/>
  <c r="AK158" i="25"/>
  <c r="AJ158" i="25"/>
  <c r="AI158" i="25"/>
  <c r="AH158" i="25"/>
  <c r="AG158" i="25"/>
  <c r="AF158" i="25"/>
  <c r="AE158" i="25"/>
  <c r="AD158" i="25"/>
  <c r="AC158" i="25"/>
  <c r="AB158" i="25"/>
  <c r="AA158" i="25"/>
  <c r="Z158" i="25"/>
  <c r="Y158" i="25"/>
  <c r="X158" i="25"/>
  <c r="W158" i="25"/>
  <c r="V158" i="25"/>
  <c r="AO157" i="25"/>
  <c r="AN157" i="25"/>
  <c r="AM157" i="25"/>
  <c r="AL157" i="25"/>
  <c r="AK157" i="25"/>
  <c r="AJ157" i="25"/>
  <c r="AI157" i="25"/>
  <c r="AH157" i="25"/>
  <c r="AG157" i="25"/>
  <c r="AF157" i="25"/>
  <c r="AE157" i="25"/>
  <c r="AD157" i="25"/>
  <c r="AC157" i="25"/>
  <c r="AB157" i="25"/>
  <c r="AA157" i="25"/>
  <c r="Z157" i="25"/>
  <c r="Y157" i="25"/>
  <c r="X157" i="25"/>
  <c r="W157" i="25"/>
  <c r="V157" i="25"/>
  <c r="AO156" i="25"/>
  <c r="AN156" i="25"/>
  <c r="AM156" i="25"/>
  <c r="AL156" i="25"/>
  <c r="AK156" i="25"/>
  <c r="AJ156" i="25"/>
  <c r="AI156" i="25"/>
  <c r="AH156" i="25"/>
  <c r="AG156" i="25"/>
  <c r="AF156" i="25"/>
  <c r="AE156" i="25"/>
  <c r="AD156" i="25"/>
  <c r="AC156" i="25"/>
  <c r="AB156" i="25"/>
  <c r="AA156" i="25"/>
  <c r="Z156" i="25"/>
  <c r="Y156" i="25"/>
  <c r="X156" i="25"/>
  <c r="W156" i="25"/>
  <c r="V156" i="25"/>
  <c r="AO155" i="25"/>
  <c r="AN155" i="25"/>
  <c r="AM155" i="25"/>
  <c r="AL155" i="25"/>
  <c r="AK155" i="25"/>
  <c r="AJ155" i="25"/>
  <c r="AI155" i="25"/>
  <c r="AH155" i="25"/>
  <c r="AG155" i="25"/>
  <c r="AF155" i="25"/>
  <c r="AE155" i="25"/>
  <c r="AD155" i="25"/>
  <c r="AC155" i="25"/>
  <c r="AB155" i="25"/>
  <c r="AA155" i="25"/>
  <c r="Z155" i="25"/>
  <c r="Y155" i="25"/>
  <c r="X155" i="25"/>
  <c r="W155" i="25"/>
  <c r="V155" i="25"/>
  <c r="AO154" i="25"/>
  <c r="AN154" i="25"/>
  <c r="AM154" i="25"/>
  <c r="AL154" i="25"/>
  <c r="AK154" i="25"/>
  <c r="AJ154" i="25"/>
  <c r="AI154" i="25"/>
  <c r="AH154" i="25"/>
  <c r="AG154" i="25"/>
  <c r="AF154" i="25"/>
  <c r="AE154" i="25"/>
  <c r="AD154" i="25"/>
  <c r="AC154" i="25"/>
  <c r="AB154" i="25"/>
  <c r="AA154" i="25"/>
  <c r="Z154" i="25"/>
  <c r="Y154" i="25"/>
  <c r="X154" i="25"/>
  <c r="W154" i="25"/>
  <c r="V154" i="25"/>
  <c r="AO153" i="25"/>
  <c r="AN153" i="25"/>
  <c r="AM153" i="25"/>
  <c r="AL153" i="25"/>
  <c r="AK153" i="25"/>
  <c r="AJ153" i="25"/>
  <c r="AI153" i="25"/>
  <c r="AH153" i="25"/>
  <c r="AG153" i="25"/>
  <c r="AF153" i="25"/>
  <c r="AE153" i="25"/>
  <c r="AD153" i="25"/>
  <c r="AC153" i="25"/>
  <c r="AB153" i="25"/>
  <c r="AA153" i="25"/>
  <c r="Z153" i="25"/>
  <c r="Y153" i="25"/>
  <c r="X153" i="25"/>
  <c r="W153" i="25"/>
  <c r="V153" i="25"/>
  <c r="AO152" i="25"/>
  <c r="AN152" i="25"/>
  <c r="AM152" i="25"/>
  <c r="AL152" i="25"/>
  <c r="AK152" i="25"/>
  <c r="AJ152" i="25"/>
  <c r="AI152" i="25"/>
  <c r="AH152" i="25"/>
  <c r="AG152" i="25"/>
  <c r="AF152" i="25"/>
  <c r="AE152" i="25"/>
  <c r="AD152" i="25"/>
  <c r="AC152" i="25"/>
  <c r="AB152" i="25"/>
  <c r="AA152" i="25"/>
  <c r="Z152" i="25"/>
  <c r="Y152" i="25"/>
  <c r="X152" i="25"/>
  <c r="W152" i="25"/>
  <c r="V152" i="25"/>
  <c r="AO151" i="25"/>
  <c r="AN151" i="25"/>
  <c r="AM151" i="25"/>
  <c r="AL151" i="25"/>
  <c r="AK151" i="25"/>
  <c r="AJ151" i="25"/>
  <c r="AI151" i="25"/>
  <c r="AH151" i="25"/>
  <c r="AG151" i="25"/>
  <c r="AF151" i="25"/>
  <c r="AE151" i="25"/>
  <c r="AD151" i="25"/>
  <c r="AC151" i="25"/>
  <c r="AB151" i="25"/>
  <c r="AA151" i="25"/>
  <c r="Z151" i="25"/>
  <c r="Y151" i="25"/>
  <c r="X151" i="25"/>
  <c r="W151" i="25"/>
  <c r="V151" i="25"/>
  <c r="AO150" i="25"/>
  <c r="AN150" i="25"/>
  <c r="AM150" i="25"/>
  <c r="AL150" i="25"/>
  <c r="AK150" i="25"/>
  <c r="AJ150" i="25"/>
  <c r="AI150" i="25"/>
  <c r="AH150" i="25"/>
  <c r="AG150" i="25"/>
  <c r="AF150" i="25"/>
  <c r="AE150" i="25"/>
  <c r="AD150" i="25"/>
  <c r="AC150" i="25"/>
  <c r="AB150" i="25"/>
  <c r="AA150" i="25"/>
  <c r="Z150" i="25"/>
  <c r="Y150" i="25"/>
  <c r="X150" i="25"/>
  <c r="W150" i="25"/>
  <c r="V150" i="25"/>
  <c r="AO149" i="25"/>
  <c r="AN149" i="25"/>
  <c r="AM149" i="25"/>
  <c r="AL149" i="25"/>
  <c r="AK149" i="25"/>
  <c r="AJ149" i="25"/>
  <c r="AI149" i="25"/>
  <c r="AH149" i="25"/>
  <c r="AG149" i="25"/>
  <c r="AF149" i="25"/>
  <c r="AE149" i="25"/>
  <c r="AD149" i="25"/>
  <c r="AC149" i="25"/>
  <c r="AB149" i="25"/>
  <c r="AA149" i="25"/>
  <c r="Z149" i="25"/>
  <c r="Y149" i="25"/>
  <c r="X149" i="25"/>
  <c r="W149" i="25"/>
  <c r="V149" i="25"/>
  <c r="AO148" i="25"/>
  <c r="AN148" i="25"/>
  <c r="AM148" i="25"/>
  <c r="AL148" i="25"/>
  <c r="AK148" i="25"/>
  <c r="AJ148" i="25"/>
  <c r="AI148" i="25"/>
  <c r="AH148" i="25"/>
  <c r="AG148" i="25"/>
  <c r="AF148" i="25"/>
  <c r="AE148" i="25"/>
  <c r="AD148" i="25"/>
  <c r="AC148" i="25"/>
  <c r="AB148" i="25"/>
  <c r="AA148" i="25"/>
  <c r="Z148" i="25"/>
  <c r="Y148" i="25"/>
  <c r="X148" i="25"/>
  <c r="W148" i="25"/>
  <c r="V148" i="25"/>
  <c r="AO147" i="25"/>
  <c r="AN147" i="25"/>
  <c r="AM147" i="25"/>
  <c r="AL147" i="25"/>
  <c r="AK147" i="25"/>
  <c r="AJ147" i="25"/>
  <c r="AI147" i="25"/>
  <c r="AH147" i="25"/>
  <c r="AG147" i="25"/>
  <c r="AF147" i="25"/>
  <c r="AE147" i="25"/>
  <c r="AD147" i="25"/>
  <c r="AC147" i="25"/>
  <c r="AB147" i="25"/>
  <c r="AA147" i="25"/>
  <c r="Z147" i="25"/>
  <c r="Y147" i="25"/>
  <c r="X147" i="25"/>
  <c r="W147" i="25"/>
  <c r="V147" i="25"/>
  <c r="AO146" i="25"/>
  <c r="AN146" i="25"/>
  <c r="AM146" i="25"/>
  <c r="AL146" i="25"/>
  <c r="AK146" i="25"/>
  <c r="AJ146" i="25"/>
  <c r="AI146" i="25"/>
  <c r="AH146" i="25"/>
  <c r="AG146" i="25"/>
  <c r="AF146" i="25"/>
  <c r="AE146" i="25"/>
  <c r="AD146" i="25"/>
  <c r="AC146" i="25"/>
  <c r="AB146" i="25"/>
  <c r="AA146" i="25"/>
  <c r="Z146" i="25"/>
  <c r="Y146" i="25"/>
  <c r="X146" i="25"/>
  <c r="W146" i="25"/>
  <c r="V146" i="25"/>
  <c r="AO145" i="25"/>
  <c r="AN145" i="25"/>
  <c r="AM145" i="25"/>
  <c r="AL145" i="25"/>
  <c r="AK145" i="25"/>
  <c r="AJ145" i="25"/>
  <c r="AI145" i="25"/>
  <c r="AH145" i="25"/>
  <c r="AG145" i="25"/>
  <c r="AF145" i="25"/>
  <c r="AE145" i="25"/>
  <c r="AD145" i="25"/>
  <c r="AC145" i="25"/>
  <c r="AB145" i="25"/>
  <c r="AA145" i="25"/>
  <c r="Z145" i="25"/>
  <c r="Y145" i="25"/>
  <c r="X145" i="25"/>
  <c r="W145" i="25"/>
  <c r="V145" i="25"/>
  <c r="AO144" i="25"/>
  <c r="AN144" i="25"/>
  <c r="AM144" i="25"/>
  <c r="AL144" i="25"/>
  <c r="AK144" i="25"/>
  <c r="AJ144" i="25"/>
  <c r="AI144" i="25"/>
  <c r="AH144" i="25"/>
  <c r="AG144" i="25"/>
  <c r="AF144" i="25"/>
  <c r="AE144" i="25"/>
  <c r="AD144" i="25"/>
  <c r="AC144" i="25"/>
  <c r="AB144" i="25"/>
  <c r="AA144" i="25"/>
  <c r="Z144" i="25"/>
  <c r="Y144" i="25"/>
  <c r="X144" i="25"/>
  <c r="W144" i="25"/>
  <c r="V144" i="25"/>
  <c r="AO143" i="25"/>
  <c r="AN143" i="25"/>
  <c r="AM143" i="25"/>
  <c r="AL143" i="25"/>
  <c r="AK143" i="25"/>
  <c r="AJ143" i="25"/>
  <c r="AI143" i="25"/>
  <c r="AH143" i="25"/>
  <c r="AG143" i="25"/>
  <c r="AF143" i="25"/>
  <c r="AE143" i="25"/>
  <c r="AD143" i="25"/>
  <c r="AC143" i="25"/>
  <c r="AB143" i="25"/>
  <c r="AA143" i="25"/>
  <c r="Z143" i="25"/>
  <c r="Y143" i="25"/>
  <c r="X143" i="25"/>
  <c r="W143" i="25"/>
  <c r="V143" i="25"/>
  <c r="AO142" i="25"/>
  <c r="AN142" i="25"/>
  <c r="AM142" i="25"/>
  <c r="AL142" i="25"/>
  <c r="AK142" i="25"/>
  <c r="AJ142" i="25"/>
  <c r="AI142" i="25"/>
  <c r="AH142" i="25"/>
  <c r="AG142" i="25"/>
  <c r="AF142" i="25"/>
  <c r="AE142" i="25"/>
  <c r="AD142" i="25"/>
  <c r="AC142" i="25"/>
  <c r="AB142" i="25"/>
  <c r="AA142" i="25"/>
  <c r="Z142" i="25"/>
  <c r="Y142" i="25"/>
  <c r="X142" i="25"/>
  <c r="W142" i="25"/>
  <c r="V142" i="25"/>
  <c r="AO141" i="25"/>
  <c r="AN141" i="25"/>
  <c r="AM141" i="25"/>
  <c r="AL141" i="25"/>
  <c r="AK141" i="25"/>
  <c r="AJ141" i="25"/>
  <c r="AI141" i="25"/>
  <c r="AH141" i="25"/>
  <c r="AG141" i="25"/>
  <c r="AF141" i="25"/>
  <c r="AE141" i="25"/>
  <c r="AD141" i="25"/>
  <c r="AC141" i="25"/>
  <c r="AB141" i="25"/>
  <c r="AA141" i="25"/>
  <c r="Z141" i="25"/>
  <c r="Y141" i="25"/>
  <c r="X141" i="25"/>
  <c r="W141" i="25"/>
  <c r="V141" i="25"/>
  <c r="AO140" i="25"/>
  <c r="AN140" i="25"/>
  <c r="AM140" i="25"/>
  <c r="AL140" i="25"/>
  <c r="AK140" i="25"/>
  <c r="AJ140" i="25"/>
  <c r="AI140" i="25"/>
  <c r="AH140" i="25"/>
  <c r="AG140" i="25"/>
  <c r="AF140" i="25"/>
  <c r="AE140" i="25"/>
  <c r="AD140" i="25"/>
  <c r="AC140" i="25"/>
  <c r="AB140" i="25"/>
  <c r="AA140" i="25"/>
  <c r="Z140" i="25"/>
  <c r="Y140" i="25"/>
  <c r="X140" i="25"/>
  <c r="W140" i="25"/>
  <c r="V140" i="25"/>
  <c r="AO139" i="25"/>
  <c r="AN139" i="25"/>
  <c r="AM139" i="25"/>
  <c r="AL139" i="25"/>
  <c r="AK139" i="25"/>
  <c r="AJ139" i="25"/>
  <c r="AI139" i="25"/>
  <c r="AH139" i="25"/>
  <c r="AG139" i="25"/>
  <c r="AF139" i="25"/>
  <c r="AE139" i="25"/>
  <c r="AD139" i="25"/>
  <c r="AC139" i="25"/>
  <c r="AB139" i="25"/>
  <c r="AA139" i="25"/>
  <c r="Z139" i="25"/>
  <c r="Y139" i="25"/>
  <c r="X139" i="25"/>
  <c r="W139" i="25"/>
  <c r="V139" i="25"/>
  <c r="AO138" i="25"/>
  <c r="AN138" i="25"/>
  <c r="AM138" i="25"/>
  <c r="AL138" i="25"/>
  <c r="AK138" i="25"/>
  <c r="AJ138" i="25"/>
  <c r="AI138" i="25"/>
  <c r="AH138" i="25"/>
  <c r="AG138" i="25"/>
  <c r="AF138" i="25"/>
  <c r="AE138" i="25"/>
  <c r="AD138" i="25"/>
  <c r="AC138" i="25"/>
  <c r="AB138" i="25"/>
  <c r="AA138" i="25"/>
  <c r="Z138" i="25"/>
  <c r="Y138" i="25"/>
  <c r="X138" i="25"/>
  <c r="W138" i="25"/>
  <c r="V138" i="25"/>
  <c r="AO137" i="25"/>
  <c r="AN137" i="25"/>
  <c r="AM137" i="25"/>
  <c r="AL137" i="25"/>
  <c r="AK137" i="25"/>
  <c r="AJ137" i="25"/>
  <c r="AI137" i="25"/>
  <c r="AH137" i="25"/>
  <c r="AG137" i="25"/>
  <c r="AF137" i="25"/>
  <c r="AE137" i="25"/>
  <c r="AD137" i="25"/>
  <c r="AC137" i="25"/>
  <c r="AB137" i="25"/>
  <c r="AA137" i="25"/>
  <c r="Z137" i="25"/>
  <c r="Y137" i="25"/>
  <c r="X137" i="25"/>
  <c r="W137" i="25"/>
  <c r="V137" i="25"/>
  <c r="AO136" i="25"/>
  <c r="AN136" i="25"/>
  <c r="AM136" i="25"/>
  <c r="AL136" i="25"/>
  <c r="AK136" i="25"/>
  <c r="AJ136" i="25"/>
  <c r="AI136" i="25"/>
  <c r="AH136" i="25"/>
  <c r="AG136" i="25"/>
  <c r="AF136" i="25"/>
  <c r="AE136" i="25"/>
  <c r="AD136" i="25"/>
  <c r="AC136" i="25"/>
  <c r="AB136" i="25"/>
  <c r="AA136" i="25"/>
  <c r="Z136" i="25"/>
  <c r="Y136" i="25"/>
  <c r="X136" i="25"/>
  <c r="W136" i="25"/>
  <c r="V136" i="25"/>
  <c r="AO135" i="25"/>
  <c r="AN135" i="25"/>
  <c r="AM135" i="25"/>
  <c r="AL135" i="25"/>
  <c r="AK135" i="25"/>
  <c r="AJ135" i="25"/>
  <c r="AI135" i="25"/>
  <c r="AH135" i="25"/>
  <c r="AG135" i="25"/>
  <c r="AF135" i="25"/>
  <c r="AE135" i="25"/>
  <c r="AD135" i="25"/>
  <c r="AC135" i="25"/>
  <c r="AB135" i="25"/>
  <c r="AA135" i="25"/>
  <c r="Z135" i="25"/>
  <c r="Y135" i="25"/>
  <c r="X135" i="25"/>
  <c r="W135" i="25"/>
  <c r="V135" i="25"/>
  <c r="AO134" i="25"/>
  <c r="AN134" i="25"/>
  <c r="AM134" i="25"/>
  <c r="AL134" i="25"/>
  <c r="AK134" i="25"/>
  <c r="AJ134" i="25"/>
  <c r="AI134" i="25"/>
  <c r="AH134" i="25"/>
  <c r="AG134" i="25"/>
  <c r="AF134" i="25"/>
  <c r="AE134" i="25"/>
  <c r="AD134" i="25"/>
  <c r="AC134" i="25"/>
  <c r="AB134" i="25"/>
  <c r="AA134" i="25"/>
  <c r="Z134" i="25"/>
  <c r="Y134" i="25"/>
  <c r="X134" i="25"/>
  <c r="W134" i="25"/>
  <c r="V134" i="25"/>
  <c r="AO133" i="25"/>
  <c r="AN133" i="25"/>
  <c r="AM133" i="25"/>
  <c r="AL133" i="25"/>
  <c r="AK133" i="25"/>
  <c r="AJ133" i="25"/>
  <c r="AI133" i="25"/>
  <c r="AH133" i="25"/>
  <c r="AG133" i="25"/>
  <c r="AF133" i="25"/>
  <c r="AE133" i="25"/>
  <c r="AD133" i="25"/>
  <c r="AC133" i="25"/>
  <c r="AB133" i="25"/>
  <c r="AA133" i="25"/>
  <c r="Z133" i="25"/>
  <c r="Y133" i="25"/>
  <c r="X133" i="25"/>
  <c r="W133" i="25"/>
  <c r="V133" i="25"/>
  <c r="AO132" i="25"/>
  <c r="AN132" i="25"/>
  <c r="AM132" i="25"/>
  <c r="AL132" i="25"/>
  <c r="AK132" i="25"/>
  <c r="AJ132" i="25"/>
  <c r="AI132" i="25"/>
  <c r="AH132" i="25"/>
  <c r="AG132" i="25"/>
  <c r="AF132" i="25"/>
  <c r="AE132" i="25"/>
  <c r="AD132" i="25"/>
  <c r="AC132" i="25"/>
  <c r="AB132" i="25"/>
  <c r="AA132" i="25"/>
  <c r="Z132" i="25"/>
  <c r="Y132" i="25"/>
  <c r="X132" i="25"/>
  <c r="W132" i="25"/>
  <c r="V132" i="25"/>
  <c r="AO131" i="25"/>
  <c r="AN131" i="25"/>
  <c r="AM131" i="25"/>
  <c r="AL131" i="25"/>
  <c r="AK131" i="25"/>
  <c r="AJ131" i="25"/>
  <c r="AI131" i="25"/>
  <c r="AH131" i="25"/>
  <c r="AG131" i="25"/>
  <c r="AF131" i="25"/>
  <c r="AE131" i="25"/>
  <c r="AD131" i="25"/>
  <c r="AC131" i="25"/>
  <c r="AB131" i="25"/>
  <c r="AA131" i="25"/>
  <c r="Z131" i="25"/>
  <c r="Y131" i="25"/>
  <c r="X131" i="25"/>
  <c r="W131" i="25"/>
  <c r="V131" i="25"/>
  <c r="AO130" i="25"/>
  <c r="AN130" i="25"/>
  <c r="AM130" i="25"/>
  <c r="AL130" i="25"/>
  <c r="AK130" i="25"/>
  <c r="AJ130" i="25"/>
  <c r="AI130" i="25"/>
  <c r="AH130" i="25"/>
  <c r="AG130" i="25"/>
  <c r="AF130" i="25"/>
  <c r="AE130" i="25"/>
  <c r="AD130" i="25"/>
  <c r="AC130" i="25"/>
  <c r="AB130" i="25"/>
  <c r="AA130" i="25"/>
  <c r="Z130" i="25"/>
  <c r="Y130" i="25"/>
  <c r="X130" i="25"/>
  <c r="W130" i="25"/>
  <c r="V130" i="25"/>
  <c r="AO129" i="25"/>
  <c r="AN129" i="25"/>
  <c r="AM129" i="25"/>
  <c r="AL129" i="25"/>
  <c r="AK129" i="25"/>
  <c r="AJ129" i="25"/>
  <c r="AI129" i="25"/>
  <c r="AH129" i="25"/>
  <c r="AG129" i="25"/>
  <c r="AF129" i="25"/>
  <c r="AE129" i="25"/>
  <c r="AD129" i="25"/>
  <c r="AC129" i="25"/>
  <c r="AB129" i="25"/>
  <c r="AA129" i="25"/>
  <c r="Z129" i="25"/>
  <c r="Y129" i="25"/>
  <c r="X129" i="25"/>
  <c r="W129" i="25"/>
  <c r="V129" i="25"/>
  <c r="AO128" i="25"/>
  <c r="AN128" i="25"/>
  <c r="AM128" i="25"/>
  <c r="AL128" i="25"/>
  <c r="AK128" i="25"/>
  <c r="AJ128" i="25"/>
  <c r="AI128" i="25"/>
  <c r="AH128" i="25"/>
  <c r="AG128" i="25"/>
  <c r="AF128" i="25"/>
  <c r="AE128" i="25"/>
  <c r="AD128" i="25"/>
  <c r="AC128" i="25"/>
  <c r="AB128" i="25"/>
  <c r="AA128" i="25"/>
  <c r="Z128" i="25"/>
  <c r="Y128" i="25"/>
  <c r="X128" i="25"/>
  <c r="W128" i="25"/>
  <c r="V128" i="25"/>
  <c r="AO127" i="25"/>
  <c r="AN127" i="25"/>
  <c r="AM127" i="25"/>
  <c r="AL127" i="25"/>
  <c r="AK127" i="25"/>
  <c r="AJ127" i="25"/>
  <c r="AI127" i="25"/>
  <c r="AH127" i="25"/>
  <c r="AG127" i="25"/>
  <c r="AF127" i="25"/>
  <c r="AE127" i="25"/>
  <c r="AD127" i="25"/>
  <c r="AC127" i="25"/>
  <c r="AB127" i="25"/>
  <c r="AA127" i="25"/>
  <c r="Z127" i="25"/>
  <c r="Y127" i="25"/>
  <c r="X127" i="25"/>
  <c r="W127" i="25"/>
  <c r="V127" i="25"/>
  <c r="AO126" i="25"/>
  <c r="AN126" i="25"/>
  <c r="AM126" i="25"/>
  <c r="AL126" i="25"/>
  <c r="AK126" i="25"/>
  <c r="AJ126" i="25"/>
  <c r="AI126" i="25"/>
  <c r="AH126" i="25"/>
  <c r="AG126" i="25"/>
  <c r="AF126" i="25"/>
  <c r="AE126" i="25"/>
  <c r="AD126" i="25"/>
  <c r="AC126" i="25"/>
  <c r="AB126" i="25"/>
  <c r="AA126" i="25"/>
  <c r="Z126" i="25"/>
  <c r="Y126" i="25"/>
  <c r="X126" i="25"/>
  <c r="W126" i="25"/>
  <c r="V126" i="25"/>
  <c r="AO125" i="25"/>
  <c r="AN125" i="25"/>
  <c r="AM125" i="25"/>
  <c r="AL125" i="25"/>
  <c r="AK125" i="25"/>
  <c r="AJ125" i="25"/>
  <c r="AI125" i="25"/>
  <c r="AH125" i="25"/>
  <c r="AG125" i="25"/>
  <c r="AF125" i="25"/>
  <c r="AE125" i="25"/>
  <c r="AD125" i="25"/>
  <c r="AC125" i="25"/>
  <c r="AB125" i="25"/>
  <c r="AA125" i="25"/>
  <c r="Z125" i="25"/>
  <c r="Y125" i="25"/>
  <c r="X125" i="25"/>
  <c r="W125" i="25"/>
  <c r="V125" i="25"/>
  <c r="AO124" i="25"/>
  <c r="AN124" i="25"/>
  <c r="AM124" i="25"/>
  <c r="AL124" i="25"/>
  <c r="AK124" i="25"/>
  <c r="AJ124" i="25"/>
  <c r="AI124" i="25"/>
  <c r="AH124" i="25"/>
  <c r="AG124" i="25"/>
  <c r="AF124" i="25"/>
  <c r="AE124" i="25"/>
  <c r="AD124" i="25"/>
  <c r="AC124" i="25"/>
  <c r="AB124" i="25"/>
  <c r="AA124" i="25"/>
  <c r="Z124" i="25"/>
  <c r="Y124" i="25"/>
  <c r="X124" i="25"/>
  <c r="W124" i="25"/>
  <c r="V124" i="25"/>
  <c r="AO123" i="25"/>
  <c r="AN123" i="25"/>
  <c r="AM123" i="25"/>
  <c r="AL123" i="25"/>
  <c r="AK123" i="25"/>
  <c r="AJ123" i="25"/>
  <c r="AI123" i="25"/>
  <c r="AH123" i="25"/>
  <c r="AG123" i="25"/>
  <c r="AF123" i="25"/>
  <c r="AE123" i="25"/>
  <c r="AD123" i="25"/>
  <c r="AC123" i="25"/>
  <c r="AB123" i="25"/>
  <c r="AA123" i="25"/>
  <c r="Z123" i="25"/>
  <c r="Y123" i="25"/>
  <c r="X123" i="25"/>
  <c r="W123" i="25"/>
  <c r="V123" i="25"/>
  <c r="AO122" i="25"/>
  <c r="AN122" i="25"/>
  <c r="AM122" i="25"/>
  <c r="AL122" i="25"/>
  <c r="AK122" i="25"/>
  <c r="AJ122" i="25"/>
  <c r="AI122" i="25"/>
  <c r="AH122" i="25"/>
  <c r="AG122" i="25"/>
  <c r="AF122" i="25"/>
  <c r="AE122" i="25"/>
  <c r="AD122" i="25"/>
  <c r="AC122" i="25"/>
  <c r="AB122" i="25"/>
  <c r="AA122" i="25"/>
  <c r="Z122" i="25"/>
  <c r="Y122" i="25"/>
  <c r="X122" i="25"/>
  <c r="W122" i="25"/>
  <c r="V122" i="25"/>
  <c r="AO121" i="25"/>
  <c r="AN121" i="25"/>
  <c r="AM121" i="25"/>
  <c r="AL121" i="25"/>
  <c r="AK121" i="25"/>
  <c r="AJ121" i="25"/>
  <c r="AI121" i="25"/>
  <c r="AH121" i="25"/>
  <c r="AG121" i="25"/>
  <c r="AF121" i="25"/>
  <c r="AE121" i="25"/>
  <c r="AD121" i="25"/>
  <c r="AC121" i="25"/>
  <c r="AB121" i="25"/>
  <c r="AA121" i="25"/>
  <c r="Z121" i="25"/>
  <c r="Y121" i="25"/>
  <c r="X121" i="25"/>
  <c r="W121" i="25"/>
  <c r="V121" i="25"/>
  <c r="AO120" i="25"/>
  <c r="AN120" i="25"/>
  <c r="AM120" i="25"/>
  <c r="AL120" i="25"/>
  <c r="AK120" i="25"/>
  <c r="AJ120" i="25"/>
  <c r="AI120" i="25"/>
  <c r="AH120" i="25"/>
  <c r="AG120" i="25"/>
  <c r="AF120" i="25"/>
  <c r="AE120" i="25"/>
  <c r="AD120" i="25"/>
  <c r="AC120" i="25"/>
  <c r="AB120" i="25"/>
  <c r="AA120" i="25"/>
  <c r="Z120" i="25"/>
  <c r="Y120" i="25"/>
  <c r="X120" i="25"/>
  <c r="W120" i="25"/>
  <c r="V120" i="25"/>
  <c r="AO119" i="25"/>
  <c r="AN119" i="25"/>
  <c r="AM119" i="25"/>
  <c r="AL119" i="25"/>
  <c r="AK119" i="25"/>
  <c r="AJ119" i="25"/>
  <c r="AI119" i="25"/>
  <c r="AH119" i="25"/>
  <c r="AG119" i="25"/>
  <c r="AF119" i="25"/>
  <c r="AE119" i="25"/>
  <c r="AD119" i="25"/>
  <c r="AC119" i="25"/>
  <c r="AB119" i="25"/>
  <c r="AA119" i="25"/>
  <c r="Z119" i="25"/>
  <c r="Y119" i="25"/>
  <c r="X119" i="25"/>
  <c r="W119" i="25"/>
  <c r="V119" i="25"/>
  <c r="AO118" i="25"/>
  <c r="AN118" i="25"/>
  <c r="AM118" i="25"/>
  <c r="AL118" i="25"/>
  <c r="AK118" i="25"/>
  <c r="AJ118" i="25"/>
  <c r="AI118" i="25"/>
  <c r="AH118" i="25"/>
  <c r="AG118" i="25"/>
  <c r="AF118" i="25"/>
  <c r="AE118" i="25"/>
  <c r="AD118" i="25"/>
  <c r="AC118" i="25"/>
  <c r="AB118" i="25"/>
  <c r="AA118" i="25"/>
  <c r="Z118" i="25"/>
  <c r="Y118" i="25"/>
  <c r="X118" i="25"/>
  <c r="W118" i="25"/>
  <c r="V118" i="25"/>
  <c r="AO117" i="25"/>
  <c r="AN117" i="25"/>
  <c r="AM117" i="25"/>
  <c r="AL117" i="25"/>
  <c r="AK117" i="25"/>
  <c r="AJ117" i="25"/>
  <c r="AI117" i="25"/>
  <c r="AH117" i="25"/>
  <c r="AG117" i="25"/>
  <c r="AF117" i="25"/>
  <c r="AE117" i="25"/>
  <c r="AD117" i="25"/>
  <c r="AC117" i="25"/>
  <c r="AB117" i="25"/>
  <c r="AA117" i="25"/>
  <c r="Z117" i="25"/>
  <c r="Y117" i="25"/>
  <c r="X117" i="25"/>
  <c r="W117" i="25"/>
  <c r="V117" i="25"/>
  <c r="AO116" i="25"/>
  <c r="AN116" i="25"/>
  <c r="AM116" i="25"/>
  <c r="AL116" i="25"/>
  <c r="AK116" i="25"/>
  <c r="AJ116" i="25"/>
  <c r="AI116" i="25"/>
  <c r="AH116" i="25"/>
  <c r="AG116" i="25"/>
  <c r="AF116" i="25"/>
  <c r="AE116" i="25"/>
  <c r="AD116" i="25"/>
  <c r="AC116" i="25"/>
  <c r="AB116" i="25"/>
  <c r="AA116" i="25"/>
  <c r="Z116" i="25"/>
  <c r="Y116" i="25"/>
  <c r="X116" i="25"/>
  <c r="W116" i="25"/>
  <c r="V116" i="25"/>
  <c r="AO115" i="25"/>
  <c r="AN115" i="25"/>
  <c r="AM115" i="25"/>
  <c r="AL115" i="25"/>
  <c r="AK115" i="25"/>
  <c r="AJ115" i="25"/>
  <c r="AI115" i="25"/>
  <c r="AH115" i="25"/>
  <c r="AG115" i="25"/>
  <c r="AF115" i="25"/>
  <c r="AE115" i="25"/>
  <c r="AD115" i="25"/>
  <c r="AC115" i="25"/>
  <c r="AB115" i="25"/>
  <c r="AA115" i="25"/>
  <c r="Z115" i="25"/>
  <c r="Y115" i="25"/>
  <c r="X115" i="25"/>
  <c r="W115" i="25"/>
  <c r="V115" i="25"/>
  <c r="AO114" i="25"/>
  <c r="AN114" i="25"/>
  <c r="AM114" i="25"/>
  <c r="AL114" i="25"/>
  <c r="AK114" i="25"/>
  <c r="AJ114" i="25"/>
  <c r="AI114" i="25"/>
  <c r="AH114" i="25"/>
  <c r="AG114" i="25"/>
  <c r="AF114" i="25"/>
  <c r="AE114" i="25"/>
  <c r="AD114" i="25"/>
  <c r="AC114" i="25"/>
  <c r="AB114" i="25"/>
  <c r="AA114" i="25"/>
  <c r="Z114" i="25"/>
  <c r="Y114" i="25"/>
  <c r="X114" i="25"/>
  <c r="W114" i="25"/>
  <c r="V114" i="25"/>
  <c r="AO113" i="25"/>
  <c r="AN113" i="25"/>
  <c r="AM113" i="25"/>
  <c r="AL113" i="25"/>
  <c r="AK113" i="25"/>
  <c r="AJ113" i="25"/>
  <c r="AI113" i="25"/>
  <c r="AH113" i="25"/>
  <c r="AG113" i="25"/>
  <c r="AF113" i="25"/>
  <c r="AE113" i="25"/>
  <c r="AD113" i="25"/>
  <c r="AC113" i="25"/>
  <c r="AB113" i="25"/>
  <c r="AA113" i="25"/>
  <c r="Z113" i="25"/>
  <c r="Y113" i="25"/>
  <c r="X113" i="25"/>
  <c r="W113" i="25"/>
  <c r="V113" i="25"/>
  <c r="AO112" i="25"/>
  <c r="AN112" i="25"/>
  <c r="AM112" i="25"/>
  <c r="AL112" i="25"/>
  <c r="AK112" i="25"/>
  <c r="AJ112" i="25"/>
  <c r="AI112" i="25"/>
  <c r="AH112" i="25"/>
  <c r="AG112" i="25"/>
  <c r="AF112" i="25"/>
  <c r="AE112" i="25"/>
  <c r="AD112" i="25"/>
  <c r="AC112" i="25"/>
  <c r="AB112" i="25"/>
  <c r="AA112" i="25"/>
  <c r="Z112" i="25"/>
  <c r="Y112" i="25"/>
  <c r="X112" i="25"/>
  <c r="W112" i="25"/>
  <c r="V112" i="25"/>
  <c r="AO111" i="25"/>
  <c r="AN111" i="25"/>
  <c r="AM111" i="25"/>
  <c r="AL111" i="25"/>
  <c r="AK111" i="25"/>
  <c r="AJ111" i="25"/>
  <c r="AI111" i="25"/>
  <c r="AH111" i="25"/>
  <c r="AG111" i="25"/>
  <c r="AF111" i="25"/>
  <c r="AE111" i="25"/>
  <c r="AD111" i="25"/>
  <c r="AC111" i="25"/>
  <c r="AB111" i="25"/>
  <c r="AA111" i="25"/>
  <c r="Z111" i="25"/>
  <c r="Y111" i="25"/>
  <c r="X111" i="25"/>
  <c r="W111" i="25"/>
  <c r="V111" i="25"/>
  <c r="AO110" i="25"/>
  <c r="AN110" i="25"/>
  <c r="AM110" i="25"/>
  <c r="AL110" i="25"/>
  <c r="AK110" i="25"/>
  <c r="AJ110" i="25"/>
  <c r="AI110" i="25"/>
  <c r="AH110" i="25"/>
  <c r="AG110" i="25"/>
  <c r="AF110" i="25"/>
  <c r="AE110" i="25"/>
  <c r="AD110" i="25"/>
  <c r="AC110" i="25"/>
  <c r="AB110" i="25"/>
  <c r="AA110" i="25"/>
  <c r="Z110" i="25"/>
  <c r="Y110" i="25"/>
  <c r="X110" i="25"/>
  <c r="W110" i="25"/>
  <c r="V110" i="25"/>
  <c r="AO109" i="25"/>
  <c r="AN109" i="25"/>
  <c r="AM109" i="25"/>
  <c r="AL109" i="25"/>
  <c r="AK109" i="25"/>
  <c r="AJ109" i="25"/>
  <c r="AI109" i="25"/>
  <c r="AH109" i="25"/>
  <c r="AG109" i="25"/>
  <c r="AF109" i="25"/>
  <c r="AE109" i="25"/>
  <c r="AD109" i="25"/>
  <c r="AC109" i="25"/>
  <c r="AB109" i="25"/>
  <c r="AA109" i="25"/>
  <c r="Z109" i="25"/>
  <c r="Y109" i="25"/>
  <c r="X109" i="25"/>
  <c r="W109" i="25"/>
  <c r="V109" i="25"/>
  <c r="AO108" i="25"/>
  <c r="AN108" i="25"/>
  <c r="AM108" i="25"/>
  <c r="AL108" i="25"/>
  <c r="AK108" i="25"/>
  <c r="AJ108" i="25"/>
  <c r="AI108" i="25"/>
  <c r="AH108" i="25"/>
  <c r="AG108" i="25"/>
  <c r="AF108" i="25"/>
  <c r="AE108" i="25"/>
  <c r="AD108" i="25"/>
  <c r="AC108" i="25"/>
  <c r="AB108" i="25"/>
  <c r="AA108" i="25"/>
  <c r="Z108" i="25"/>
  <c r="Y108" i="25"/>
  <c r="X108" i="25"/>
  <c r="W108" i="25"/>
  <c r="V108" i="25"/>
  <c r="AO107" i="25"/>
  <c r="AN107" i="25"/>
  <c r="AM107" i="25"/>
  <c r="AL107" i="25"/>
  <c r="AK107" i="25"/>
  <c r="AJ107" i="25"/>
  <c r="AI107" i="25"/>
  <c r="AH107" i="25"/>
  <c r="AG107" i="25"/>
  <c r="AF107" i="25"/>
  <c r="AE107" i="25"/>
  <c r="AD107" i="25"/>
  <c r="AC107" i="25"/>
  <c r="AB107" i="25"/>
  <c r="AA107" i="25"/>
  <c r="Z107" i="25"/>
  <c r="Y107" i="25"/>
  <c r="X107" i="25"/>
  <c r="W107" i="25"/>
  <c r="V107" i="25"/>
  <c r="AO106" i="25"/>
  <c r="AN106" i="25"/>
  <c r="AM106" i="25"/>
  <c r="AL106" i="25"/>
  <c r="AK106" i="25"/>
  <c r="AJ106" i="25"/>
  <c r="AI106" i="25"/>
  <c r="AH106" i="25"/>
  <c r="AG106" i="25"/>
  <c r="AF106" i="25"/>
  <c r="AE106" i="25"/>
  <c r="AD106" i="25"/>
  <c r="AC106" i="25"/>
  <c r="AB106" i="25"/>
  <c r="AA106" i="25"/>
  <c r="Z106" i="25"/>
  <c r="Y106" i="25"/>
  <c r="X106" i="25"/>
  <c r="W106" i="25"/>
  <c r="V106" i="25"/>
  <c r="AO105" i="25"/>
  <c r="AN105" i="25"/>
  <c r="AM105" i="25"/>
  <c r="AL105" i="25"/>
  <c r="AK105" i="25"/>
  <c r="AJ105" i="25"/>
  <c r="AI105" i="25"/>
  <c r="AH105" i="25"/>
  <c r="AG105" i="25"/>
  <c r="AF105" i="25"/>
  <c r="AE105" i="25"/>
  <c r="AD105" i="25"/>
  <c r="AC105" i="25"/>
  <c r="AB105" i="25"/>
  <c r="AA105" i="25"/>
  <c r="Z105" i="25"/>
  <c r="Y105" i="25"/>
  <c r="X105" i="25"/>
  <c r="W105" i="25"/>
  <c r="V105" i="25"/>
  <c r="AO104" i="25"/>
  <c r="AN104" i="25"/>
  <c r="AM104" i="25"/>
  <c r="AL104" i="25"/>
  <c r="AK104" i="25"/>
  <c r="AJ104" i="25"/>
  <c r="AI104" i="25"/>
  <c r="AH104" i="25"/>
  <c r="AG104" i="25"/>
  <c r="AF104" i="25"/>
  <c r="AE104" i="25"/>
  <c r="AD104" i="25"/>
  <c r="AC104" i="25"/>
  <c r="AB104" i="25"/>
  <c r="AA104" i="25"/>
  <c r="Z104" i="25"/>
  <c r="Y104" i="25"/>
  <c r="X104" i="25"/>
  <c r="W104" i="25"/>
  <c r="V104" i="25"/>
  <c r="AO103" i="25"/>
  <c r="AN103" i="25"/>
  <c r="AM103" i="25"/>
  <c r="AL103" i="25"/>
  <c r="AK103" i="25"/>
  <c r="AJ103" i="25"/>
  <c r="AI103" i="25"/>
  <c r="AH103" i="25"/>
  <c r="AG103" i="25"/>
  <c r="AF103" i="25"/>
  <c r="AE103" i="25"/>
  <c r="AD103" i="25"/>
  <c r="AC103" i="25"/>
  <c r="AB103" i="25"/>
  <c r="AA103" i="25"/>
  <c r="Z103" i="25"/>
  <c r="Y103" i="25"/>
  <c r="X103" i="25"/>
  <c r="W103" i="25"/>
  <c r="V103" i="25"/>
  <c r="AO102" i="25"/>
  <c r="AN102" i="25"/>
  <c r="AM102" i="25"/>
  <c r="AL102" i="25"/>
  <c r="AK102" i="25"/>
  <c r="AJ102" i="25"/>
  <c r="AI102" i="25"/>
  <c r="AH102" i="25"/>
  <c r="AG102" i="25"/>
  <c r="AF102" i="25"/>
  <c r="AE102" i="25"/>
  <c r="AD102" i="25"/>
  <c r="AC102" i="25"/>
  <c r="AB102" i="25"/>
  <c r="AA102" i="25"/>
  <c r="Z102" i="25"/>
  <c r="Y102" i="25"/>
  <c r="X102" i="25"/>
  <c r="W102" i="25"/>
  <c r="V102" i="25"/>
  <c r="AO101" i="25"/>
  <c r="AN101" i="25"/>
  <c r="AM101" i="25"/>
  <c r="AL101" i="25"/>
  <c r="AK101" i="25"/>
  <c r="AJ101" i="25"/>
  <c r="AI101" i="25"/>
  <c r="AH101" i="25"/>
  <c r="AG101" i="25"/>
  <c r="AF101" i="25"/>
  <c r="AE101" i="25"/>
  <c r="AD101" i="25"/>
  <c r="AC101" i="25"/>
  <c r="AB101" i="25"/>
  <c r="AA101" i="25"/>
  <c r="Z101" i="25"/>
  <c r="Y101" i="25"/>
  <c r="X101" i="25"/>
  <c r="W101" i="25"/>
  <c r="V101" i="25"/>
  <c r="AO100" i="25"/>
  <c r="AN100" i="25"/>
  <c r="AM100" i="25"/>
  <c r="AL100" i="25"/>
  <c r="AK100" i="25"/>
  <c r="AJ100" i="25"/>
  <c r="AI100" i="25"/>
  <c r="AH100" i="25"/>
  <c r="AG100" i="25"/>
  <c r="AF100" i="25"/>
  <c r="AE100" i="25"/>
  <c r="AD100" i="25"/>
  <c r="AC100" i="25"/>
  <c r="AB100" i="25"/>
  <c r="AA100" i="25"/>
  <c r="Z100" i="25"/>
  <c r="Y100" i="25"/>
  <c r="X100" i="25"/>
  <c r="W100" i="25"/>
  <c r="V100" i="25"/>
  <c r="AD95" i="25"/>
  <c r="AC95" i="25"/>
  <c r="AA95" i="25"/>
  <c r="W95" i="25"/>
  <c r="Z94" i="25"/>
  <c r="Y94" i="25"/>
  <c r="X94" i="25"/>
  <c r="AB93" i="25"/>
  <c r="AA93" i="25"/>
  <c r="Y93" i="25"/>
  <c r="X93" i="25"/>
  <c r="V93" i="25"/>
  <c r="AD92" i="25"/>
  <c r="AC92" i="25"/>
  <c r="AA92" i="25"/>
  <c r="Y92" i="25"/>
  <c r="W92" i="25"/>
  <c r="AC91" i="25"/>
  <c r="Z91" i="25"/>
  <c r="Y91" i="25"/>
  <c r="X91" i="25"/>
  <c r="AB90" i="25"/>
  <c r="AA90" i="25"/>
  <c r="Y90" i="25"/>
  <c r="V90" i="25"/>
  <c r="AD89" i="25"/>
  <c r="AC89" i="25"/>
  <c r="AA89" i="25"/>
  <c r="Y89" i="25"/>
  <c r="W89" i="25"/>
  <c r="Z88" i="25"/>
  <c r="Y88" i="25"/>
  <c r="X88" i="25"/>
  <c r="AB87" i="25"/>
  <c r="AA87" i="25"/>
  <c r="Y87" i="25"/>
  <c r="W87" i="25"/>
  <c r="V87" i="25"/>
  <c r="Z82" i="25"/>
  <c r="Y82" i="25"/>
  <c r="X82" i="25"/>
  <c r="W82" i="25"/>
  <c r="V82" i="25"/>
  <c r="Z81" i="25"/>
  <c r="Y81" i="25"/>
  <c r="X81" i="25"/>
  <c r="W81" i="25"/>
  <c r="V81" i="25"/>
  <c r="Z80" i="25"/>
  <c r="Y80" i="25"/>
  <c r="X80" i="25"/>
  <c r="W80" i="25"/>
  <c r="V80" i="25"/>
  <c r="Z79" i="25"/>
  <c r="Y79" i="25"/>
  <c r="X79" i="25"/>
  <c r="W79" i="25"/>
  <c r="V79" i="25"/>
  <c r="Z78" i="25"/>
  <c r="Y78" i="25"/>
  <c r="X78" i="25"/>
  <c r="W78" i="25"/>
  <c r="V78" i="25"/>
  <c r="Z77" i="25"/>
  <c r="Y77" i="25"/>
  <c r="X77" i="25"/>
  <c r="W77" i="25"/>
  <c r="V77" i="25"/>
  <c r="Z76" i="25"/>
  <c r="Y76" i="25"/>
  <c r="X76" i="25"/>
  <c r="W76" i="25"/>
  <c r="V76" i="25"/>
  <c r="Z75" i="25"/>
  <c r="Y75" i="25"/>
  <c r="X75" i="25"/>
  <c r="W75" i="25"/>
  <c r="V75" i="25"/>
  <c r="Z74" i="25"/>
  <c r="Y74" i="25"/>
  <c r="X74" i="25"/>
  <c r="W74" i="25"/>
  <c r="V74" i="25"/>
  <c r="Z73" i="25"/>
  <c r="Y73" i="25"/>
  <c r="X73" i="25"/>
  <c r="W73" i="25"/>
  <c r="V73" i="25"/>
  <c r="AA68" i="25"/>
  <c r="Z68" i="25"/>
  <c r="Y68" i="25"/>
  <c r="X68" i="25"/>
  <c r="W68" i="25"/>
  <c r="V68" i="25"/>
  <c r="AA67" i="25"/>
  <c r="Z67" i="25"/>
  <c r="Y67" i="25"/>
  <c r="X67" i="25"/>
  <c r="W67" i="25"/>
  <c r="V67" i="25"/>
  <c r="Z66" i="25"/>
  <c r="Y66" i="25"/>
  <c r="X66" i="25"/>
  <c r="W66" i="25"/>
  <c r="V66" i="25"/>
  <c r="AA65" i="25"/>
  <c r="Z65" i="25"/>
  <c r="Y65" i="25"/>
  <c r="X65" i="25"/>
  <c r="W65" i="25"/>
  <c r="V65" i="25"/>
  <c r="AA64" i="25"/>
  <c r="Z64" i="25"/>
  <c r="Y64" i="25"/>
  <c r="X64" i="25"/>
  <c r="W64" i="25"/>
  <c r="V64" i="25"/>
  <c r="AA63" i="25"/>
  <c r="Z63" i="25"/>
  <c r="Y63" i="25"/>
  <c r="X63" i="25"/>
  <c r="W63" i="25"/>
  <c r="V63" i="25"/>
  <c r="AA62" i="25"/>
  <c r="Z62" i="25"/>
  <c r="Y62" i="25"/>
  <c r="X62" i="25"/>
  <c r="W62" i="25"/>
  <c r="V62" i="25"/>
  <c r="AA61" i="25"/>
  <c r="Z61" i="25"/>
  <c r="Y61" i="25"/>
  <c r="X61" i="25"/>
  <c r="W61" i="25"/>
  <c r="V61" i="25"/>
  <c r="AA60" i="25"/>
  <c r="Z60" i="25"/>
  <c r="Y60" i="25"/>
  <c r="X60" i="25"/>
  <c r="W60" i="25"/>
  <c r="V60" i="25"/>
  <c r="AA59" i="25"/>
  <c r="Z59" i="25"/>
  <c r="Y59" i="25"/>
  <c r="X59" i="25"/>
  <c r="W59" i="25"/>
  <c r="V59" i="25"/>
  <c r="AQ58" i="25"/>
  <c r="E40" i="25" s="1"/>
  <c r="AA58" i="25"/>
  <c r="Z58" i="25"/>
  <c r="Y58" i="25"/>
  <c r="X58" i="25"/>
  <c r="W58" i="25"/>
  <c r="V58" i="25"/>
  <c r="AA57" i="25"/>
  <c r="Z57" i="25"/>
  <c r="Y57" i="25"/>
  <c r="X57" i="25"/>
  <c r="W57" i="25"/>
  <c r="V57" i="25"/>
  <c r="B57" i="25"/>
  <c r="AA56" i="25"/>
  <c r="Z56" i="25"/>
  <c r="Y56" i="25"/>
  <c r="X56" i="25"/>
  <c r="W56" i="25"/>
  <c r="V56" i="25"/>
  <c r="B55" i="25"/>
  <c r="B48" i="25"/>
  <c r="AQ35" i="25" s="1"/>
  <c r="AP44" i="25"/>
  <c r="B59" i="25" s="1"/>
  <c r="AP43" i="25"/>
  <c r="B58" i="25" s="1"/>
  <c r="AP42" i="25"/>
  <c r="X42" i="25"/>
  <c r="AP41" i="25"/>
  <c r="B56" i="25" s="1"/>
  <c r="X41" i="25"/>
  <c r="AP40" i="25"/>
  <c r="X40" i="25"/>
  <c r="D40" i="25"/>
  <c r="B40" i="25"/>
  <c r="X39" i="25"/>
  <c r="X38" i="25"/>
  <c r="X37" i="25"/>
  <c r="X36" i="25"/>
  <c r="X35" i="25"/>
  <c r="Q35" i="25"/>
  <c r="P35" i="25"/>
  <c r="E18" i="25" s="1"/>
  <c r="B35" i="25"/>
  <c r="X34" i="25"/>
  <c r="J34" i="25"/>
  <c r="D35" i="25" s="1"/>
  <c r="X33" i="25"/>
  <c r="X32" i="25"/>
  <c r="AG31" i="25"/>
  <c r="X31" i="25"/>
  <c r="X30" i="25"/>
  <c r="X29" i="25"/>
  <c r="B29" i="25"/>
  <c r="X28" i="25"/>
  <c r="AQ27" i="25"/>
  <c r="B27" i="25"/>
  <c r="P25" i="25"/>
  <c r="I24" i="25" s="1"/>
  <c r="G24" i="25"/>
  <c r="E24" i="25"/>
  <c r="C24" i="25"/>
  <c r="AB23" i="25"/>
  <c r="AA23" i="25"/>
  <c r="Z23" i="25"/>
  <c r="AC23" i="25" s="1"/>
  <c r="Y23" i="25"/>
  <c r="I23" i="25"/>
  <c r="G23" i="25"/>
  <c r="E23" i="25"/>
  <c r="C23" i="25"/>
  <c r="AB22" i="25"/>
  <c r="AA22" i="25"/>
  <c r="Z22" i="25"/>
  <c r="AC22" i="25" s="1"/>
  <c r="Y22" i="25"/>
  <c r="I22" i="25"/>
  <c r="G22" i="25"/>
  <c r="E22" i="25"/>
  <c r="C22" i="25"/>
  <c r="I21" i="25"/>
  <c r="G21" i="25"/>
  <c r="E21" i="25"/>
  <c r="C21" i="25"/>
  <c r="AQ20" i="25"/>
  <c r="AI20" i="25"/>
  <c r="I20" i="25"/>
  <c r="AQ19" i="25"/>
  <c r="AI19" i="25"/>
  <c r="AQ18" i="25"/>
  <c r="B47" i="25" s="1"/>
  <c r="AQ34" i="25" s="1"/>
  <c r="AI18" i="25"/>
  <c r="AJ18" i="25" s="1"/>
  <c r="I18" i="25"/>
  <c r="AI17" i="25"/>
  <c r="AI16" i="25"/>
  <c r="AJ15" i="25"/>
  <c r="AI15" i="25"/>
  <c r="AQ14" i="25"/>
  <c r="B46" i="25" s="1"/>
  <c r="AQ33" i="25" s="1"/>
  <c r="AI14" i="25"/>
  <c r="I14" i="25"/>
  <c r="AQ13" i="25"/>
  <c r="AI13" i="25"/>
  <c r="AQ12" i="25"/>
  <c r="B44" i="25" s="1"/>
  <c r="AQ31" i="25" s="1"/>
  <c r="AI12" i="25"/>
  <c r="AJ12" i="25" s="1"/>
  <c r="AI11" i="25"/>
  <c r="AC11" i="25"/>
  <c r="AB11" i="25"/>
  <c r="AA11" i="25"/>
  <c r="Z11" i="25"/>
  <c r="Y11" i="25"/>
  <c r="AI10" i="25"/>
  <c r="AB10" i="25"/>
  <c r="AA10" i="25"/>
  <c r="Z10" i="25"/>
  <c r="AC10" i="25" s="1"/>
  <c r="AD8" i="25" s="1"/>
  <c r="AB36" i="25" s="1"/>
  <c r="Y10" i="25"/>
  <c r="AI9" i="25"/>
  <c r="AJ9" i="25" s="1"/>
  <c r="AB9" i="25"/>
  <c r="AA9" i="25"/>
  <c r="Z9" i="25"/>
  <c r="AC9" i="25" s="1"/>
  <c r="Y9" i="25"/>
  <c r="AQ8" i="25"/>
  <c r="B43" i="25" s="1"/>
  <c r="AQ30" i="25" s="1"/>
  <c r="AB8" i="25"/>
  <c r="AA8" i="25"/>
  <c r="Z8" i="25"/>
  <c r="AC8" i="25" s="1"/>
  <c r="Y8" i="25"/>
  <c r="AQ7" i="25"/>
  <c r="B42" i="25" s="1"/>
  <c r="AQ29" i="25" s="1"/>
  <c r="AQ6" i="25"/>
  <c r="B41" i="25" s="1"/>
  <c r="AQ28" i="25" s="1"/>
  <c r="AO179" i="24"/>
  <c r="AN179" i="24"/>
  <c r="AM179" i="24"/>
  <c r="AL179" i="24"/>
  <c r="AK179" i="24"/>
  <c r="AJ179" i="24"/>
  <c r="AI179" i="24"/>
  <c r="AH179" i="24"/>
  <c r="AG179" i="24"/>
  <c r="AF179" i="24"/>
  <c r="AE179" i="24"/>
  <c r="AD179" i="24"/>
  <c r="AC179" i="24"/>
  <c r="AB179" i="24"/>
  <c r="AA179" i="24"/>
  <c r="Z179" i="24"/>
  <c r="Y179" i="24"/>
  <c r="X179" i="24"/>
  <c r="W179" i="24"/>
  <c r="V179" i="24"/>
  <c r="AO178" i="24"/>
  <c r="AN178" i="24"/>
  <c r="AM178" i="24"/>
  <c r="AL178" i="24"/>
  <c r="AK178" i="24"/>
  <c r="AJ178" i="24"/>
  <c r="AI178" i="24"/>
  <c r="AH178" i="24"/>
  <c r="AG178" i="24"/>
  <c r="AF178" i="24"/>
  <c r="AE178" i="24"/>
  <c r="AD178" i="24"/>
  <c r="AC178" i="24"/>
  <c r="AB178" i="24"/>
  <c r="AA178" i="24"/>
  <c r="Z178" i="24"/>
  <c r="Y178" i="24"/>
  <c r="X178" i="24"/>
  <c r="W178" i="24"/>
  <c r="V178" i="24"/>
  <c r="AO177" i="24"/>
  <c r="AN177" i="24"/>
  <c r="AM177" i="24"/>
  <c r="AL177" i="24"/>
  <c r="AK177" i="24"/>
  <c r="AJ177" i="24"/>
  <c r="AI177" i="24"/>
  <c r="AH177" i="24"/>
  <c r="AG177" i="24"/>
  <c r="AF177" i="24"/>
  <c r="AE177" i="24"/>
  <c r="AD177" i="24"/>
  <c r="AC177" i="24"/>
  <c r="AB177" i="24"/>
  <c r="AA177" i="24"/>
  <c r="Z177" i="24"/>
  <c r="Y177" i="24"/>
  <c r="X177" i="24"/>
  <c r="W177" i="24"/>
  <c r="V177" i="24"/>
  <c r="AO176" i="24"/>
  <c r="AN176" i="24"/>
  <c r="AM176" i="24"/>
  <c r="AL176" i="24"/>
  <c r="AK176" i="24"/>
  <c r="AJ176" i="24"/>
  <c r="AI176" i="24"/>
  <c r="AH176" i="24"/>
  <c r="AG176" i="24"/>
  <c r="AF176" i="24"/>
  <c r="AE176" i="24"/>
  <c r="AD176" i="24"/>
  <c r="AC176" i="24"/>
  <c r="AB176" i="24"/>
  <c r="AA176" i="24"/>
  <c r="Z176" i="24"/>
  <c r="Y176" i="24"/>
  <c r="X176" i="24"/>
  <c r="W176" i="24"/>
  <c r="V176" i="24"/>
  <c r="AO175" i="24"/>
  <c r="AN175" i="24"/>
  <c r="AM175" i="24"/>
  <c r="AL175" i="24"/>
  <c r="AK175" i="24"/>
  <c r="AJ175" i="24"/>
  <c r="AI175" i="24"/>
  <c r="AH175" i="24"/>
  <c r="AG175" i="24"/>
  <c r="AF175" i="24"/>
  <c r="AE175" i="24"/>
  <c r="AD175" i="24"/>
  <c r="AC175" i="24"/>
  <c r="AB175" i="24"/>
  <c r="AA175" i="24"/>
  <c r="Z175" i="24"/>
  <c r="Y175" i="24"/>
  <c r="X175" i="24"/>
  <c r="W175" i="24"/>
  <c r="V175" i="24"/>
  <c r="AO174" i="24"/>
  <c r="AN174" i="24"/>
  <c r="AM174" i="24"/>
  <c r="AL174" i="24"/>
  <c r="AK174" i="24"/>
  <c r="AJ174" i="24"/>
  <c r="AI174" i="24"/>
  <c r="AH174" i="24"/>
  <c r="AG174" i="24"/>
  <c r="AF174" i="24"/>
  <c r="AE174" i="24"/>
  <c r="AD174" i="24"/>
  <c r="AC174" i="24"/>
  <c r="AB174" i="24"/>
  <c r="AA174" i="24"/>
  <c r="Z174" i="24"/>
  <c r="Y174" i="24"/>
  <c r="X174" i="24"/>
  <c r="W174" i="24"/>
  <c r="V174" i="24"/>
  <c r="AO173" i="24"/>
  <c r="AN173" i="24"/>
  <c r="AM173" i="24"/>
  <c r="AL173" i="24"/>
  <c r="AK173" i="24"/>
  <c r="AJ173" i="24"/>
  <c r="AI173" i="24"/>
  <c r="AH173" i="24"/>
  <c r="AG173" i="24"/>
  <c r="AF173" i="24"/>
  <c r="AE173" i="24"/>
  <c r="AD173" i="24"/>
  <c r="AC173" i="24"/>
  <c r="AB173" i="24"/>
  <c r="AA173" i="24"/>
  <c r="Z173" i="24"/>
  <c r="Y173" i="24"/>
  <c r="X173" i="24"/>
  <c r="W173" i="24"/>
  <c r="V173" i="24"/>
  <c r="AO172" i="24"/>
  <c r="AN172" i="24"/>
  <c r="AM172" i="24"/>
  <c r="AL172" i="24"/>
  <c r="AK172" i="24"/>
  <c r="AJ172" i="24"/>
  <c r="AI172" i="24"/>
  <c r="AH172" i="24"/>
  <c r="AG172" i="24"/>
  <c r="AF172" i="24"/>
  <c r="AE172" i="24"/>
  <c r="AD172" i="24"/>
  <c r="AC172" i="24"/>
  <c r="AB172" i="24"/>
  <c r="AA172" i="24"/>
  <c r="Z172" i="24"/>
  <c r="Y172" i="24"/>
  <c r="X172" i="24"/>
  <c r="W172" i="24"/>
  <c r="V172" i="24"/>
  <c r="AO171" i="24"/>
  <c r="AN171" i="24"/>
  <c r="AM171" i="24"/>
  <c r="AL171" i="24"/>
  <c r="AK171" i="24"/>
  <c r="AJ171" i="24"/>
  <c r="AI171" i="24"/>
  <c r="AH171" i="24"/>
  <c r="AG171" i="24"/>
  <c r="AF171" i="24"/>
  <c r="AE171" i="24"/>
  <c r="AD171" i="24"/>
  <c r="AC171" i="24"/>
  <c r="AB171" i="24"/>
  <c r="AA171" i="24"/>
  <c r="Z171" i="24"/>
  <c r="Y171" i="24"/>
  <c r="X171" i="24"/>
  <c r="W171" i="24"/>
  <c r="V171" i="24"/>
  <c r="AO170" i="24"/>
  <c r="AN170" i="24"/>
  <c r="AM170" i="24"/>
  <c r="AL170" i="24"/>
  <c r="AK170" i="24"/>
  <c r="AJ170" i="24"/>
  <c r="AI170" i="24"/>
  <c r="AH170" i="24"/>
  <c r="AG170" i="24"/>
  <c r="AF170" i="24"/>
  <c r="AE170" i="24"/>
  <c r="AD170" i="24"/>
  <c r="AC170" i="24"/>
  <c r="AB170" i="24"/>
  <c r="AA170" i="24"/>
  <c r="Z170" i="24"/>
  <c r="Y170" i="24"/>
  <c r="X170" i="24"/>
  <c r="W170" i="24"/>
  <c r="V170" i="24"/>
  <c r="AO169" i="24"/>
  <c r="AN169" i="24"/>
  <c r="AM169" i="24"/>
  <c r="AL169" i="24"/>
  <c r="AK169" i="24"/>
  <c r="AJ169" i="24"/>
  <c r="AI169" i="24"/>
  <c r="AH169" i="24"/>
  <c r="AG169" i="24"/>
  <c r="AF169" i="24"/>
  <c r="AE169" i="24"/>
  <c r="AD169" i="24"/>
  <c r="AC169" i="24"/>
  <c r="AB169" i="24"/>
  <c r="AA169" i="24"/>
  <c r="Z169" i="24"/>
  <c r="Y169" i="24"/>
  <c r="X169" i="24"/>
  <c r="W169" i="24"/>
  <c r="V169" i="24"/>
  <c r="AO168" i="24"/>
  <c r="AN168" i="24"/>
  <c r="AM168" i="24"/>
  <c r="AL168" i="24"/>
  <c r="X95" i="24" s="1"/>
  <c r="AK168" i="24"/>
  <c r="AJ168" i="24"/>
  <c r="AI168" i="24"/>
  <c r="AH168" i="24"/>
  <c r="AG168" i="24"/>
  <c r="AF168" i="24"/>
  <c r="AE168" i="24"/>
  <c r="AD168" i="24"/>
  <c r="AC168" i="24"/>
  <c r="AB168" i="24"/>
  <c r="AB95" i="24" s="1"/>
  <c r="AA168" i="24"/>
  <c r="Z168" i="24"/>
  <c r="Y168" i="24"/>
  <c r="X168" i="24"/>
  <c r="W168" i="24"/>
  <c r="W95" i="24" s="1"/>
  <c r="V168" i="24"/>
  <c r="V95" i="24" s="1"/>
  <c r="AO167" i="24"/>
  <c r="AN167" i="24"/>
  <c r="AM167" i="24"/>
  <c r="AL167" i="24"/>
  <c r="AK167" i="24"/>
  <c r="AJ167" i="24"/>
  <c r="AI167" i="24"/>
  <c r="AH167" i="24"/>
  <c r="AG167" i="24"/>
  <c r="AF167" i="24"/>
  <c r="AE167" i="24"/>
  <c r="AD167" i="24"/>
  <c r="AD94" i="24" s="1"/>
  <c r="AC167" i="24"/>
  <c r="AB167" i="24"/>
  <c r="AA167" i="24"/>
  <c r="AA94" i="24" s="1"/>
  <c r="Z167" i="24"/>
  <c r="Z94" i="24" s="1"/>
  <c r="Y167" i="24"/>
  <c r="X167" i="24"/>
  <c r="W167" i="24"/>
  <c r="V167" i="24"/>
  <c r="V94" i="24" s="1"/>
  <c r="AO166" i="24"/>
  <c r="AN166" i="24"/>
  <c r="AM166" i="24"/>
  <c r="AL166" i="24"/>
  <c r="X93" i="24" s="1"/>
  <c r="AK166" i="24"/>
  <c r="AJ166" i="24"/>
  <c r="AI166" i="24"/>
  <c r="AH166" i="24"/>
  <c r="AG166" i="24"/>
  <c r="AF166" i="24"/>
  <c r="AE166" i="24"/>
  <c r="AD166" i="24"/>
  <c r="AC166" i="24"/>
  <c r="AC93" i="24" s="1"/>
  <c r="AB166" i="24"/>
  <c r="AB93" i="24" s="1"/>
  <c r="AA166" i="24"/>
  <c r="AA93" i="24" s="1"/>
  <c r="Z166" i="24"/>
  <c r="Z93" i="24" s="1"/>
  <c r="Y166" i="24"/>
  <c r="X166" i="24"/>
  <c r="W166" i="24"/>
  <c r="W93" i="24" s="1"/>
  <c r="V166" i="24"/>
  <c r="AO165" i="24"/>
  <c r="AN165" i="24"/>
  <c r="AM165" i="24"/>
  <c r="AL165" i="24"/>
  <c r="AK165" i="24"/>
  <c r="AJ165" i="24"/>
  <c r="AI165" i="24"/>
  <c r="AH165" i="24"/>
  <c r="AG165" i="24"/>
  <c r="AF165" i="24"/>
  <c r="AE165" i="24"/>
  <c r="AD165" i="24"/>
  <c r="AD92" i="24" s="1"/>
  <c r="AC165" i="24"/>
  <c r="AB165" i="24"/>
  <c r="AB92" i="24" s="1"/>
  <c r="AA165" i="24"/>
  <c r="Z165" i="24"/>
  <c r="Z92" i="24" s="1"/>
  <c r="Y165" i="24"/>
  <c r="Y92" i="24" s="1"/>
  <c r="X165" i="24"/>
  <c r="W165" i="24"/>
  <c r="V165" i="24"/>
  <c r="V92" i="24" s="1"/>
  <c r="AO164" i="24"/>
  <c r="AN164" i="24"/>
  <c r="AM164" i="24"/>
  <c r="AL164" i="24"/>
  <c r="X91" i="24" s="1"/>
  <c r="AK164" i="24"/>
  <c r="AJ164" i="24"/>
  <c r="AI164" i="24"/>
  <c r="AH164" i="24"/>
  <c r="AG164" i="24"/>
  <c r="AF164" i="24"/>
  <c r="AE164" i="24"/>
  <c r="AD164" i="24"/>
  <c r="AD91" i="24" s="1"/>
  <c r="AC164" i="24"/>
  <c r="AB164" i="24"/>
  <c r="AB91" i="24" s="1"/>
  <c r="AA164" i="24"/>
  <c r="AA91" i="24" s="1"/>
  <c r="Z164" i="24"/>
  <c r="Y164" i="24"/>
  <c r="X164" i="24"/>
  <c r="W164" i="24"/>
  <c r="V164" i="24"/>
  <c r="AO163" i="24"/>
  <c r="AN163" i="24"/>
  <c r="AM163" i="24"/>
  <c r="AL163" i="24"/>
  <c r="X90" i="24" s="1"/>
  <c r="AK163" i="24"/>
  <c r="AJ163" i="24"/>
  <c r="AI163" i="24"/>
  <c r="AH163" i="24"/>
  <c r="AG163" i="24"/>
  <c r="AF163" i="24"/>
  <c r="AE163" i="24"/>
  <c r="AD163" i="24"/>
  <c r="AD90" i="24" s="1"/>
  <c r="AC163" i="24"/>
  <c r="AB163" i="24"/>
  <c r="AA163" i="24"/>
  <c r="Z163" i="24"/>
  <c r="Z90" i="24" s="1"/>
  <c r="Y163" i="24"/>
  <c r="X163" i="24"/>
  <c r="W163" i="24"/>
  <c r="W90" i="24" s="1"/>
  <c r="V163" i="24"/>
  <c r="V90" i="24" s="1"/>
  <c r="AO162" i="24"/>
  <c r="AN162" i="24"/>
  <c r="AM162" i="24"/>
  <c r="AL162" i="24"/>
  <c r="X89" i="24" s="1"/>
  <c r="AK162" i="24"/>
  <c r="AJ162" i="24"/>
  <c r="AI162" i="24"/>
  <c r="AH162" i="24"/>
  <c r="AG162" i="24"/>
  <c r="AF162" i="24"/>
  <c r="AE162" i="24"/>
  <c r="AD162" i="24"/>
  <c r="AD89" i="24" s="1"/>
  <c r="AC162" i="24"/>
  <c r="AC89" i="24" s="1"/>
  <c r="AB162" i="24"/>
  <c r="AB89" i="24" s="1"/>
  <c r="AA162" i="24"/>
  <c r="Z162" i="24"/>
  <c r="Y162" i="24"/>
  <c r="Y89" i="24" s="1"/>
  <c r="X162" i="24"/>
  <c r="W162" i="24"/>
  <c r="W89" i="24" s="1"/>
  <c r="V162" i="24"/>
  <c r="V89" i="24" s="1"/>
  <c r="AO161" i="24"/>
  <c r="AN161" i="24"/>
  <c r="AM161" i="24"/>
  <c r="AL161" i="24"/>
  <c r="X88" i="24" s="1"/>
  <c r="AK161" i="24"/>
  <c r="AJ161" i="24"/>
  <c r="AI161" i="24"/>
  <c r="AH161" i="24"/>
  <c r="AG161" i="24"/>
  <c r="AF161" i="24"/>
  <c r="AE161" i="24"/>
  <c r="AD161" i="24"/>
  <c r="AD88" i="24" s="1"/>
  <c r="AC161" i="24"/>
  <c r="AB161" i="24"/>
  <c r="AA161" i="24"/>
  <c r="AA88" i="24" s="1"/>
  <c r="Z161" i="24"/>
  <c r="Z88" i="24" s="1"/>
  <c r="Y161" i="24"/>
  <c r="Y88" i="24" s="1"/>
  <c r="X161" i="24"/>
  <c r="W161" i="24"/>
  <c r="W88" i="24" s="1"/>
  <c r="V161" i="24"/>
  <c r="V88" i="24" s="1"/>
  <c r="AO160" i="24"/>
  <c r="AN160" i="24"/>
  <c r="AM160" i="24"/>
  <c r="AL160" i="24"/>
  <c r="X87" i="24" s="1"/>
  <c r="AK160" i="24"/>
  <c r="AJ160" i="24"/>
  <c r="AI160" i="24"/>
  <c r="AH160" i="24"/>
  <c r="AG160" i="24"/>
  <c r="AF160" i="24"/>
  <c r="AE160" i="24"/>
  <c r="AD160" i="24"/>
  <c r="AC160" i="24"/>
  <c r="AB160" i="24"/>
  <c r="AA160" i="24"/>
  <c r="Z160" i="24"/>
  <c r="Z87" i="24" s="1"/>
  <c r="Y160" i="24"/>
  <c r="X160" i="24"/>
  <c r="W160" i="24"/>
  <c r="W87" i="24" s="1"/>
  <c r="V160" i="24"/>
  <c r="V87" i="24" s="1"/>
  <c r="AO159" i="24"/>
  <c r="AN159" i="24"/>
  <c r="AM159" i="24"/>
  <c r="AL159" i="24"/>
  <c r="AK159" i="24"/>
  <c r="AJ159" i="24"/>
  <c r="AI159" i="24"/>
  <c r="AH159" i="24"/>
  <c r="AG159" i="24"/>
  <c r="AF159" i="24"/>
  <c r="AE159" i="24"/>
  <c r="AD159" i="24"/>
  <c r="AC159" i="24"/>
  <c r="AB159" i="24"/>
  <c r="AA159" i="24"/>
  <c r="Z159" i="24"/>
  <c r="Y159" i="24"/>
  <c r="X159" i="24"/>
  <c r="W159" i="24"/>
  <c r="V159" i="24"/>
  <c r="AO158" i="24"/>
  <c r="AN158" i="24"/>
  <c r="AM158" i="24"/>
  <c r="AL158" i="24"/>
  <c r="AK158" i="24"/>
  <c r="AJ158" i="24"/>
  <c r="AI158" i="24"/>
  <c r="AH158" i="24"/>
  <c r="AG158" i="24"/>
  <c r="AF158" i="24"/>
  <c r="AE158" i="24"/>
  <c r="AD158" i="24"/>
  <c r="AC158" i="24"/>
  <c r="AB158" i="24"/>
  <c r="AA158" i="24"/>
  <c r="Z158" i="24"/>
  <c r="Y158" i="24"/>
  <c r="X158" i="24"/>
  <c r="W158" i="24"/>
  <c r="V158" i="24"/>
  <c r="AO157" i="24"/>
  <c r="AN157" i="24"/>
  <c r="AM157" i="24"/>
  <c r="AL157" i="24"/>
  <c r="AK157" i="24"/>
  <c r="AJ157" i="24"/>
  <c r="AI157" i="24"/>
  <c r="AH157" i="24"/>
  <c r="AG157" i="24"/>
  <c r="AF157" i="24"/>
  <c r="AE157" i="24"/>
  <c r="AD157" i="24"/>
  <c r="AC157" i="24"/>
  <c r="AB157" i="24"/>
  <c r="AA157" i="24"/>
  <c r="Z157" i="24"/>
  <c r="Y157" i="24"/>
  <c r="X157" i="24"/>
  <c r="W157" i="24"/>
  <c r="V157" i="24"/>
  <c r="AO156" i="24"/>
  <c r="AN156" i="24"/>
  <c r="AM156" i="24"/>
  <c r="AL156" i="24"/>
  <c r="AK156" i="24"/>
  <c r="AJ156" i="24"/>
  <c r="AI156" i="24"/>
  <c r="AH156" i="24"/>
  <c r="AG156" i="24"/>
  <c r="AF156" i="24"/>
  <c r="AE156" i="24"/>
  <c r="AD156" i="24"/>
  <c r="AC156" i="24"/>
  <c r="AB156" i="24"/>
  <c r="AA156" i="24"/>
  <c r="Z156" i="24"/>
  <c r="Y156" i="24"/>
  <c r="X156" i="24"/>
  <c r="W156" i="24"/>
  <c r="V156" i="24"/>
  <c r="AO155" i="24"/>
  <c r="AN155" i="24"/>
  <c r="AM155" i="24"/>
  <c r="AL155" i="24"/>
  <c r="AK155" i="24"/>
  <c r="AJ155" i="24"/>
  <c r="AI155" i="24"/>
  <c r="AH155" i="24"/>
  <c r="AG155" i="24"/>
  <c r="AF155" i="24"/>
  <c r="AE155" i="24"/>
  <c r="AD155" i="24"/>
  <c r="AC155" i="24"/>
  <c r="AB155" i="24"/>
  <c r="AA155" i="24"/>
  <c r="Z155" i="24"/>
  <c r="Y155" i="24"/>
  <c r="X155" i="24"/>
  <c r="W155" i="24"/>
  <c r="V155" i="24"/>
  <c r="AO154" i="24"/>
  <c r="AN154" i="24"/>
  <c r="AM154" i="24"/>
  <c r="AL154" i="24"/>
  <c r="AK154" i="24"/>
  <c r="AJ154" i="24"/>
  <c r="AI154" i="24"/>
  <c r="AH154" i="24"/>
  <c r="AG154" i="24"/>
  <c r="AF154" i="24"/>
  <c r="AE154" i="24"/>
  <c r="AD154" i="24"/>
  <c r="AC154" i="24"/>
  <c r="AB154" i="24"/>
  <c r="AA154" i="24"/>
  <c r="Z154" i="24"/>
  <c r="Y154" i="24"/>
  <c r="X154" i="24"/>
  <c r="W154" i="24"/>
  <c r="V154" i="24"/>
  <c r="AO153" i="24"/>
  <c r="AN153" i="24"/>
  <c r="AM153" i="24"/>
  <c r="AL153" i="24"/>
  <c r="AK153" i="24"/>
  <c r="AJ153" i="24"/>
  <c r="AI153" i="24"/>
  <c r="AH153" i="24"/>
  <c r="AG153" i="24"/>
  <c r="AF153" i="24"/>
  <c r="AE153" i="24"/>
  <c r="AD153" i="24"/>
  <c r="AC153" i="24"/>
  <c r="AB153" i="24"/>
  <c r="AA153" i="24"/>
  <c r="Z153" i="24"/>
  <c r="Y153" i="24"/>
  <c r="X153" i="24"/>
  <c r="W153" i="24"/>
  <c r="V153" i="24"/>
  <c r="AO152" i="24"/>
  <c r="AN152" i="24"/>
  <c r="AM152" i="24"/>
  <c r="AL152" i="24"/>
  <c r="AK152" i="24"/>
  <c r="AJ152" i="24"/>
  <c r="AI152" i="24"/>
  <c r="AH152" i="24"/>
  <c r="AG152" i="24"/>
  <c r="AF152" i="24"/>
  <c r="AE152" i="24"/>
  <c r="AD152" i="24"/>
  <c r="AC152" i="24"/>
  <c r="AB152" i="24"/>
  <c r="AA152" i="24"/>
  <c r="Z152" i="24"/>
  <c r="Y152" i="24"/>
  <c r="X152" i="24"/>
  <c r="W152" i="24"/>
  <c r="V152" i="24"/>
  <c r="AO151" i="24"/>
  <c r="AN151" i="24"/>
  <c r="AM151" i="24"/>
  <c r="AL151" i="24"/>
  <c r="AK151" i="24"/>
  <c r="AJ151" i="24"/>
  <c r="AI151" i="24"/>
  <c r="AH151" i="24"/>
  <c r="AG151" i="24"/>
  <c r="AF151" i="24"/>
  <c r="AE151" i="24"/>
  <c r="AD151" i="24"/>
  <c r="AC151" i="24"/>
  <c r="AB151" i="24"/>
  <c r="AA151" i="24"/>
  <c r="Z151" i="24"/>
  <c r="Y151" i="24"/>
  <c r="X151" i="24"/>
  <c r="W151" i="24"/>
  <c r="V151" i="24"/>
  <c r="AO150" i="24"/>
  <c r="AN150" i="24"/>
  <c r="AM150" i="24"/>
  <c r="AL150" i="24"/>
  <c r="AK150" i="24"/>
  <c r="AJ150" i="24"/>
  <c r="AI150" i="24"/>
  <c r="AH150" i="24"/>
  <c r="AG150" i="24"/>
  <c r="AF150" i="24"/>
  <c r="AE150" i="24"/>
  <c r="AD150" i="24"/>
  <c r="AC150" i="24"/>
  <c r="AB150" i="24"/>
  <c r="AA150" i="24"/>
  <c r="Z150" i="24"/>
  <c r="Y150" i="24"/>
  <c r="X150" i="24"/>
  <c r="W150" i="24"/>
  <c r="V150" i="24"/>
  <c r="AO149" i="24"/>
  <c r="AN149" i="24"/>
  <c r="AM149" i="24"/>
  <c r="AL149" i="24"/>
  <c r="AK149" i="24"/>
  <c r="AJ149" i="24"/>
  <c r="AI149" i="24"/>
  <c r="AH149" i="24"/>
  <c r="AG149" i="24"/>
  <c r="AF149" i="24"/>
  <c r="AE149" i="24"/>
  <c r="AD149" i="24"/>
  <c r="AC149" i="24"/>
  <c r="AB149" i="24"/>
  <c r="AA149" i="24"/>
  <c r="Z149" i="24"/>
  <c r="Y149" i="24"/>
  <c r="X149" i="24"/>
  <c r="W149" i="24"/>
  <c r="V149" i="24"/>
  <c r="AO148" i="24"/>
  <c r="AN148" i="24"/>
  <c r="AM148" i="24"/>
  <c r="AL148" i="24"/>
  <c r="AK148" i="24"/>
  <c r="AJ148" i="24"/>
  <c r="AI148" i="24"/>
  <c r="AH148" i="24"/>
  <c r="AG148" i="24"/>
  <c r="AF148" i="24"/>
  <c r="AE148" i="24"/>
  <c r="AD148" i="24"/>
  <c r="AC148" i="24"/>
  <c r="AB148" i="24"/>
  <c r="AA148" i="24"/>
  <c r="Z148" i="24"/>
  <c r="Y148" i="24"/>
  <c r="X148" i="24"/>
  <c r="W148" i="24"/>
  <c r="V148" i="24"/>
  <c r="AO147" i="24"/>
  <c r="AN147" i="24"/>
  <c r="AM147" i="24"/>
  <c r="AL147" i="24"/>
  <c r="AK147" i="24"/>
  <c r="AJ147" i="24"/>
  <c r="AI147" i="24"/>
  <c r="AH147" i="24"/>
  <c r="AG147" i="24"/>
  <c r="AF147" i="24"/>
  <c r="AE147" i="24"/>
  <c r="AD147" i="24"/>
  <c r="AC147" i="24"/>
  <c r="AB147" i="24"/>
  <c r="AA147" i="24"/>
  <c r="Z147" i="24"/>
  <c r="Y147" i="24"/>
  <c r="X147" i="24"/>
  <c r="W147" i="24"/>
  <c r="V147" i="24"/>
  <c r="AO146" i="24"/>
  <c r="AN146" i="24"/>
  <c r="AM146" i="24"/>
  <c r="AL146" i="24"/>
  <c r="AK146" i="24"/>
  <c r="AJ146" i="24"/>
  <c r="AI146" i="24"/>
  <c r="AH146" i="24"/>
  <c r="AG146" i="24"/>
  <c r="AF146" i="24"/>
  <c r="AE146" i="24"/>
  <c r="AD146" i="24"/>
  <c r="AC146" i="24"/>
  <c r="AB146" i="24"/>
  <c r="AA146" i="24"/>
  <c r="Z146" i="24"/>
  <c r="Y146" i="24"/>
  <c r="X146" i="24"/>
  <c r="W146" i="24"/>
  <c r="V146" i="24"/>
  <c r="AO145" i="24"/>
  <c r="AN145" i="24"/>
  <c r="AM145" i="24"/>
  <c r="AL145" i="24"/>
  <c r="AK145" i="24"/>
  <c r="AJ145" i="24"/>
  <c r="AI145" i="24"/>
  <c r="AH145" i="24"/>
  <c r="AG145" i="24"/>
  <c r="AF145" i="24"/>
  <c r="AE145" i="24"/>
  <c r="AD145" i="24"/>
  <c r="AC145" i="24"/>
  <c r="AB145" i="24"/>
  <c r="AA145" i="24"/>
  <c r="Z145" i="24"/>
  <c r="Y145" i="24"/>
  <c r="X145" i="24"/>
  <c r="W145" i="24"/>
  <c r="V145" i="24"/>
  <c r="AO144" i="24"/>
  <c r="AN144" i="24"/>
  <c r="AM144" i="24"/>
  <c r="AL144" i="24"/>
  <c r="AK144" i="24"/>
  <c r="AJ144" i="24"/>
  <c r="AI144" i="24"/>
  <c r="AH144" i="24"/>
  <c r="AG144" i="24"/>
  <c r="AF144" i="24"/>
  <c r="AE144" i="24"/>
  <c r="AD144" i="24"/>
  <c r="AC144" i="24"/>
  <c r="AB144" i="24"/>
  <c r="AA144" i="24"/>
  <c r="Z144" i="24"/>
  <c r="Y144" i="24"/>
  <c r="X144" i="24"/>
  <c r="W144" i="24"/>
  <c r="V144" i="24"/>
  <c r="AO143" i="24"/>
  <c r="AN143" i="24"/>
  <c r="AM143" i="24"/>
  <c r="AL143" i="24"/>
  <c r="AK143" i="24"/>
  <c r="AJ143" i="24"/>
  <c r="AI143" i="24"/>
  <c r="AH143" i="24"/>
  <c r="AG143" i="24"/>
  <c r="AF143" i="24"/>
  <c r="AE143" i="24"/>
  <c r="AD143" i="24"/>
  <c r="AC143" i="24"/>
  <c r="AB143" i="24"/>
  <c r="AA143" i="24"/>
  <c r="Z143" i="24"/>
  <c r="Y143" i="24"/>
  <c r="X143" i="24"/>
  <c r="W143" i="24"/>
  <c r="V143" i="24"/>
  <c r="AO142" i="24"/>
  <c r="AN142" i="24"/>
  <c r="AM142" i="24"/>
  <c r="AL142" i="24"/>
  <c r="AK142" i="24"/>
  <c r="AJ142" i="24"/>
  <c r="AI142" i="24"/>
  <c r="AH142" i="24"/>
  <c r="AG142" i="24"/>
  <c r="AF142" i="24"/>
  <c r="AE142" i="24"/>
  <c r="AD142" i="24"/>
  <c r="AC142" i="24"/>
  <c r="AB142" i="24"/>
  <c r="AA142" i="24"/>
  <c r="Z142" i="24"/>
  <c r="Y142" i="24"/>
  <c r="X142" i="24"/>
  <c r="W142" i="24"/>
  <c r="V142" i="24"/>
  <c r="AO141" i="24"/>
  <c r="AN141" i="24"/>
  <c r="AM141" i="24"/>
  <c r="AL141" i="24"/>
  <c r="AK141" i="24"/>
  <c r="AJ141" i="24"/>
  <c r="AI141" i="24"/>
  <c r="AH141" i="24"/>
  <c r="AG141" i="24"/>
  <c r="AF141" i="24"/>
  <c r="AE141" i="24"/>
  <c r="AD141" i="24"/>
  <c r="AC141" i="24"/>
  <c r="AB141" i="24"/>
  <c r="AA141" i="24"/>
  <c r="Z141" i="24"/>
  <c r="Y141" i="24"/>
  <c r="X141" i="24"/>
  <c r="W141" i="24"/>
  <c r="V141" i="24"/>
  <c r="AO140" i="24"/>
  <c r="AN140" i="24"/>
  <c r="AM140" i="24"/>
  <c r="AL140" i="24"/>
  <c r="AK140" i="24"/>
  <c r="AJ140" i="24"/>
  <c r="AI140" i="24"/>
  <c r="AH140" i="24"/>
  <c r="AG140" i="24"/>
  <c r="AF140" i="24"/>
  <c r="AE140" i="24"/>
  <c r="AD140" i="24"/>
  <c r="AC140" i="24"/>
  <c r="AB140" i="24"/>
  <c r="AA140" i="24"/>
  <c r="Z140" i="24"/>
  <c r="Y140" i="24"/>
  <c r="X140" i="24"/>
  <c r="W140" i="24"/>
  <c r="V140" i="24"/>
  <c r="AO139" i="24"/>
  <c r="AN139" i="24"/>
  <c r="AM139" i="24"/>
  <c r="AL139" i="24"/>
  <c r="AK139" i="24"/>
  <c r="AJ139" i="24"/>
  <c r="AI139" i="24"/>
  <c r="AH139" i="24"/>
  <c r="AG139" i="24"/>
  <c r="AF139" i="24"/>
  <c r="AE139" i="24"/>
  <c r="AD139" i="24"/>
  <c r="AC139" i="24"/>
  <c r="AB139" i="24"/>
  <c r="AA139" i="24"/>
  <c r="Z139" i="24"/>
  <c r="Y139" i="24"/>
  <c r="X139" i="24"/>
  <c r="W139" i="24"/>
  <c r="V139" i="24"/>
  <c r="AO138" i="24"/>
  <c r="AN138" i="24"/>
  <c r="AM138" i="24"/>
  <c r="AL138" i="24"/>
  <c r="AK138" i="24"/>
  <c r="AJ138" i="24"/>
  <c r="AI138" i="24"/>
  <c r="AH138" i="24"/>
  <c r="AG138" i="24"/>
  <c r="AF138" i="24"/>
  <c r="AE138" i="24"/>
  <c r="AD138" i="24"/>
  <c r="AC138" i="24"/>
  <c r="AB138" i="24"/>
  <c r="AA138" i="24"/>
  <c r="Z138" i="24"/>
  <c r="Y138" i="24"/>
  <c r="X138" i="24"/>
  <c r="W138" i="24"/>
  <c r="V138" i="24"/>
  <c r="AO137" i="24"/>
  <c r="AN137" i="24"/>
  <c r="AM137" i="24"/>
  <c r="AL137" i="24"/>
  <c r="AK137" i="24"/>
  <c r="AJ137" i="24"/>
  <c r="AI137" i="24"/>
  <c r="AH137" i="24"/>
  <c r="AG137" i="24"/>
  <c r="AF137" i="24"/>
  <c r="AE137" i="24"/>
  <c r="AD137" i="24"/>
  <c r="AC137" i="24"/>
  <c r="AB137" i="24"/>
  <c r="AA137" i="24"/>
  <c r="Z137" i="24"/>
  <c r="Y137" i="24"/>
  <c r="X137" i="24"/>
  <c r="W137" i="24"/>
  <c r="V137" i="24"/>
  <c r="AO136" i="24"/>
  <c r="AN136" i="24"/>
  <c r="AM136" i="24"/>
  <c r="AL136" i="24"/>
  <c r="AK136" i="24"/>
  <c r="AJ136" i="24"/>
  <c r="AI136" i="24"/>
  <c r="AH136" i="24"/>
  <c r="AG136" i="24"/>
  <c r="AF136" i="24"/>
  <c r="AE136" i="24"/>
  <c r="AD136" i="24"/>
  <c r="AC136" i="24"/>
  <c r="AB136" i="24"/>
  <c r="AA136" i="24"/>
  <c r="Z136" i="24"/>
  <c r="Y136" i="24"/>
  <c r="X136" i="24"/>
  <c r="W136" i="24"/>
  <c r="V136" i="24"/>
  <c r="AO135" i="24"/>
  <c r="AN135" i="24"/>
  <c r="AM135" i="24"/>
  <c r="AL135" i="24"/>
  <c r="AK135" i="24"/>
  <c r="AJ135" i="24"/>
  <c r="AI135" i="24"/>
  <c r="AH135" i="24"/>
  <c r="AG135" i="24"/>
  <c r="AF135" i="24"/>
  <c r="AE135" i="24"/>
  <c r="AD135" i="24"/>
  <c r="AC135" i="24"/>
  <c r="AB135" i="24"/>
  <c r="AA135" i="24"/>
  <c r="Z135" i="24"/>
  <c r="Y135" i="24"/>
  <c r="X135" i="24"/>
  <c r="W135" i="24"/>
  <c r="V135" i="24"/>
  <c r="AO134" i="24"/>
  <c r="AN134" i="24"/>
  <c r="AM134" i="24"/>
  <c r="AL134" i="24"/>
  <c r="AK134" i="24"/>
  <c r="AJ134" i="24"/>
  <c r="AI134" i="24"/>
  <c r="AH134" i="24"/>
  <c r="AG134" i="24"/>
  <c r="AF134" i="24"/>
  <c r="AE134" i="24"/>
  <c r="AD134" i="24"/>
  <c r="AC134" i="24"/>
  <c r="AB134" i="24"/>
  <c r="AA134" i="24"/>
  <c r="Z134" i="24"/>
  <c r="Y134" i="24"/>
  <c r="X134" i="24"/>
  <c r="W134" i="24"/>
  <c r="V134" i="24"/>
  <c r="AO133" i="24"/>
  <c r="AN133" i="24"/>
  <c r="AM133" i="24"/>
  <c r="AL133" i="24"/>
  <c r="AK133" i="24"/>
  <c r="AJ133" i="24"/>
  <c r="AI133" i="24"/>
  <c r="AH133" i="24"/>
  <c r="AG133" i="24"/>
  <c r="AF133" i="24"/>
  <c r="AE133" i="24"/>
  <c r="AD133" i="24"/>
  <c r="AC133" i="24"/>
  <c r="AB133" i="24"/>
  <c r="AA133" i="24"/>
  <c r="Z133" i="24"/>
  <c r="Y133" i="24"/>
  <c r="X133" i="24"/>
  <c r="W133" i="24"/>
  <c r="V133" i="24"/>
  <c r="AO132" i="24"/>
  <c r="AN132" i="24"/>
  <c r="AM132" i="24"/>
  <c r="AL132" i="24"/>
  <c r="AK132" i="24"/>
  <c r="AJ132" i="24"/>
  <c r="AI132" i="24"/>
  <c r="AH132" i="24"/>
  <c r="AG132" i="24"/>
  <c r="AF132" i="24"/>
  <c r="AE132" i="24"/>
  <c r="AD132" i="24"/>
  <c r="AC132" i="24"/>
  <c r="AB132" i="24"/>
  <c r="AA132" i="24"/>
  <c r="Z132" i="24"/>
  <c r="Y132" i="24"/>
  <c r="X132" i="24"/>
  <c r="W132" i="24"/>
  <c r="V132" i="24"/>
  <c r="AO131" i="24"/>
  <c r="AN131" i="24"/>
  <c r="AM131" i="24"/>
  <c r="AL131" i="24"/>
  <c r="AK131" i="24"/>
  <c r="AJ131" i="24"/>
  <c r="AI131" i="24"/>
  <c r="AH131" i="24"/>
  <c r="AG131" i="24"/>
  <c r="AF131" i="24"/>
  <c r="AE131" i="24"/>
  <c r="AD131" i="24"/>
  <c r="AC131" i="24"/>
  <c r="AB131" i="24"/>
  <c r="AA131" i="24"/>
  <c r="Z131" i="24"/>
  <c r="Y131" i="24"/>
  <c r="X131" i="24"/>
  <c r="W131" i="24"/>
  <c r="V131" i="24"/>
  <c r="AO130" i="24"/>
  <c r="AN130" i="24"/>
  <c r="AM130" i="24"/>
  <c r="AL130" i="24"/>
  <c r="AK130" i="24"/>
  <c r="AJ130" i="24"/>
  <c r="AI130" i="24"/>
  <c r="AH130" i="24"/>
  <c r="AG130" i="24"/>
  <c r="AF130" i="24"/>
  <c r="AE130" i="24"/>
  <c r="AD130" i="24"/>
  <c r="AC130" i="24"/>
  <c r="AB130" i="24"/>
  <c r="AA130" i="24"/>
  <c r="Z130" i="24"/>
  <c r="Y130" i="24"/>
  <c r="X130" i="24"/>
  <c r="W130" i="24"/>
  <c r="V130" i="24"/>
  <c r="AO129" i="24"/>
  <c r="AN129" i="24"/>
  <c r="AM129" i="24"/>
  <c r="AL129" i="24"/>
  <c r="AK129" i="24"/>
  <c r="AJ129" i="24"/>
  <c r="AI129" i="24"/>
  <c r="AH129" i="24"/>
  <c r="AG129" i="24"/>
  <c r="AF129" i="24"/>
  <c r="AE129" i="24"/>
  <c r="AD129" i="24"/>
  <c r="AC129" i="24"/>
  <c r="AB129" i="24"/>
  <c r="AA129" i="24"/>
  <c r="Z129" i="24"/>
  <c r="Y129" i="24"/>
  <c r="X129" i="24"/>
  <c r="W129" i="24"/>
  <c r="V129" i="24"/>
  <c r="AO128" i="24"/>
  <c r="AN128" i="24"/>
  <c r="AM128" i="24"/>
  <c r="AL128" i="24"/>
  <c r="AK128" i="24"/>
  <c r="AJ128" i="24"/>
  <c r="AI128" i="24"/>
  <c r="AH128" i="24"/>
  <c r="AG128" i="24"/>
  <c r="AF128" i="24"/>
  <c r="AE128" i="24"/>
  <c r="AD128" i="24"/>
  <c r="AC128" i="24"/>
  <c r="AB128" i="24"/>
  <c r="AA128" i="24"/>
  <c r="Z128" i="24"/>
  <c r="Y128" i="24"/>
  <c r="X128" i="24"/>
  <c r="W128" i="24"/>
  <c r="V128" i="24"/>
  <c r="AO127" i="24"/>
  <c r="AN127" i="24"/>
  <c r="AM127" i="24"/>
  <c r="AL127" i="24"/>
  <c r="AK127" i="24"/>
  <c r="AJ127" i="24"/>
  <c r="AI127" i="24"/>
  <c r="AH127" i="24"/>
  <c r="AG127" i="24"/>
  <c r="AF127" i="24"/>
  <c r="AE127" i="24"/>
  <c r="AD127" i="24"/>
  <c r="AC127" i="24"/>
  <c r="AB127" i="24"/>
  <c r="AA127" i="24"/>
  <c r="Z127" i="24"/>
  <c r="Y127" i="24"/>
  <c r="X127" i="24"/>
  <c r="W127" i="24"/>
  <c r="V127" i="24"/>
  <c r="AO126" i="24"/>
  <c r="AN126" i="24"/>
  <c r="AM126" i="24"/>
  <c r="AL126" i="24"/>
  <c r="AK126" i="24"/>
  <c r="AJ126" i="24"/>
  <c r="AI126" i="24"/>
  <c r="AH126" i="24"/>
  <c r="AG126" i="24"/>
  <c r="AF126" i="24"/>
  <c r="AE126" i="24"/>
  <c r="AD126" i="24"/>
  <c r="AC126" i="24"/>
  <c r="AB126" i="24"/>
  <c r="AA126" i="24"/>
  <c r="Z126" i="24"/>
  <c r="Y126" i="24"/>
  <c r="X126" i="24"/>
  <c r="W126" i="24"/>
  <c r="V126" i="24"/>
  <c r="AO125" i="24"/>
  <c r="AN125" i="24"/>
  <c r="AM125" i="24"/>
  <c r="AL125" i="24"/>
  <c r="AK125" i="24"/>
  <c r="AJ125" i="24"/>
  <c r="AI125" i="24"/>
  <c r="AH125" i="24"/>
  <c r="AG125" i="24"/>
  <c r="AF125" i="24"/>
  <c r="AE125" i="24"/>
  <c r="AD125" i="24"/>
  <c r="AC125" i="24"/>
  <c r="AB125" i="24"/>
  <c r="AA125" i="24"/>
  <c r="Z125" i="24"/>
  <c r="Y125" i="24"/>
  <c r="X125" i="24"/>
  <c r="W125" i="24"/>
  <c r="V125" i="24"/>
  <c r="AO124" i="24"/>
  <c r="AN124" i="24"/>
  <c r="AM124" i="24"/>
  <c r="AL124" i="24"/>
  <c r="AK124" i="24"/>
  <c r="AJ124" i="24"/>
  <c r="AI124" i="24"/>
  <c r="AH124" i="24"/>
  <c r="AG124" i="24"/>
  <c r="AF124" i="24"/>
  <c r="AE124" i="24"/>
  <c r="AD124" i="24"/>
  <c r="AC124" i="24"/>
  <c r="AB124" i="24"/>
  <c r="AA124" i="24"/>
  <c r="Z124" i="24"/>
  <c r="Y124" i="24"/>
  <c r="X124" i="24"/>
  <c r="W124" i="24"/>
  <c r="V124" i="24"/>
  <c r="AO123" i="24"/>
  <c r="AN123" i="24"/>
  <c r="AM123" i="24"/>
  <c r="AL123" i="24"/>
  <c r="AK123" i="24"/>
  <c r="AJ123" i="24"/>
  <c r="AI123" i="24"/>
  <c r="AH123" i="24"/>
  <c r="AG123" i="24"/>
  <c r="AF123" i="24"/>
  <c r="AE123" i="24"/>
  <c r="AD123" i="24"/>
  <c r="AC123" i="24"/>
  <c r="AB123" i="24"/>
  <c r="AA123" i="24"/>
  <c r="Z123" i="24"/>
  <c r="Y123" i="24"/>
  <c r="X123" i="24"/>
  <c r="W123" i="24"/>
  <c r="V123" i="24"/>
  <c r="AO122" i="24"/>
  <c r="AN122" i="24"/>
  <c r="AM122" i="24"/>
  <c r="AL122" i="24"/>
  <c r="AK122" i="24"/>
  <c r="AJ122" i="24"/>
  <c r="AI122" i="24"/>
  <c r="AH122" i="24"/>
  <c r="AG122" i="24"/>
  <c r="AF122" i="24"/>
  <c r="AE122" i="24"/>
  <c r="AD122" i="24"/>
  <c r="AC122" i="24"/>
  <c r="AB122" i="24"/>
  <c r="AA122" i="24"/>
  <c r="Z122" i="24"/>
  <c r="Y122" i="24"/>
  <c r="X122" i="24"/>
  <c r="W122" i="24"/>
  <c r="V122" i="24"/>
  <c r="AO121" i="24"/>
  <c r="AN121" i="24"/>
  <c r="AM121" i="24"/>
  <c r="AL121" i="24"/>
  <c r="AK121" i="24"/>
  <c r="AJ121" i="24"/>
  <c r="AI121" i="24"/>
  <c r="AH121" i="24"/>
  <c r="AG121" i="24"/>
  <c r="AF121" i="24"/>
  <c r="AE121" i="24"/>
  <c r="AD121" i="24"/>
  <c r="AC121" i="24"/>
  <c r="AB121" i="24"/>
  <c r="AA121" i="24"/>
  <c r="Z121" i="24"/>
  <c r="Y121" i="24"/>
  <c r="X121" i="24"/>
  <c r="W121" i="24"/>
  <c r="V121" i="24"/>
  <c r="AO120" i="24"/>
  <c r="AN120" i="24"/>
  <c r="AM120" i="24"/>
  <c r="AL120" i="24"/>
  <c r="AK120" i="24"/>
  <c r="AJ120" i="24"/>
  <c r="AI120" i="24"/>
  <c r="AH120" i="24"/>
  <c r="AG120" i="24"/>
  <c r="AF120" i="24"/>
  <c r="AE120" i="24"/>
  <c r="AD120" i="24"/>
  <c r="AC120" i="24"/>
  <c r="AB120" i="24"/>
  <c r="AA120" i="24"/>
  <c r="Z120" i="24"/>
  <c r="Y120" i="24"/>
  <c r="X120" i="24"/>
  <c r="W120" i="24"/>
  <c r="V120" i="24"/>
  <c r="AO119" i="24"/>
  <c r="AN119" i="24"/>
  <c r="AM119" i="24"/>
  <c r="AL119" i="24"/>
  <c r="AK119" i="24"/>
  <c r="AJ119" i="24"/>
  <c r="AI119" i="24"/>
  <c r="AH119" i="24"/>
  <c r="AG119" i="24"/>
  <c r="AF119" i="24"/>
  <c r="AE119" i="24"/>
  <c r="AD119" i="24"/>
  <c r="AC119" i="24"/>
  <c r="AB119" i="24"/>
  <c r="AA119" i="24"/>
  <c r="Z119" i="24"/>
  <c r="Y119" i="24"/>
  <c r="X119" i="24"/>
  <c r="W119" i="24"/>
  <c r="V119" i="24"/>
  <c r="AO118" i="24"/>
  <c r="AN118" i="24"/>
  <c r="AM118" i="24"/>
  <c r="AL118" i="24"/>
  <c r="AK118" i="24"/>
  <c r="AJ118" i="24"/>
  <c r="AI118" i="24"/>
  <c r="AH118" i="24"/>
  <c r="AG118" i="24"/>
  <c r="AF118" i="24"/>
  <c r="AE118" i="24"/>
  <c r="AD118" i="24"/>
  <c r="AC118" i="24"/>
  <c r="AB118" i="24"/>
  <c r="AA118" i="24"/>
  <c r="Z118" i="24"/>
  <c r="Y118" i="24"/>
  <c r="X118" i="24"/>
  <c r="W118" i="24"/>
  <c r="V118" i="24"/>
  <c r="AO117" i="24"/>
  <c r="AN117" i="24"/>
  <c r="AM117" i="24"/>
  <c r="AL117" i="24"/>
  <c r="AK117" i="24"/>
  <c r="AJ117" i="24"/>
  <c r="AI117" i="24"/>
  <c r="AH117" i="24"/>
  <c r="AG117" i="24"/>
  <c r="AF117" i="24"/>
  <c r="AE117" i="24"/>
  <c r="AD117" i="24"/>
  <c r="AC117" i="24"/>
  <c r="AB117" i="24"/>
  <c r="AA117" i="24"/>
  <c r="Z117" i="24"/>
  <c r="Y117" i="24"/>
  <c r="X117" i="24"/>
  <c r="W117" i="24"/>
  <c r="V117" i="24"/>
  <c r="AO116" i="24"/>
  <c r="AN116" i="24"/>
  <c r="AM116" i="24"/>
  <c r="AL116" i="24"/>
  <c r="AK116" i="24"/>
  <c r="AJ116" i="24"/>
  <c r="AI116" i="24"/>
  <c r="AH116" i="24"/>
  <c r="AG116" i="24"/>
  <c r="AF116" i="24"/>
  <c r="AE116" i="24"/>
  <c r="AD116" i="24"/>
  <c r="AC116" i="24"/>
  <c r="AB116" i="24"/>
  <c r="AA116" i="24"/>
  <c r="Z116" i="24"/>
  <c r="Y116" i="24"/>
  <c r="X116" i="24"/>
  <c r="W116" i="24"/>
  <c r="V116" i="24"/>
  <c r="AO115" i="24"/>
  <c r="AN115" i="24"/>
  <c r="AM115" i="24"/>
  <c r="AL115" i="24"/>
  <c r="AK115" i="24"/>
  <c r="AJ115" i="24"/>
  <c r="AI115" i="24"/>
  <c r="AH115" i="24"/>
  <c r="AG115" i="24"/>
  <c r="AF115" i="24"/>
  <c r="AE115" i="24"/>
  <c r="AD115" i="24"/>
  <c r="AC115" i="24"/>
  <c r="AB115" i="24"/>
  <c r="AA115" i="24"/>
  <c r="Z115" i="24"/>
  <c r="Y115" i="24"/>
  <c r="X115" i="24"/>
  <c r="W115" i="24"/>
  <c r="V115" i="24"/>
  <c r="AO114" i="24"/>
  <c r="AN114" i="24"/>
  <c r="AM114" i="24"/>
  <c r="AL114" i="24"/>
  <c r="AK114" i="24"/>
  <c r="AJ114" i="24"/>
  <c r="AI114" i="24"/>
  <c r="AH114" i="24"/>
  <c r="AG114" i="24"/>
  <c r="AF114" i="24"/>
  <c r="AE114" i="24"/>
  <c r="AD114" i="24"/>
  <c r="AC114" i="24"/>
  <c r="AB114" i="24"/>
  <c r="AA114" i="24"/>
  <c r="Z114" i="24"/>
  <c r="Y114" i="24"/>
  <c r="X114" i="24"/>
  <c r="W114" i="24"/>
  <c r="V114" i="24"/>
  <c r="AO113" i="24"/>
  <c r="AN113" i="24"/>
  <c r="AM113" i="24"/>
  <c r="AL113" i="24"/>
  <c r="AK113" i="24"/>
  <c r="AJ113" i="24"/>
  <c r="AI113" i="24"/>
  <c r="AH113" i="24"/>
  <c r="AG113" i="24"/>
  <c r="AF113" i="24"/>
  <c r="AE113" i="24"/>
  <c r="AD113" i="24"/>
  <c r="AC113" i="24"/>
  <c r="AB113" i="24"/>
  <c r="AA113" i="24"/>
  <c r="Z113" i="24"/>
  <c r="Y113" i="24"/>
  <c r="X113" i="24"/>
  <c r="W113" i="24"/>
  <c r="V113" i="24"/>
  <c r="AO112" i="24"/>
  <c r="AN112" i="24"/>
  <c r="AM112" i="24"/>
  <c r="AL112" i="24"/>
  <c r="AK112" i="24"/>
  <c r="AJ112" i="24"/>
  <c r="AI112" i="24"/>
  <c r="AH112" i="24"/>
  <c r="AG112" i="24"/>
  <c r="AF112" i="24"/>
  <c r="AE112" i="24"/>
  <c r="AD112" i="24"/>
  <c r="AC112" i="24"/>
  <c r="AB112" i="24"/>
  <c r="AA112" i="24"/>
  <c r="Z112" i="24"/>
  <c r="Y112" i="24"/>
  <c r="X112" i="24"/>
  <c r="W112" i="24"/>
  <c r="V112" i="24"/>
  <c r="AO111" i="24"/>
  <c r="AN111" i="24"/>
  <c r="AM111" i="24"/>
  <c r="AL111" i="24"/>
  <c r="AK111" i="24"/>
  <c r="AJ111" i="24"/>
  <c r="AI111" i="24"/>
  <c r="AH111" i="24"/>
  <c r="AG111" i="24"/>
  <c r="AF111" i="24"/>
  <c r="AE111" i="24"/>
  <c r="AD111" i="24"/>
  <c r="AC111" i="24"/>
  <c r="AB111" i="24"/>
  <c r="AA111" i="24"/>
  <c r="Z111" i="24"/>
  <c r="Y111" i="24"/>
  <c r="X111" i="24"/>
  <c r="W111" i="24"/>
  <c r="V111" i="24"/>
  <c r="AO110" i="24"/>
  <c r="AN110" i="24"/>
  <c r="AM110" i="24"/>
  <c r="AL110" i="24"/>
  <c r="AK110" i="24"/>
  <c r="AJ110" i="24"/>
  <c r="AI110" i="24"/>
  <c r="AH110" i="24"/>
  <c r="AG110" i="24"/>
  <c r="AF110" i="24"/>
  <c r="AE110" i="24"/>
  <c r="AD110" i="24"/>
  <c r="AC110" i="24"/>
  <c r="AB110" i="24"/>
  <c r="AA110" i="24"/>
  <c r="Z110" i="24"/>
  <c r="Y110" i="24"/>
  <c r="X110" i="24"/>
  <c r="W110" i="24"/>
  <c r="V110" i="24"/>
  <c r="AO109" i="24"/>
  <c r="AN109" i="24"/>
  <c r="AM109" i="24"/>
  <c r="AL109" i="24"/>
  <c r="AK109" i="24"/>
  <c r="AJ109" i="24"/>
  <c r="AI109" i="24"/>
  <c r="AH109" i="24"/>
  <c r="AG109" i="24"/>
  <c r="AF109" i="24"/>
  <c r="AE109" i="24"/>
  <c r="AD109" i="24"/>
  <c r="AC109" i="24"/>
  <c r="AB109" i="24"/>
  <c r="AA109" i="24"/>
  <c r="Z109" i="24"/>
  <c r="Y109" i="24"/>
  <c r="X109" i="24"/>
  <c r="W109" i="24"/>
  <c r="V109" i="24"/>
  <c r="AO108" i="24"/>
  <c r="AN108" i="24"/>
  <c r="AM108" i="24"/>
  <c r="AL108" i="24"/>
  <c r="AK108" i="24"/>
  <c r="AJ108" i="24"/>
  <c r="AI108" i="24"/>
  <c r="AH108" i="24"/>
  <c r="AG108" i="24"/>
  <c r="AF108" i="24"/>
  <c r="AE108" i="24"/>
  <c r="AD108" i="24"/>
  <c r="AC108" i="24"/>
  <c r="AB108" i="24"/>
  <c r="AA108" i="24"/>
  <c r="Z108" i="24"/>
  <c r="Y108" i="24"/>
  <c r="X108" i="24"/>
  <c r="W108" i="24"/>
  <c r="V108" i="24"/>
  <c r="AO107" i="24"/>
  <c r="AN107" i="24"/>
  <c r="AM107" i="24"/>
  <c r="AL107" i="24"/>
  <c r="AK107" i="24"/>
  <c r="AJ107" i="24"/>
  <c r="AI107" i="24"/>
  <c r="AH107" i="24"/>
  <c r="AG107" i="24"/>
  <c r="AF107" i="24"/>
  <c r="AE107" i="24"/>
  <c r="AD107" i="24"/>
  <c r="AC107" i="24"/>
  <c r="AB107" i="24"/>
  <c r="AA107" i="24"/>
  <c r="Z107" i="24"/>
  <c r="Y107" i="24"/>
  <c r="X107" i="24"/>
  <c r="W107" i="24"/>
  <c r="V107" i="24"/>
  <c r="AO106" i="24"/>
  <c r="AN106" i="24"/>
  <c r="AM106" i="24"/>
  <c r="AL106" i="24"/>
  <c r="AK106" i="24"/>
  <c r="AJ106" i="24"/>
  <c r="AI106" i="24"/>
  <c r="AH106" i="24"/>
  <c r="AG106" i="24"/>
  <c r="AF106" i="24"/>
  <c r="AE106" i="24"/>
  <c r="AD106" i="24"/>
  <c r="AC106" i="24"/>
  <c r="AB106" i="24"/>
  <c r="AA106" i="24"/>
  <c r="Z106" i="24"/>
  <c r="Y106" i="24"/>
  <c r="X106" i="24"/>
  <c r="W106" i="24"/>
  <c r="V106" i="24"/>
  <c r="AO105" i="24"/>
  <c r="AN105" i="24"/>
  <c r="AM105" i="24"/>
  <c r="AL105" i="24"/>
  <c r="AK105" i="24"/>
  <c r="AJ105" i="24"/>
  <c r="AI105" i="24"/>
  <c r="AH105" i="24"/>
  <c r="AG105" i="24"/>
  <c r="AF105" i="24"/>
  <c r="AE105" i="24"/>
  <c r="AD105" i="24"/>
  <c r="AC105" i="24"/>
  <c r="AB105" i="24"/>
  <c r="AA105" i="24"/>
  <c r="Z105" i="24"/>
  <c r="Y105" i="24"/>
  <c r="X105" i="24"/>
  <c r="W105" i="24"/>
  <c r="V105" i="24"/>
  <c r="AO104" i="24"/>
  <c r="AN104" i="24"/>
  <c r="AM104" i="24"/>
  <c r="AL104" i="24"/>
  <c r="AK104" i="24"/>
  <c r="AJ104" i="24"/>
  <c r="AI104" i="24"/>
  <c r="AH104" i="24"/>
  <c r="AG104" i="24"/>
  <c r="AF104" i="24"/>
  <c r="AE104" i="24"/>
  <c r="AD104" i="24"/>
  <c r="AC104" i="24"/>
  <c r="AB104" i="24"/>
  <c r="AA104" i="24"/>
  <c r="Z104" i="24"/>
  <c r="Y104" i="24"/>
  <c r="X104" i="24"/>
  <c r="W104" i="24"/>
  <c r="V104" i="24"/>
  <c r="AO103" i="24"/>
  <c r="AN103" i="24"/>
  <c r="AM103" i="24"/>
  <c r="AL103" i="24"/>
  <c r="AK103" i="24"/>
  <c r="AJ103" i="24"/>
  <c r="AI103" i="24"/>
  <c r="AH103" i="24"/>
  <c r="AG103" i="24"/>
  <c r="AF103" i="24"/>
  <c r="AE103" i="24"/>
  <c r="AD103" i="24"/>
  <c r="AC103" i="24"/>
  <c r="AB103" i="24"/>
  <c r="AA103" i="24"/>
  <c r="Z103" i="24"/>
  <c r="Y103" i="24"/>
  <c r="X103" i="24"/>
  <c r="W103" i="24"/>
  <c r="V103" i="24"/>
  <c r="AO102" i="24"/>
  <c r="AN102" i="24"/>
  <c r="AM102" i="24"/>
  <c r="AL102" i="24"/>
  <c r="AK102" i="24"/>
  <c r="AJ102" i="24"/>
  <c r="AI102" i="24"/>
  <c r="AH102" i="24"/>
  <c r="AG102" i="24"/>
  <c r="AF102" i="24"/>
  <c r="AE102" i="24"/>
  <c r="AD102" i="24"/>
  <c r="AC102" i="24"/>
  <c r="AB102" i="24"/>
  <c r="AA102" i="24"/>
  <c r="Z102" i="24"/>
  <c r="Y102" i="24"/>
  <c r="X102" i="24"/>
  <c r="W102" i="24"/>
  <c r="V102" i="24"/>
  <c r="AO101" i="24"/>
  <c r="AN101" i="24"/>
  <c r="AM101" i="24"/>
  <c r="AL101" i="24"/>
  <c r="AK101" i="24"/>
  <c r="AJ101" i="24"/>
  <c r="AI101" i="24"/>
  <c r="AH101" i="24"/>
  <c r="AG101" i="24"/>
  <c r="AF101" i="24"/>
  <c r="AE101" i="24"/>
  <c r="AD101" i="24"/>
  <c r="AC101" i="24"/>
  <c r="AB101" i="24"/>
  <c r="AA101" i="24"/>
  <c r="Z101" i="24"/>
  <c r="Y101" i="24"/>
  <c r="X101" i="24"/>
  <c r="W101" i="24"/>
  <c r="V101" i="24"/>
  <c r="AO100" i="24"/>
  <c r="AN100" i="24"/>
  <c r="AM100" i="24"/>
  <c r="AL100" i="24"/>
  <c r="AK100" i="24"/>
  <c r="AJ100" i="24"/>
  <c r="AI100" i="24"/>
  <c r="AH100" i="24"/>
  <c r="AG100" i="24"/>
  <c r="AF100" i="24"/>
  <c r="AE100" i="24"/>
  <c r="AD100" i="24"/>
  <c r="AC100" i="24"/>
  <c r="AB100" i="24"/>
  <c r="AA100" i="24"/>
  <c r="Z100" i="24"/>
  <c r="Y100" i="24"/>
  <c r="X100" i="24"/>
  <c r="W100" i="24"/>
  <c r="V100" i="24"/>
  <c r="AD95" i="24"/>
  <c r="AC95" i="24"/>
  <c r="AA95" i="24"/>
  <c r="Z95" i="24"/>
  <c r="Y95" i="24"/>
  <c r="AC94" i="24"/>
  <c r="AB94" i="24"/>
  <c r="Y94" i="24"/>
  <c r="X94" i="24"/>
  <c r="W94" i="24"/>
  <c r="AD93" i="24"/>
  <c r="Y93" i="24"/>
  <c r="V93" i="24"/>
  <c r="AC92" i="24"/>
  <c r="AA92" i="24"/>
  <c r="X92" i="24"/>
  <c r="W92" i="24"/>
  <c r="AC91" i="24"/>
  <c r="Z91" i="24"/>
  <c r="Y91" i="24"/>
  <c r="W91" i="24"/>
  <c r="V91" i="24"/>
  <c r="AC90" i="24"/>
  <c r="AB90" i="24"/>
  <c r="AA90" i="24"/>
  <c r="Y90" i="24"/>
  <c r="AA89" i="24"/>
  <c r="Z89" i="24"/>
  <c r="AC88" i="24"/>
  <c r="AB88" i="24"/>
  <c r="AD87" i="24"/>
  <c r="AC87" i="24"/>
  <c r="AB87" i="24"/>
  <c r="AA87" i="24"/>
  <c r="Y87" i="24"/>
  <c r="Z82" i="24"/>
  <c r="Y82" i="24"/>
  <c r="X82" i="24"/>
  <c r="W82" i="24"/>
  <c r="V82" i="24"/>
  <c r="Z81" i="24"/>
  <c r="Y81" i="24"/>
  <c r="X81" i="24"/>
  <c r="W81" i="24"/>
  <c r="V81" i="24"/>
  <c r="Z80" i="24"/>
  <c r="Y80" i="24"/>
  <c r="X80" i="24"/>
  <c r="W80" i="24"/>
  <c r="V80" i="24"/>
  <c r="Z79" i="24"/>
  <c r="Y79" i="24"/>
  <c r="X79" i="24"/>
  <c r="W79" i="24"/>
  <c r="V79" i="24"/>
  <c r="Z78" i="24"/>
  <c r="Y78" i="24"/>
  <c r="X78" i="24"/>
  <c r="W78" i="24"/>
  <c r="V78" i="24"/>
  <c r="Z77" i="24"/>
  <c r="Y77" i="24"/>
  <c r="X77" i="24"/>
  <c r="W77" i="24"/>
  <c r="V77" i="24"/>
  <c r="Z76" i="24"/>
  <c r="Y76" i="24"/>
  <c r="X76" i="24"/>
  <c r="W76" i="24"/>
  <c r="V76" i="24"/>
  <c r="Z75" i="24"/>
  <c r="Y75" i="24"/>
  <c r="X75" i="24"/>
  <c r="W75" i="24"/>
  <c r="V75" i="24"/>
  <c r="Z74" i="24"/>
  <c r="Y74" i="24"/>
  <c r="X74" i="24"/>
  <c r="W74" i="24"/>
  <c r="V74" i="24"/>
  <c r="Z73" i="24"/>
  <c r="Y73" i="24"/>
  <c r="X73" i="24"/>
  <c r="W73" i="24"/>
  <c r="V73" i="24"/>
  <c r="AA68" i="24"/>
  <c r="Z68" i="24"/>
  <c r="Y68" i="24"/>
  <c r="X68" i="24"/>
  <c r="W68" i="24"/>
  <c r="V68" i="24"/>
  <c r="AA67" i="24"/>
  <c r="Z67" i="24"/>
  <c r="Y67" i="24"/>
  <c r="X67" i="24"/>
  <c r="W67" i="24"/>
  <c r="V67" i="24"/>
  <c r="Z66" i="24"/>
  <c r="Y66" i="24"/>
  <c r="X66" i="24"/>
  <c r="W66" i="24"/>
  <c r="V66" i="24"/>
  <c r="AA65" i="24"/>
  <c r="Z65" i="24"/>
  <c r="Y65" i="24"/>
  <c r="X65" i="24"/>
  <c r="W65" i="24"/>
  <c r="V65" i="24"/>
  <c r="AA64" i="24"/>
  <c r="Z64" i="24"/>
  <c r="Y64" i="24"/>
  <c r="X64" i="24"/>
  <c r="W64" i="24"/>
  <c r="V64" i="24"/>
  <c r="AA63" i="24"/>
  <c r="Z63" i="24"/>
  <c r="Y63" i="24"/>
  <c r="X63" i="24"/>
  <c r="W63" i="24"/>
  <c r="V63" i="24"/>
  <c r="AA62" i="24"/>
  <c r="Z62" i="24"/>
  <c r="Y62" i="24"/>
  <c r="X62" i="24"/>
  <c r="W62" i="24"/>
  <c r="V62" i="24"/>
  <c r="AA61" i="24"/>
  <c r="Z61" i="24"/>
  <c r="Y61" i="24"/>
  <c r="X61" i="24"/>
  <c r="W61" i="24"/>
  <c r="V61" i="24"/>
  <c r="AA60" i="24"/>
  <c r="Z60" i="24"/>
  <c r="Y60" i="24"/>
  <c r="X60" i="24"/>
  <c r="W60" i="24"/>
  <c r="V60" i="24"/>
  <c r="AA59" i="24"/>
  <c r="Z59" i="24"/>
  <c r="Y59" i="24"/>
  <c r="X59" i="24"/>
  <c r="W59" i="24"/>
  <c r="V59" i="24"/>
  <c r="AQ58" i="24"/>
  <c r="D40" i="24" s="1"/>
  <c r="AA58" i="24"/>
  <c r="Z58" i="24"/>
  <c r="Y58" i="24"/>
  <c r="X58" i="24"/>
  <c r="W58" i="24"/>
  <c r="V58" i="24"/>
  <c r="AA57" i="24"/>
  <c r="Z57" i="24"/>
  <c r="Y57" i="24"/>
  <c r="X57" i="24"/>
  <c r="W57" i="24"/>
  <c r="V57" i="24"/>
  <c r="B57" i="24"/>
  <c r="AA56" i="24"/>
  <c r="Z56" i="24"/>
  <c r="Y56" i="24"/>
  <c r="X56" i="24"/>
  <c r="W56" i="24"/>
  <c r="V56" i="24"/>
  <c r="B55" i="24"/>
  <c r="B48" i="24"/>
  <c r="AQ35" i="24" s="1"/>
  <c r="AP44" i="24"/>
  <c r="B59" i="24" s="1"/>
  <c r="AP43" i="24"/>
  <c r="B58" i="24" s="1"/>
  <c r="AP42" i="24"/>
  <c r="X42" i="24"/>
  <c r="AP41" i="24"/>
  <c r="B56" i="24" s="1"/>
  <c r="X41" i="24"/>
  <c r="AP40" i="24"/>
  <c r="X40" i="24"/>
  <c r="B40" i="24"/>
  <c r="X39" i="24"/>
  <c r="X38" i="24"/>
  <c r="X37" i="24"/>
  <c r="X36" i="24"/>
  <c r="X35" i="24"/>
  <c r="Q35" i="24"/>
  <c r="P35" i="24"/>
  <c r="E18" i="24" s="1"/>
  <c r="AL12" i="24" s="1"/>
  <c r="B35" i="24"/>
  <c r="X34" i="24"/>
  <c r="J34" i="24"/>
  <c r="D35" i="24" s="1"/>
  <c r="X33" i="24"/>
  <c r="X32" i="24"/>
  <c r="AG31" i="24"/>
  <c r="X31" i="24"/>
  <c r="X30" i="24"/>
  <c r="X29" i="24"/>
  <c r="B29" i="24"/>
  <c r="X28" i="24"/>
  <c r="AQ27" i="24"/>
  <c r="B27" i="24"/>
  <c r="P25" i="24"/>
  <c r="I24" i="24" s="1"/>
  <c r="G24" i="24"/>
  <c r="E24" i="24"/>
  <c r="C24" i="24"/>
  <c r="AB23" i="24"/>
  <c r="AA23" i="24"/>
  <c r="Z23" i="24"/>
  <c r="AC23" i="24" s="1"/>
  <c r="Y23" i="24"/>
  <c r="I23" i="24"/>
  <c r="G23" i="24"/>
  <c r="E23" i="24"/>
  <c r="C23" i="24"/>
  <c r="AB22" i="24"/>
  <c r="AA22" i="24"/>
  <c r="Z22" i="24"/>
  <c r="Y22" i="24"/>
  <c r="I22" i="24"/>
  <c r="G22" i="24"/>
  <c r="E22" i="24"/>
  <c r="C22" i="24"/>
  <c r="I21" i="24"/>
  <c r="G21" i="24"/>
  <c r="E21" i="24"/>
  <c r="C21" i="24"/>
  <c r="AQ20" i="24"/>
  <c r="B49" i="24" s="1"/>
  <c r="AQ36" i="24" s="1"/>
  <c r="AI20" i="24"/>
  <c r="I20" i="24"/>
  <c r="AQ19" i="24"/>
  <c r="AI19" i="24"/>
  <c r="AQ18" i="24"/>
  <c r="B47" i="24" s="1"/>
  <c r="AQ34" i="24" s="1"/>
  <c r="AL18" i="24"/>
  <c r="AI18" i="24"/>
  <c r="AJ18" i="24" s="1"/>
  <c r="I18" i="24"/>
  <c r="AI17" i="24"/>
  <c r="AI16" i="24"/>
  <c r="AJ15" i="24"/>
  <c r="AI15" i="24"/>
  <c r="AQ14" i="24"/>
  <c r="AI14" i="24"/>
  <c r="I14" i="24"/>
  <c r="AQ13" i="24"/>
  <c r="B45" i="24" s="1"/>
  <c r="AQ32" i="24" s="1"/>
  <c r="AI13" i="24"/>
  <c r="AQ12" i="24"/>
  <c r="B44" i="24" s="1"/>
  <c r="AQ31" i="24" s="1"/>
  <c r="AJ12" i="24"/>
  <c r="AI12" i="24"/>
  <c r="AI11" i="24"/>
  <c r="AB11" i="24"/>
  <c r="AA11" i="24"/>
  <c r="Z11" i="24"/>
  <c r="AC11" i="24" s="1"/>
  <c r="Y11" i="24"/>
  <c r="AI10" i="24"/>
  <c r="AB10" i="24"/>
  <c r="AA10" i="24"/>
  <c r="Z10" i="24"/>
  <c r="AC10" i="24" s="1"/>
  <c r="Y10" i="24"/>
  <c r="AJ9" i="24"/>
  <c r="AI9" i="24"/>
  <c r="AC9" i="24"/>
  <c r="AB9" i="24"/>
  <c r="AA9" i="24"/>
  <c r="Z9" i="24"/>
  <c r="Y9" i="24"/>
  <c r="AQ8" i="24"/>
  <c r="B43" i="24" s="1"/>
  <c r="AQ30" i="24" s="1"/>
  <c r="AB8" i="24"/>
  <c r="AA8" i="24"/>
  <c r="Z8" i="24"/>
  <c r="AC8" i="24" s="1"/>
  <c r="Y8" i="24"/>
  <c r="AQ7" i="24"/>
  <c r="AQ6" i="24"/>
  <c r="B41" i="24" s="1"/>
  <c r="AQ28" i="24" s="1"/>
  <c r="X43" i="23"/>
  <c r="X42" i="23"/>
  <c r="X41" i="23"/>
  <c r="AO179" i="23"/>
  <c r="AN179" i="23"/>
  <c r="AM179" i="23"/>
  <c r="AL179" i="23"/>
  <c r="AK179" i="23"/>
  <c r="AJ179" i="23"/>
  <c r="AI179" i="23"/>
  <c r="AH179" i="23"/>
  <c r="AG179" i="23"/>
  <c r="AF179" i="23"/>
  <c r="AE179" i="23"/>
  <c r="AD179" i="23"/>
  <c r="AC179" i="23"/>
  <c r="AB179" i="23"/>
  <c r="AA179" i="23"/>
  <c r="Z179" i="23"/>
  <c r="Y179" i="23"/>
  <c r="X179" i="23"/>
  <c r="W179" i="23"/>
  <c r="V179" i="23"/>
  <c r="AO178" i="23"/>
  <c r="AN178" i="23"/>
  <c r="AM178" i="23"/>
  <c r="AL178" i="23"/>
  <c r="AK178" i="23"/>
  <c r="AJ178" i="23"/>
  <c r="AI178" i="23"/>
  <c r="AH178" i="23"/>
  <c r="AG178" i="23"/>
  <c r="AF178" i="23"/>
  <c r="AE178" i="23"/>
  <c r="AD178" i="23"/>
  <c r="AC178" i="23"/>
  <c r="AB178" i="23"/>
  <c r="AA178" i="23"/>
  <c r="Z178" i="23"/>
  <c r="Y178" i="23"/>
  <c r="X178" i="23"/>
  <c r="W178" i="23"/>
  <c r="V178" i="23"/>
  <c r="AO177" i="23"/>
  <c r="AN177" i="23"/>
  <c r="AM177" i="23"/>
  <c r="AL177" i="23"/>
  <c r="AK177" i="23"/>
  <c r="AJ177" i="23"/>
  <c r="AI177" i="23"/>
  <c r="AH177" i="23"/>
  <c r="AG177" i="23"/>
  <c r="AF177" i="23"/>
  <c r="AE177" i="23"/>
  <c r="AD177" i="23"/>
  <c r="AC177" i="23"/>
  <c r="AB177" i="23"/>
  <c r="AA177" i="23"/>
  <c r="Z177" i="23"/>
  <c r="Y177" i="23"/>
  <c r="X177" i="23"/>
  <c r="W177" i="23"/>
  <c r="V177" i="23"/>
  <c r="AO176" i="23"/>
  <c r="AN176" i="23"/>
  <c r="AM176" i="23"/>
  <c r="AL176" i="23"/>
  <c r="AK176" i="23"/>
  <c r="AJ176" i="23"/>
  <c r="AI176" i="23"/>
  <c r="AH176" i="23"/>
  <c r="AG176" i="23"/>
  <c r="AF176" i="23"/>
  <c r="AE176" i="23"/>
  <c r="AD176" i="23"/>
  <c r="AC176" i="23"/>
  <c r="AB176" i="23"/>
  <c r="AA176" i="23"/>
  <c r="Z176" i="23"/>
  <c r="Y176" i="23"/>
  <c r="X176" i="23"/>
  <c r="W176" i="23"/>
  <c r="V176" i="23"/>
  <c r="AO175" i="23"/>
  <c r="AN175" i="23"/>
  <c r="AM175" i="23"/>
  <c r="AL175" i="23"/>
  <c r="AK175" i="23"/>
  <c r="AJ175" i="23"/>
  <c r="AI175" i="23"/>
  <c r="AH175" i="23"/>
  <c r="AG175" i="23"/>
  <c r="AF175" i="23"/>
  <c r="AE175" i="23"/>
  <c r="AD175" i="23"/>
  <c r="AC175" i="23"/>
  <c r="AB175" i="23"/>
  <c r="AA175" i="23"/>
  <c r="Z175" i="23"/>
  <c r="Y175" i="23"/>
  <c r="X175" i="23"/>
  <c r="W175" i="23"/>
  <c r="V175" i="23"/>
  <c r="AO174" i="23"/>
  <c r="AN174" i="23"/>
  <c r="AM174" i="23"/>
  <c r="AL174" i="23"/>
  <c r="AK174" i="23"/>
  <c r="AJ174" i="23"/>
  <c r="AI174" i="23"/>
  <c r="AH174" i="23"/>
  <c r="AG174" i="23"/>
  <c r="AF174" i="23"/>
  <c r="AE174" i="23"/>
  <c r="AD174" i="23"/>
  <c r="AC174" i="23"/>
  <c r="AB174" i="23"/>
  <c r="AA174" i="23"/>
  <c r="Z174" i="23"/>
  <c r="Y174" i="23"/>
  <c r="X174" i="23"/>
  <c r="W174" i="23"/>
  <c r="V174" i="23"/>
  <c r="AO173" i="23"/>
  <c r="AN173" i="23"/>
  <c r="AM173" i="23"/>
  <c r="AL173" i="23"/>
  <c r="AK173" i="23"/>
  <c r="AJ173" i="23"/>
  <c r="AI173" i="23"/>
  <c r="AH173" i="23"/>
  <c r="AG173" i="23"/>
  <c r="AF173" i="23"/>
  <c r="AE173" i="23"/>
  <c r="AD173" i="23"/>
  <c r="AC173" i="23"/>
  <c r="AB173" i="23"/>
  <c r="AA173" i="23"/>
  <c r="Z173" i="23"/>
  <c r="Y173" i="23"/>
  <c r="X173" i="23"/>
  <c r="W173" i="23"/>
  <c r="V173" i="23"/>
  <c r="AO172" i="23"/>
  <c r="AN172" i="23"/>
  <c r="AM172" i="23"/>
  <c r="AL172" i="23"/>
  <c r="AK172" i="23"/>
  <c r="AJ172" i="23"/>
  <c r="AI172" i="23"/>
  <c r="AH172" i="23"/>
  <c r="AG172" i="23"/>
  <c r="AF172" i="23"/>
  <c r="AE172" i="23"/>
  <c r="AD172" i="23"/>
  <c r="AC172" i="23"/>
  <c r="AB172" i="23"/>
  <c r="AA172" i="23"/>
  <c r="Z172" i="23"/>
  <c r="Y172" i="23"/>
  <c r="X172" i="23"/>
  <c r="W172" i="23"/>
  <c r="V172" i="23"/>
  <c r="AO171" i="23"/>
  <c r="AN171" i="23"/>
  <c r="AM171" i="23"/>
  <c r="AL171" i="23"/>
  <c r="AK171" i="23"/>
  <c r="AJ171" i="23"/>
  <c r="AI171" i="23"/>
  <c r="AH171" i="23"/>
  <c r="AG171" i="23"/>
  <c r="AF171" i="23"/>
  <c r="AE171" i="23"/>
  <c r="AD171" i="23"/>
  <c r="AC171" i="23"/>
  <c r="AB171" i="23"/>
  <c r="AA171" i="23"/>
  <c r="Z171" i="23"/>
  <c r="Y171" i="23"/>
  <c r="X171" i="23"/>
  <c r="W171" i="23"/>
  <c r="V171" i="23"/>
  <c r="AO170" i="23"/>
  <c r="AN170" i="23"/>
  <c r="AM170" i="23"/>
  <c r="AL170" i="23"/>
  <c r="AK170" i="23"/>
  <c r="AJ170" i="23"/>
  <c r="AI170" i="23"/>
  <c r="AH170" i="23"/>
  <c r="AG170" i="23"/>
  <c r="AF170" i="23"/>
  <c r="AE170" i="23"/>
  <c r="AD170" i="23"/>
  <c r="AC170" i="23"/>
  <c r="AB170" i="23"/>
  <c r="AA170" i="23"/>
  <c r="Z170" i="23"/>
  <c r="Y170" i="23"/>
  <c r="X170" i="23"/>
  <c r="W170" i="23"/>
  <c r="V170" i="23"/>
  <c r="AO169" i="23"/>
  <c r="AN169" i="23"/>
  <c r="AM169" i="23"/>
  <c r="AL169" i="23"/>
  <c r="AK169" i="23"/>
  <c r="AJ169" i="23"/>
  <c r="AI169" i="23"/>
  <c r="AH169" i="23"/>
  <c r="AG169" i="23"/>
  <c r="AF169" i="23"/>
  <c r="AE169" i="23"/>
  <c r="AD169" i="23"/>
  <c r="AC169" i="23"/>
  <c r="AB169" i="23"/>
  <c r="AA169" i="23"/>
  <c r="Z169" i="23"/>
  <c r="Y169" i="23"/>
  <c r="X169" i="23"/>
  <c r="W169" i="23"/>
  <c r="V169" i="23"/>
  <c r="AO168" i="23"/>
  <c r="AN168" i="23"/>
  <c r="AM168" i="23"/>
  <c r="AL168" i="23"/>
  <c r="AK168" i="23"/>
  <c r="AJ168" i="23"/>
  <c r="AI168" i="23"/>
  <c r="AH168" i="23"/>
  <c r="AG168" i="23"/>
  <c r="AF168" i="23"/>
  <c r="AE168" i="23"/>
  <c r="AD168" i="23"/>
  <c r="AD95" i="23" s="1"/>
  <c r="AC168" i="23"/>
  <c r="AB168" i="23"/>
  <c r="AB95" i="23" s="1"/>
  <c r="AA168" i="23"/>
  <c r="AA95" i="23" s="1"/>
  <c r="Z168" i="23"/>
  <c r="Z95" i="23" s="1"/>
  <c r="Y168" i="23"/>
  <c r="X168" i="23"/>
  <c r="W168" i="23"/>
  <c r="W95" i="23" s="1"/>
  <c r="V168" i="23"/>
  <c r="V95" i="23" s="1"/>
  <c r="AO167" i="23"/>
  <c r="AN167" i="23"/>
  <c r="AM167" i="23"/>
  <c r="AL167" i="23"/>
  <c r="X94" i="23" s="1"/>
  <c r="AK167" i="23"/>
  <c r="AJ167" i="23"/>
  <c r="AI167" i="23"/>
  <c r="AH167" i="23"/>
  <c r="AG167" i="23"/>
  <c r="AF167" i="23"/>
  <c r="AE167" i="23"/>
  <c r="AD167" i="23"/>
  <c r="AC167" i="23"/>
  <c r="AC94" i="23" s="1"/>
  <c r="AB167" i="23"/>
  <c r="AA167" i="23"/>
  <c r="Z167" i="23"/>
  <c r="Z94" i="23" s="1"/>
  <c r="Y167" i="23"/>
  <c r="Y94" i="23" s="1"/>
  <c r="X167" i="23"/>
  <c r="W167" i="23"/>
  <c r="W94" i="23" s="1"/>
  <c r="V167" i="23"/>
  <c r="AO166" i="23"/>
  <c r="AN166" i="23"/>
  <c r="AM166" i="23"/>
  <c r="AL166" i="23"/>
  <c r="X93" i="23" s="1"/>
  <c r="AK166" i="23"/>
  <c r="AJ166" i="23"/>
  <c r="AI166" i="23"/>
  <c r="AH166" i="23"/>
  <c r="AG166" i="23"/>
  <c r="AF166" i="23"/>
  <c r="AE166" i="23"/>
  <c r="AD166" i="23"/>
  <c r="AC166" i="23"/>
  <c r="AB166" i="23"/>
  <c r="AB93" i="23" s="1"/>
  <c r="AA166" i="23"/>
  <c r="Z166" i="23"/>
  <c r="Z93" i="23" s="1"/>
  <c r="Y166" i="23"/>
  <c r="Y93" i="23" s="1"/>
  <c r="X166" i="23"/>
  <c r="W166" i="23"/>
  <c r="V166" i="23"/>
  <c r="V93" i="23" s="1"/>
  <c r="AO165" i="23"/>
  <c r="AN165" i="23"/>
  <c r="AM165" i="23"/>
  <c r="AL165" i="23"/>
  <c r="AK165" i="23"/>
  <c r="AJ165" i="23"/>
  <c r="AI165" i="23"/>
  <c r="AH165" i="23"/>
  <c r="AG165" i="23"/>
  <c r="AF165" i="23"/>
  <c r="AE165" i="23"/>
  <c r="AD165" i="23"/>
  <c r="AD92" i="23" s="1"/>
  <c r="AC165" i="23"/>
  <c r="AB165" i="23"/>
  <c r="AA165" i="23"/>
  <c r="Z165" i="23"/>
  <c r="Y165" i="23"/>
  <c r="X165" i="23"/>
  <c r="W165" i="23"/>
  <c r="V165" i="23"/>
  <c r="AO164" i="23"/>
  <c r="AN164" i="23"/>
  <c r="AM164" i="23"/>
  <c r="AL164" i="23"/>
  <c r="X91" i="23" s="1"/>
  <c r="AK164" i="23"/>
  <c r="AJ164" i="23"/>
  <c r="AI164" i="23"/>
  <c r="AH164" i="23"/>
  <c r="AG164" i="23"/>
  <c r="AF164" i="23"/>
  <c r="AE164" i="23"/>
  <c r="AD164" i="23"/>
  <c r="AC164" i="23"/>
  <c r="AC91" i="23" s="1"/>
  <c r="AB164" i="23"/>
  <c r="AB91" i="23" s="1"/>
  <c r="AA164" i="23"/>
  <c r="Z164" i="23"/>
  <c r="Z91" i="23" s="1"/>
  <c r="Y164" i="23"/>
  <c r="X164" i="23"/>
  <c r="W164" i="23"/>
  <c r="W91" i="23" s="1"/>
  <c r="V164" i="23"/>
  <c r="V91" i="23" s="1"/>
  <c r="AO163" i="23"/>
  <c r="AN163" i="23"/>
  <c r="AM163" i="23"/>
  <c r="AL163" i="23"/>
  <c r="AK163" i="23"/>
  <c r="AJ163" i="23"/>
  <c r="AI163" i="23"/>
  <c r="AH163" i="23"/>
  <c r="AG163" i="23"/>
  <c r="AF163" i="23"/>
  <c r="AE163" i="23"/>
  <c r="AD163" i="23"/>
  <c r="AC163" i="23"/>
  <c r="AB163" i="23"/>
  <c r="AB90" i="23" s="1"/>
  <c r="AA163" i="23"/>
  <c r="AA90" i="23" s="1"/>
  <c r="Z163" i="23"/>
  <c r="Y163" i="23"/>
  <c r="Y90" i="23" s="1"/>
  <c r="X163" i="23"/>
  <c r="W163" i="23"/>
  <c r="W90" i="23" s="1"/>
  <c r="V163" i="23"/>
  <c r="AO162" i="23"/>
  <c r="AN162" i="23"/>
  <c r="AM162" i="23"/>
  <c r="AL162" i="23"/>
  <c r="AK162" i="23"/>
  <c r="AJ162" i="23"/>
  <c r="AI162" i="23"/>
  <c r="AH162" i="23"/>
  <c r="AG162" i="23"/>
  <c r="AF162" i="23"/>
  <c r="AE162" i="23"/>
  <c r="AD162" i="23"/>
  <c r="AD89" i="23" s="1"/>
  <c r="AC162" i="23"/>
  <c r="AC89" i="23" s="1"/>
  <c r="AB162" i="23"/>
  <c r="AB89" i="23" s="1"/>
  <c r="AA162" i="23"/>
  <c r="AA89" i="23" s="1"/>
  <c r="Z162" i="23"/>
  <c r="Z89" i="23" s="1"/>
  <c r="Y162" i="23"/>
  <c r="X162" i="23"/>
  <c r="W162" i="23"/>
  <c r="V162" i="23"/>
  <c r="V89" i="23" s="1"/>
  <c r="AO161" i="23"/>
  <c r="AN161" i="23"/>
  <c r="AM161" i="23"/>
  <c r="AL161" i="23"/>
  <c r="X88" i="23" s="1"/>
  <c r="AK161" i="23"/>
  <c r="AJ161" i="23"/>
  <c r="AI161" i="23"/>
  <c r="AH161" i="23"/>
  <c r="AG161" i="23"/>
  <c r="AF161" i="23"/>
  <c r="AE161" i="23"/>
  <c r="AD161" i="23"/>
  <c r="AC161" i="23"/>
  <c r="AC88" i="23" s="1"/>
  <c r="AB161" i="23"/>
  <c r="AA161" i="23"/>
  <c r="Z161" i="23"/>
  <c r="Z88" i="23" s="1"/>
  <c r="Y161" i="23"/>
  <c r="X161" i="23"/>
  <c r="W161" i="23"/>
  <c r="W88" i="23" s="1"/>
  <c r="V161" i="23"/>
  <c r="AO160" i="23"/>
  <c r="AN160" i="23"/>
  <c r="AM160" i="23"/>
  <c r="AL160" i="23"/>
  <c r="AK160" i="23"/>
  <c r="AJ160" i="23"/>
  <c r="AI160" i="23"/>
  <c r="AH160" i="23"/>
  <c r="AG160" i="23"/>
  <c r="AF160" i="23"/>
  <c r="AE160" i="23"/>
  <c r="AD160" i="23"/>
  <c r="AD87" i="23" s="1"/>
  <c r="AC160" i="23"/>
  <c r="AB160" i="23"/>
  <c r="AB87" i="23" s="1"/>
  <c r="AA160" i="23"/>
  <c r="AA87" i="23" s="1"/>
  <c r="Z160" i="23"/>
  <c r="Z87" i="23" s="1"/>
  <c r="Y160" i="23"/>
  <c r="Y87" i="23" s="1"/>
  <c r="X160" i="23"/>
  <c r="W160" i="23"/>
  <c r="W87" i="23" s="1"/>
  <c r="V160" i="23"/>
  <c r="V87" i="23" s="1"/>
  <c r="AO159" i="23"/>
  <c r="AN159" i="23"/>
  <c r="AM159" i="23"/>
  <c r="AL159" i="23"/>
  <c r="AK159" i="23"/>
  <c r="AJ159" i="23"/>
  <c r="AI159" i="23"/>
  <c r="AH159" i="23"/>
  <c r="AG159" i="23"/>
  <c r="AF159" i="23"/>
  <c r="AE159" i="23"/>
  <c r="AD159" i="23"/>
  <c r="AC159" i="23"/>
  <c r="AB159" i="23"/>
  <c r="AA159" i="23"/>
  <c r="Z159" i="23"/>
  <c r="Y159" i="23"/>
  <c r="X159" i="23"/>
  <c r="W159" i="23"/>
  <c r="V159" i="23"/>
  <c r="AO158" i="23"/>
  <c r="AN158" i="23"/>
  <c r="AM158" i="23"/>
  <c r="AL158" i="23"/>
  <c r="AK158" i="23"/>
  <c r="AJ158" i="23"/>
  <c r="AI158" i="23"/>
  <c r="AH158" i="23"/>
  <c r="AG158" i="23"/>
  <c r="AF158" i="23"/>
  <c r="AE158" i="23"/>
  <c r="AD158" i="23"/>
  <c r="AC158" i="23"/>
  <c r="AB158" i="23"/>
  <c r="AA158" i="23"/>
  <c r="Z158" i="23"/>
  <c r="Y158" i="23"/>
  <c r="X158" i="23"/>
  <c r="W158" i="23"/>
  <c r="V158" i="23"/>
  <c r="AO157" i="23"/>
  <c r="AN157" i="23"/>
  <c r="AM157" i="23"/>
  <c r="AL157" i="23"/>
  <c r="AK157" i="23"/>
  <c r="AJ157" i="23"/>
  <c r="AI157" i="23"/>
  <c r="AH157" i="23"/>
  <c r="AG157" i="23"/>
  <c r="AF157" i="23"/>
  <c r="AE157" i="23"/>
  <c r="AD157" i="23"/>
  <c r="AC157" i="23"/>
  <c r="AB157" i="23"/>
  <c r="AA157" i="23"/>
  <c r="Z157" i="23"/>
  <c r="Y157" i="23"/>
  <c r="X157" i="23"/>
  <c r="W157" i="23"/>
  <c r="V157" i="23"/>
  <c r="AO156" i="23"/>
  <c r="AN156" i="23"/>
  <c r="AM156" i="23"/>
  <c r="AL156" i="23"/>
  <c r="AK156" i="23"/>
  <c r="AJ156" i="23"/>
  <c r="AI156" i="23"/>
  <c r="AH156" i="23"/>
  <c r="AG156" i="23"/>
  <c r="AF156" i="23"/>
  <c r="AE156" i="23"/>
  <c r="AD156" i="23"/>
  <c r="AC156" i="23"/>
  <c r="AB156" i="23"/>
  <c r="AA156" i="23"/>
  <c r="Z156" i="23"/>
  <c r="Y156" i="23"/>
  <c r="X156" i="23"/>
  <c r="W156" i="23"/>
  <c r="V156" i="23"/>
  <c r="AO155" i="23"/>
  <c r="AN155" i="23"/>
  <c r="AM155" i="23"/>
  <c r="AL155" i="23"/>
  <c r="AK155" i="23"/>
  <c r="AJ155" i="23"/>
  <c r="AI155" i="23"/>
  <c r="AH155" i="23"/>
  <c r="AG155" i="23"/>
  <c r="AF155" i="23"/>
  <c r="AE155" i="23"/>
  <c r="AD155" i="23"/>
  <c r="AC155" i="23"/>
  <c r="AB155" i="23"/>
  <c r="AA155" i="23"/>
  <c r="Z155" i="23"/>
  <c r="Y155" i="23"/>
  <c r="X155" i="23"/>
  <c r="W155" i="23"/>
  <c r="V155" i="23"/>
  <c r="AO154" i="23"/>
  <c r="AN154" i="23"/>
  <c r="AM154" i="23"/>
  <c r="AL154" i="23"/>
  <c r="AK154" i="23"/>
  <c r="AJ154" i="23"/>
  <c r="AI154" i="23"/>
  <c r="AH154" i="23"/>
  <c r="AG154" i="23"/>
  <c r="AF154" i="23"/>
  <c r="AE154" i="23"/>
  <c r="AD154" i="23"/>
  <c r="AC154" i="23"/>
  <c r="AB154" i="23"/>
  <c r="AA154" i="23"/>
  <c r="Z154" i="23"/>
  <c r="Y154" i="23"/>
  <c r="X154" i="23"/>
  <c r="W154" i="23"/>
  <c r="V154" i="23"/>
  <c r="AO153" i="23"/>
  <c r="AN153" i="23"/>
  <c r="AM153" i="23"/>
  <c r="AL153" i="23"/>
  <c r="AK153" i="23"/>
  <c r="AJ153" i="23"/>
  <c r="AI153" i="23"/>
  <c r="AH153" i="23"/>
  <c r="AG153" i="23"/>
  <c r="AF153" i="23"/>
  <c r="AE153" i="23"/>
  <c r="AD153" i="23"/>
  <c r="AC153" i="23"/>
  <c r="AB153" i="23"/>
  <c r="AA153" i="23"/>
  <c r="Z153" i="23"/>
  <c r="Y153" i="23"/>
  <c r="X153" i="23"/>
  <c r="W153" i="23"/>
  <c r="V153" i="23"/>
  <c r="AO152" i="23"/>
  <c r="AN152" i="23"/>
  <c r="AM152" i="23"/>
  <c r="AL152" i="23"/>
  <c r="AK152" i="23"/>
  <c r="AJ152" i="23"/>
  <c r="AI152" i="23"/>
  <c r="AH152" i="23"/>
  <c r="AG152" i="23"/>
  <c r="AF152" i="23"/>
  <c r="AE152" i="23"/>
  <c r="AD152" i="23"/>
  <c r="AC152" i="23"/>
  <c r="AB152" i="23"/>
  <c r="AA152" i="23"/>
  <c r="Z152" i="23"/>
  <c r="Y152" i="23"/>
  <c r="X152" i="23"/>
  <c r="W152" i="23"/>
  <c r="V152" i="23"/>
  <c r="AO151" i="23"/>
  <c r="AN151" i="23"/>
  <c r="AM151" i="23"/>
  <c r="AL151" i="23"/>
  <c r="AK151" i="23"/>
  <c r="AJ151" i="23"/>
  <c r="AI151" i="23"/>
  <c r="AH151" i="23"/>
  <c r="AG151" i="23"/>
  <c r="AF151" i="23"/>
  <c r="AE151" i="23"/>
  <c r="AD151" i="23"/>
  <c r="AC151" i="23"/>
  <c r="AB151" i="23"/>
  <c r="AA151" i="23"/>
  <c r="Z151" i="23"/>
  <c r="Y151" i="23"/>
  <c r="X151" i="23"/>
  <c r="W151" i="23"/>
  <c r="V151" i="23"/>
  <c r="AO150" i="23"/>
  <c r="AN150" i="23"/>
  <c r="AM150" i="23"/>
  <c r="AL150" i="23"/>
  <c r="AK150" i="23"/>
  <c r="AJ150" i="23"/>
  <c r="AI150" i="23"/>
  <c r="AH150" i="23"/>
  <c r="AG150" i="23"/>
  <c r="AF150" i="23"/>
  <c r="AE150" i="23"/>
  <c r="AD150" i="23"/>
  <c r="AC150" i="23"/>
  <c r="AB150" i="23"/>
  <c r="AA150" i="23"/>
  <c r="Z150" i="23"/>
  <c r="Y150" i="23"/>
  <c r="X150" i="23"/>
  <c r="W150" i="23"/>
  <c r="V150" i="23"/>
  <c r="AO149" i="23"/>
  <c r="AN149" i="23"/>
  <c r="AM149" i="23"/>
  <c r="AL149" i="23"/>
  <c r="AK149" i="23"/>
  <c r="AJ149" i="23"/>
  <c r="AI149" i="23"/>
  <c r="AH149" i="23"/>
  <c r="AG149" i="23"/>
  <c r="AF149" i="23"/>
  <c r="AE149" i="23"/>
  <c r="AD149" i="23"/>
  <c r="AC149" i="23"/>
  <c r="AB149" i="23"/>
  <c r="AA149" i="23"/>
  <c r="Z149" i="23"/>
  <c r="Y149" i="23"/>
  <c r="X149" i="23"/>
  <c r="W149" i="23"/>
  <c r="V149" i="23"/>
  <c r="AO148" i="23"/>
  <c r="AN148" i="23"/>
  <c r="AM148" i="23"/>
  <c r="AL148" i="23"/>
  <c r="AK148" i="23"/>
  <c r="AJ148" i="23"/>
  <c r="AI148" i="23"/>
  <c r="AH148" i="23"/>
  <c r="AG148" i="23"/>
  <c r="AF148" i="23"/>
  <c r="AE148" i="23"/>
  <c r="AD148" i="23"/>
  <c r="AC148" i="23"/>
  <c r="AB148" i="23"/>
  <c r="AA148" i="23"/>
  <c r="Z148" i="23"/>
  <c r="Y148" i="23"/>
  <c r="X148" i="23"/>
  <c r="W148" i="23"/>
  <c r="V148" i="23"/>
  <c r="AO147" i="23"/>
  <c r="AN147" i="23"/>
  <c r="AM147" i="23"/>
  <c r="AL147" i="23"/>
  <c r="AK147" i="23"/>
  <c r="AJ147" i="23"/>
  <c r="AI147" i="23"/>
  <c r="AH147" i="23"/>
  <c r="AG147" i="23"/>
  <c r="AF147" i="23"/>
  <c r="AE147" i="23"/>
  <c r="AD147" i="23"/>
  <c r="AC147" i="23"/>
  <c r="AB147" i="23"/>
  <c r="AA147" i="23"/>
  <c r="Z147" i="23"/>
  <c r="Y147" i="23"/>
  <c r="X147" i="23"/>
  <c r="W147" i="23"/>
  <c r="V147" i="23"/>
  <c r="AO146" i="23"/>
  <c r="AN146" i="23"/>
  <c r="AM146" i="23"/>
  <c r="AL146" i="23"/>
  <c r="AK146" i="23"/>
  <c r="AJ146" i="23"/>
  <c r="AI146" i="23"/>
  <c r="AH146" i="23"/>
  <c r="AG146" i="23"/>
  <c r="AF146" i="23"/>
  <c r="AE146" i="23"/>
  <c r="AD146" i="23"/>
  <c r="AC146" i="23"/>
  <c r="AB146" i="23"/>
  <c r="AA146" i="23"/>
  <c r="Z146" i="23"/>
  <c r="Y146" i="23"/>
  <c r="X146" i="23"/>
  <c r="W146" i="23"/>
  <c r="V146" i="23"/>
  <c r="AO145" i="23"/>
  <c r="AN145" i="23"/>
  <c r="AM145" i="23"/>
  <c r="AL145" i="23"/>
  <c r="AK145" i="23"/>
  <c r="AJ145" i="23"/>
  <c r="AI145" i="23"/>
  <c r="AH145" i="23"/>
  <c r="AG145" i="23"/>
  <c r="AF145" i="23"/>
  <c r="AE145" i="23"/>
  <c r="AD145" i="23"/>
  <c r="AC145" i="23"/>
  <c r="AB145" i="23"/>
  <c r="AA145" i="23"/>
  <c r="Z145" i="23"/>
  <c r="Y145" i="23"/>
  <c r="X145" i="23"/>
  <c r="W145" i="23"/>
  <c r="V145" i="23"/>
  <c r="AO144" i="23"/>
  <c r="AN144" i="23"/>
  <c r="AM144" i="23"/>
  <c r="AL144" i="23"/>
  <c r="AK144" i="23"/>
  <c r="AJ144" i="23"/>
  <c r="AI144" i="23"/>
  <c r="AH144" i="23"/>
  <c r="AG144" i="23"/>
  <c r="AF144" i="23"/>
  <c r="AE144" i="23"/>
  <c r="AD144" i="23"/>
  <c r="AC144" i="23"/>
  <c r="AB144" i="23"/>
  <c r="AA144" i="23"/>
  <c r="Z144" i="23"/>
  <c r="Y144" i="23"/>
  <c r="X144" i="23"/>
  <c r="W144" i="23"/>
  <c r="V144" i="23"/>
  <c r="AO143" i="23"/>
  <c r="AN143" i="23"/>
  <c r="AM143" i="23"/>
  <c r="AL143" i="23"/>
  <c r="AK143" i="23"/>
  <c r="AJ143" i="23"/>
  <c r="AI143" i="23"/>
  <c r="AH143" i="23"/>
  <c r="AG143" i="23"/>
  <c r="AF143" i="23"/>
  <c r="AE143" i="23"/>
  <c r="AD143" i="23"/>
  <c r="AC143" i="23"/>
  <c r="AB143" i="23"/>
  <c r="AA143" i="23"/>
  <c r="Z143" i="23"/>
  <c r="Y143" i="23"/>
  <c r="X143" i="23"/>
  <c r="W143" i="23"/>
  <c r="V143" i="23"/>
  <c r="AO142" i="23"/>
  <c r="AN142" i="23"/>
  <c r="AM142" i="23"/>
  <c r="AL142" i="23"/>
  <c r="AK142" i="23"/>
  <c r="AJ142" i="23"/>
  <c r="AI142" i="23"/>
  <c r="AH142" i="23"/>
  <c r="AG142" i="23"/>
  <c r="AF142" i="23"/>
  <c r="AE142" i="23"/>
  <c r="AD142" i="23"/>
  <c r="AC142" i="23"/>
  <c r="AB142" i="23"/>
  <c r="AA142" i="23"/>
  <c r="Z142" i="23"/>
  <c r="Y142" i="23"/>
  <c r="X142" i="23"/>
  <c r="W142" i="23"/>
  <c r="V142" i="23"/>
  <c r="AO141" i="23"/>
  <c r="AN141" i="23"/>
  <c r="AM141" i="23"/>
  <c r="AL141" i="23"/>
  <c r="AK141" i="23"/>
  <c r="AJ141" i="23"/>
  <c r="AI141" i="23"/>
  <c r="AH141" i="23"/>
  <c r="AG141" i="23"/>
  <c r="AF141" i="23"/>
  <c r="AE141" i="23"/>
  <c r="AD141" i="23"/>
  <c r="AC141" i="23"/>
  <c r="AB141" i="23"/>
  <c r="AA141" i="23"/>
  <c r="Z141" i="23"/>
  <c r="Y141" i="23"/>
  <c r="X141" i="23"/>
  <c r="W141" i="23"/>
  <c r="V141" i="23"/>
  <c r="AO140" i="23"/>
  <c r="AN140" i="23"/>
  <c r="AM140" i="23"/>
  <c r="AL140" i="23"/>
  <c r="AK140" i="23"/>
  <c r="AJ140" i="23"/>
  <c r="AI140" i="23"/>
  <c r="AH140" i="23"/>
  <c r="AG140" i="23"/>
  <c r="AF140" i="23"/>
  <c r="AE140" i="23"/>
  <c r="AD140" i="23"/>
  <c r="AC140" i="23"/>
  <c r="AB140" i="23"/>
  <c r="AA140" i="23"/>
  <c r="Z140" i="23"/>
  <c r="Y140" i="23"/>
  <c r="X140" i="23"/>
  <c r="W140" i="23"/>
  <c r="V140" i="23"/>
  <c r="AO139" i="23"/>
  <c r="AN139" i="23"/>
  <c r="AM139" i="23"/>
  <c r="AL139" i="23"/>
  <c r="AK139" i="23"/>
  <c r="AJ139" i="23"/>
  <c r="AI139" i="23"/>
  <c r="AH139" i="23"/>
  <c r="AG139" i="23"/>
  <c r="AF139" i="23"/>
  <c r="AE139" i="23"/>
  <c r="AD139" i="23"/>
  <c r="AC139" i="23"/>
  <c r="AB139" i="23"/>
  <c r="AA139" i="23"/>
  <c r="Z139" i="23"/>
  <c r="Y139" i="23"/>
  <c r="X139" i="23"/>
  <c r="W139" i="23"/>
  <c r="V139" i="23"/>
  <c r="AO138" i="23"/>
  <c r="AN138" i="23"/>
  <c r="AM138" i="23"/>
  <c r="AL138" i="23"/>
  <c r="AK138" i="23"/>
  <c r="AJ138" i="23"/>
  <c r="AI138" i="23"/>
  <c r="AH138" i="23"/>
  <c r="AG138" i="23"/>
  <c r="AF138" i="23"/>
  <c r="AE138" i="23"/>
  <c r="AD138" i="23"/>
  <c r="AC138" i="23"/>
  <c r="AB138" i="23"/>
  <c r="AA138" i="23"/>
  <c r="Z138" i="23"/>
  <c r="Y138" i="23"/>
  <c r="X138" i="23"/>
  <c r="W138" i="23"/>
  <c r="V138" i="23"/>
  <c r="AO137" i="23"/>
  <c r="AN137" i="23"/>
  <c r="AM137" i="23"/>
  <c r="AL137" i="23"/>
  <c r="AK137" i="23"/>
  <c r="AJ137" i="23"/>
  <c r="AI137" i="23"/>
  <c r="AH137" i="23"/>
  <c r="AG137" i="23"/>
  <c r="AF137" i="23"/>
  <c r="AE137" i="23"/>
  <c r="AD137" i="23"/>
  <c r="AC137" i="23"/>
  <c r="AB137" i="23"/>
  <c r="AA137" i="23"/>
  <c r="Z137" i="23"/>
  <c r="Y137" i="23"/>
  <c r="X137" i="23"/>
  <c r="W137" i="23"/>
  <c r="V137" i="23"/>
  <c r="AO136" i="23"/>
  <c r="AN136" i="23"/>
  <c r="AM136" i="23"/>
  <c r="AL136" i="23"/>
  <c r="AK136" i="23"/>
  <c r="AJ136" i="23"/>
  <c r="AI136" i="23"/>
  <c r="AH136" i="23"/>
  <c r="AG136" i="23"/>
  <c r="AF136" i="23"/>
  <c r="AE136" i="23"/>
  <c r="AD136" i="23"/>
  <c r="AC136" i="23"/>
  <c r="AB136" i="23"/>
  <c r="AA136" i="23"/>
  <c r="Z136" i="23"/>
  <c r="Y136" i="23"/>
  <c r="X136" i="23"/>
  <c r="W136" i="23"/>
  <c r="V136" i="23"/>
  <c r="AO135" i="23"/>
  <c r="AN135" i="23"/>
  <c r="AM135" i="23"/>
  <c r="AL135" i="23"/>
  <c r="AK135" i="23"/>
  <c r="AJ135" i="23"/>
  <c r="AI135" i="23"/>
  <c r="AH135" i="23"/>
  <c r="AG135" i="23"/>
  <c r="AF135" i="23"/>
  <c r="AE135" i="23"/>
  <c r="AD135" i="23"/>
  <c r="AC135" i="23"/>
  <c r="AB135" i="23"/>
  <c r="AA135" i="23"/>
  <c r="Z135" i="23"/>
  <c r="Y135" i="23"/>
  <c r="X135" i="23"/>
  <c r="W135" i="23"/>
  <c r="V135" i="23"/>
  <c r="AO134" i="23"/>
  <c r="AN134" i="23"/>
  <c r="AM134" i="23"/>
  <c r="AL134" i="23"/>
  <c r="AK134" i="23"/>
  <c r="AJ134" i="23"/>
  <c r="AI134" i="23"/>
  <c r="AH134" i="23"/>
  <c r="AG134" i="23"/>
  <c r="AF134" i="23"/>
  <c r="AE134" i="23"/>
  <c r="AD134" i="23"/>
  <c r="AC134" i="23"/>
  <c r="AB134" i="23"/>
  <c r="AA134" i="23"/>
  <c r="Z134" i="23"/>
  <c r="Y134" i="23"/>
  <c r="X134" i="23"/>
  <c r="W134" i="23"/>
  <c r="V134" i="23"/>
  <c r="AO133" i="23"/>
  <c r="AN133" i="23"/>
  <c r="AM133" i="23"/>
  <c r="AL133" i="23"/>
  <c r="AK133" i="23"/>
  <c r="AJ133" i="23"/>
  <c r="AI133" i="23"/>
  <c r="AH133" i="23"/>
  <c r="AG133" i="23"/>
  <c r="AF133" i="23"/>
  <c r="AE133" i="23"/>
  <c r="AD133" i="23"/>
  <c r="AC133" i="23"/>
  <c r="AB133" i="23"/>
  <c r="AA133" i="23"/>
  <c r="Z133" i="23"/>
  <c r="Y133" i="23"/>
  <c r="X133" i="23"/>
  <c r="W133" i="23"/>
  <c r="V133" i="23"/>
  <c r="AO132" i="23"/>
  <c r="AN132" i="23"/>
  <c r="AM132" i="23"/>
  <c r="AL132" i="23"/>
  <c r="AK132" i="23"/>
  <c r="AJ132" i="23"/>
  <c r="AI132" i="23"/>
  <c r="AH132" i="23"/>
  <c r="AG132" i="23"/>
  <c r="AF132" i="23"/>
  <c r="AE132" i="23"/>
  <c r="AD132" i="23"/>
  <c r="AC132" i="23"/>
  <c r="AB132" i="23"/>
  <c r="AA132" i="23"/>
  <c r="Z132" i="23"/>
  <c r="Y132" i="23"/>
  <c r="X132" i="23"/>
  <c r="W132" i="23"/>
  <c r="V132" i="23"/>
  <c r="AO131" i="23"/>
  <c r="AN131" i="23"/>
  <c r="AM131" i="23"/>
  <c r="AL131" i="23"/>
  <c r="AK131" i="23"/>
  <c r="AJ131" i="23"/>
  <c r="AI131" i="23"/>
  <c r="AH131" i="23"/>
  <c r="AG131" i="23"/>
  <c r="AF131" i="23"/>
  <c r="AE131" i="23"/>
  <c r="AD131" i="23"/>
  <c r="AC131" i="23"/>
  <c r="AB131" i="23"/>
  <c r="AA131" i="23"/>
  <c r="Z131" i="23"/>
  <c r="Y131" i="23"/>
  <c r="X131" i="23"/>
  <c r="W131" i="23"/>
  <c r="V131" i="23"/>
  <c r="AO130" i="23"/>
  <c r="AN130" i="23"/>
  <c r="AM130" i="23"/>
  <c r="AL130" i="23"/>
  <c r="AK130" i="23"/>
  <c r="AJ130" i="23"/>
  <c r="AI130" i="23"/>
  <c r="AH130" i="23"/>
  <c r="AG130" i="23"/>
  <c r="AF130" i="23"/>
  <c r="AE130" i="23"/>
  <c r="AD130" i="23"/>
  <c r="AC130" i="23"/>
  <c r="AB130" i="23"/>
  <c r="AA130" i="23"/>
  <c r="Z130" i="23"/>
  <c r="Y130" i="23"/>
  <c r="X130" i="23"/>
  <c r="W130" i="23"/>
  <c r="V130" i="23"/>
  <c r="AO129" i="23"/>
  <c r="AN129" i="23"/>
  <c r="AM129" i="23"/>
  <c r="AL129" i="23"/>
  <c r="AK129" i="23"/>
  <c r="AJ129" i="23"/>
  <c r="AI129" i="23"/>
  <c r="AH129" i="23"/>
  <c r="AG129" i="23"/>
  <c r="AF129" i="23"/>
  <c r="AE129" i="23"/>
  <c r="AD129" i="23"/>
  <c r="AC129" i="23"/>
  <c r="AB129" i="23"/>
  <c r="AA129" i="23"/>
  <c r="Z129" i="23"/>
  <c r="Y129" i="23"/>
  <c r="X129" i="23"/>
  <c r="W129" i="23"/>
  <c r="V129" i="23"/>
  <c r="AO128" i="23"/>
  <c r="AN128" i="23"/>
  <c r="AM128" i="23"/>
  <c r="AL128" i="23"/>
  <c r="AK128" i="23"/>
  <c r="AJ128" i="23"/>
  <c r="AI128" i="23"/>
  <c r="AH128" i="23"/>
  <c r="AG128" i="23"/>
  <c r="AF128" i="23"/>
  <c r="AE128" i="23"/>
  <c r="AD128" i="23"/>
  <c r="AC128" i="23"/>
  <c r="AB128" i="23"/>
  <c r="AA128" i="23"/>
  <c r="Z128" i="23"/>
  <c r="Y128" i="23"/>
  <c r="X128" i="23"/>
  <c r="W128" i="23"/>
  <c r="V128" i="23"/>
  <c r="AO127" i="23"/>
  <c r="AN127" i="23"/>
  <c r="AM127" i="23"/>
  <c r="AL127" i="23"/>
  <c r="AK127" i="23"/>
  <c r="AJ127" i="23"/>
  <c r="AI127" i="23"/>
  <c r="AH127" i="23"/>
  <c r="AG127" i="23"/>
  <c r="AF127" i="23"/>
  <c r="AE127" i="23"/>
  <c r="AD127" i="23"/>
  <c r="AC127" i="23"/>
  <c r="AB127" i="23"/>
  <c r="AA127" i="23"/>
  <c r="Z127" i="23"/>
  <c r="Y127" i="23"/>
  <c r="X127" i="23"/>
  <c r="W127" i="23"/>
  <c r="V127" i="23"/>
  <c r="AO126" i="23"/>
  <c r="AN126" i="23"/>
  <c r="AM126" i="23"/>
  <c r="AL126" i="23"/>
  <c r="AK126" i="23"/>
  <c r="AJ126" i="23"/>
  <c r="AI126" i="23"/>
  <c r="AH126" i="23"/>
  <c r="AG126" i="23"/>
  <c r="AF126" i="23"/>
  <c r="AE126" i="23"/>
  <c r="AD126" i="23"/>
  <c r="AC126" i="23"/>
  <c r="AB126" i="23"/>
  <c r="AA126" i="23"/>
  <c r="Z126" i="23"/>
  <c r="Y126" i="23"/>
  <c r="X126" i="23"/>
  <c r="W126" i="23"/>
  <c r="V126" i="23"/>
  <c r="AO125" i="23"/>
  <c r="AN125" i="23"/>
  <c r="AM125" i="23"/>
  <c r="AL125" i="23"/>
  <c r="AK125" i="23"/>
  <c r="AJ125" i="23"/>
  <c r="AI125" i="23"/>
  <c r="AH125" i="23"/>
  <c r="AG125" i="23"/>
  <c r="AF125" i="23"/>
  <c r="AE125" i="23"/>
  <c r="AD125" i="23"/>
  <c r="AC125" i="23"/>
  <c r="AB125" i="23"/>
  <c r="AA125" i="23"/>
  <c r="Z125" i="23"/>
  <c r="Y125" i="23"/>
  <c r="X125" i="23"/>
  <c r="W125" i="23"/>
  <c r="V125" i="23"/>
  <c r="AO124" i="23"/>
  <c r="AN124" i="23"/>
  <c r="AM124" i="23"/>
  <c r="AL124" i="23"/>
  <c r="AK124" i="23"/>
  <c r="AJ124" i="23"/>
  <c r="AI124" i="23"/>
  <c r="AH124" i="23"/>
  <c r="AG124" i="23"/>
  <c r="AF124" i="23"/>
  <c r="AE124" i="23"/>
  <c r="AD124" i="23"/>
  <c r="AC124" i="23"/>
  <c r="AB124" i="23"/>
  <c r="AA124" i="23"/>
  <c r="Z124" i="23"/>
  <c r="Y124" i="23"/>
  <c r="X124" i="23"/>
  <c r="W124" i="23"/>
  <c r="V124" i="23"/>
  <c r="AO123" i="23"/>
  <c r="AN123" i="23"/>
  <c r="AM123" i="23"/>
  <c r="AL123" i="23"/>
  <c r="AK123" i="23"/>
  <c r="AJ123" i="23"/>
  <c r="AI123" i="23"/>
  <c r="AH123" i="23"/>
  <c r="AG123" i="23"/>
  <c r="AF123" i="23"/>
  <c r="AE123" i="23"/>
  <c r="AD123" i="23"/>
  <c r="AC123" i="23"/>
  <c r="AB123" i="23"/>
  <c r="AA123" i="23"/>
  <c r="Z123" i="23"/>
  <c r="Y123" i="23"/>
  <c r="X123" i="23"/>
  <c r="W123" i="23"/>
  <c r="V123" i="23"/>
  <c r="AO122" i="23"/>
  <c r="AN122" i="23"/>
  <c r="AM122" i="23"/>
  <c r="AL122" i="23"/>
  <c r="AK122" i="23"/>
  <c r="AJ122" i="23"/>
  <c r="AI122" i="23"/>
  <c r="AH122" i="23"/>
  <c r="AG122" i="23"/>
  <c r="AF122" i="23"/>
  <c r="AE122" i="23"/>
  <c r="AD122" i="23"/>
  <c r="AC122" i="23"/>
  <c r="AB122" i="23"/>
  <c r="AA122" i="23"/>
  <c r="Z122" i="23"/>
  <c r="Y122" i="23"/>
  <c r="X122" i="23"/>
  <c r="W122" i="23"/>
  <c r="V122" i="23"/>
  <c r="AO121" i="23"/>
  <c r="AN121" i="23"/>
  <c r="AM121" i="23"/>
  <c r="AL121" i="23"/>
  <c r="AK121" i="23"/>
  <c r="AJ121" i="23"/>
  <c r="AI121" i="23"/>
  <c r="AH121" i="23"/>
  <c r="AG121" i="23"/>
  <c r="AF121" i="23"/>
  <c r="AE121" i="23"/>
  <c r="AD121" i="23"/>
  <c r="AC121" i="23"/>
  <c r="AB121" i="23"/>
  <c r="AA121" i="23"/>
  <c r="Z121" i="23"/>
  <c r="Y121" i="23"/>
  <c r="X121" i="23"/>
  <c r="W121" i="23"/>
  <c r="V121" i="23"/>
  <c r="AO120" i="23"/>
  <c r="AN120" i="23"/>
  <c r="AM120" i="23"/>
  <c r="AL120" i="23"/>
  <c r="AK120" i="23"/>
  <c r="AJ120" i="23"/>
  <c r="AI120" i="23"/>
  <c r="AH120" i="23"/>
  <c r="AG120" i="23"/>
  <c r="AF120" i="23"/>
  <c r="AE120" i="23"/>
  <c r="AD120" i="23"/>
  <c r="AC120" i="23"/>
  <c r="AB120" i="23"/>
  <c r="AA120" i="23"/>
  <c r="Z120" i="23"/>
  <c r="Y120" i="23"/>
  <c r="X120" i="23"/>
  <c r="W120" i="23"/>
  <c r="V120" i="23"/>
  <c r="AO119" i="23"/>
  <c r="AN119" i="23"/>
  <c r="AM119" i="23"/>
  <c r="AL119" i="23"/>
  <c r="AK119" i="23"/>
  <c r="AJ119" i="23"/>
  <c r="AI119" i="23"/>
  <c r="AH119" i="23"/>
  <c r="AG119" i="23"/>
  <c r="AF119" i="23"/>
  <c r="AE119" i="23"/>
  <c r="AD119" i="23"/>
  <c r="AC119" i="23"/>
  <c r="AB119" i="23"/>
  <c r="AA119" i="23"/>
  <c r="Z119" i="23"/>
  <c r="Y119" i="23"/>
  <c r="X119" i="23"/>
  <c r="W119" i="23"/>
  <c r="V119" i="23"/>
  <c r="AO118" i="23"/>
  <c r="AN118" i="23"/>
  <c r="AM118" i="23"/>
  <c r="AL118" i="23"/>
  <c r="AK118" i="23"/>
  <c r="AJ118" i="23"/>
  <c r="AI118" i="23"/>
  <c r="AH118" i="23"/>
  <c r="AG118" i="23"/>
  <c r="AF118" i="23"/>
  <c r="AE118" i="23"/>
  <c r="AD118" i="23"/>
  <c r="AC118" i="23"/>
  <c r="AB118" i="23"/>
  <c r="AA118" i="23"/>
  <c r="Z118" i="23"/>
  <c r="Y118" i="23"/>
  <c r="X118" i="23"/>
  <c r="W118" i="23"/>
  <c r="V118" i="23"/>
  <c r="AO117" i="23"/>
  <c r="AN117" i="23"/>
  <c r="AM117" i="23"/>
  <c r="AL117" i="23"/>
  <c r="AK117" i="23"/>
  <c r="AJ117" i="23"/>
  <c r="AI117" i="23"/>
  <c r="AH117" i="23"/>
  <c r="AG117" i="23"/>
  <c r="AF117" i="23"/>
  <c r="AE117" i="23"/>
  <c r="AD117" i="23"/>
  <c r="AC117" i="23"/>
  <c r="AB117" i="23"/>
  <c r="AA117" i="23"/>
  <c r="Z117" i="23"/>
  <c r="Y117" i="23"/>
  <c r="X117" i="23"/>
  <c r="W117" i="23"/>
  <c r="V117" i="23"/>
  <c r="AO116" i="23"/>
  <c r="AN116" i="23"/>
  <c r="AM116" i="23"/>
  <c r="AL116" i="23"/>
  <c r="AK116" i="23"/>
  <c r="AJ116" i="23"/>
  <c r="AI116" i="23"/>
  <c r="AH116" i="23"/>
  <c r="AG116" i="23"/>
  <c r="AF116" i="23"/>
  <c r="AE116" i="23"/>
  <c r="AD116" i="23"/>
  <c r="AC116" i="23"/>
  <c r="AB116" i="23"/>
  <c r="AA116" i="23"/>
  <c r="Z116" i="23"/>
  <c r="Y116" i="23"/>
  <c r="X116" i="23"/>
  <c r="W116" i="23"/>
  <c r="V116" i="23"/>
  <c r="AO115" i="23"/>
  <c r="AN115" i="23"/>
  <c r="AM115" i="23"/>
  <c r="AL115" i="23"/>
  <c r="AK115" i="23"/>
  <c r="AJ115" i="23"/>
  <c r="AI115" i="23"/>
  <c r="AH115" i="23"/>
  <c r="AG115" i="23"/>
  <c r="AF115" i="23"/>
  <c r="AE115" i="23"/>
  <c r="AD115" i="23"/>
  <c r="AC115" i="23"/>
  <c r="AB115" i="23"/>
  <c r="AA115" i="23"/>
  <c r="Z115" i="23"/>
  <c r="Y115" i="23"/>
  <c r="X115" i="23"/>
  <c r="W115" i="23"/>
  <c r="V115" i="23"/>
  <c r="AO114" i="23"/>
  <c r="AN114" i="23"/>
  <c r="AM114" i="23"/>
  <c r="AL114" i="23"/>
  <c r="AK114" i="23"/>
  <c r="AJ114" i="23"/>
  <c r="AI114" i="23"/>
  <c r="AH114" i="23"/>
  <c r="AG114" i="23"/>
  <c r="AF114" i="23"/>
  <c r="AE114" i="23"/>
  <c r="AD114" i="23"/>
  <c r="AC114" i="23"/>
  <c r="AB114" i="23"/>
  <c r="AA114" i="23"/>
  <c r="Z114" i="23"/>
  <c r="Y114" i="23"/>
  <c r="X114" i="23"/>
  <c r="W114" i="23"/>
  <c r="V114" i="23"/>
  <c r="AO113" i="23"/>
  <c r="AN113" i="23"/>
  <c r="AM113" i="23"/>
  <c r="AL113" i="23"/>
  <c r="AK113" i="23"/>
  <c r="AJ113" i="23"/>
  <c r="AI113" i="23"/>
  <c r="AH113" i="23"/>
  <c r="AG113" i="23"/>
  <c r="AF113" i="23"/>
  <c r="AE113" i="23"/>
  <c r="AD113" i="23"/>
  <c r="AC113" i="23"/>
  <c r="AB113" i="23"/>
  <c r="AA113" i="23"/>
  <c r="Z113" i="23"/>
  <c r="Y113" i="23"/>
  <c r="X113" i="23"/>
  <c r="W113" i="23"/>
  <c r="V113" i="23"/>
  <c r="AO112" i="23"/>
  <c r="AN112" i="23"/>
  <c r="AM112" i="23"/>
  <c r="AL112" i="23"/>
  <c r="AK112" i="23"/>
  <c r="AJ112" i="23"/>
  <c r="AI112" i="23"/>
  <c r="AH112" i="23"/>
  <c r="AG112" i="23"/>
  <c r="AF112" i="23"/>
  <c r="AE112" i="23"/>
  <c r="AD112" i="23"/>
  <c r="AC112" i="23"/>
  <c r="AB112" i="23"/>
  <c r="AA112" i="23"/>
  <c r="Z112" i="23"/>
  <c r="Y112" i="23"/>
  <c r="X112" i="23"/>
  <c r="W112" i="23"/>
  <c r="V112" i="23"/>
  <c r="AO111" i="23"/>
  <c r="AN111" i="23"/>
  <c r="AM111" i="23"/>
  <c r="AL111" i="23"/>
  <c r="AK111" i="23"/>
  <c r="AJ111" i="23"/>
  <c r="AI111" i="23"/>
  <c r="AH111" i="23"/>
  <c r="AG111" i="23"/>
  <c r="AF111" i="23"/>
  <c r="AE111" i="23"/>
  <c r="AD111" i="23"/>
  <c r="AC111" i="23"/>
  <c r="AB111" i="23"/>
  <c r="AA111" i="23"/>
  <c r="Z111" i="23"/>
  <c r="Y111" i="23"/>
  <c r="X111" i="23"/>
  <c r="W111" i="23"/>
  <c r="V111" i="23"/>
  <c r="AO110" i="23"/>
  <c r="AN110" i="23"/>
  <c r="AM110" i="23"/>
  <c r="AL110" i="23"/>
  <c r="AK110" i="23"/>
  <c r="AJ110" i="23"/>
  <c r="AI110" i="23"/>
  <c r="AH110" i="23"/>
  <c r="AG110" i="23"/>
  <c r="AF110" i="23"/>
  <c r="AE110" i="23"/>
  <c r="AD110" i="23"/>
  <c r="AC110" i="23"/>
  <c r="AB110" i="23"/>
  <c r="AA110" i="23"/>
  <c r="Z110" i="23"/>
  <c r="Y110" i="23"/>
  <c r="X110" i="23"/>
  <c r="W110" i="23"/>
  <c r="V110" i="23"/>
  <c r="AO109" i="23"/>
  <c r="AN109" i="23"/>
  <c r="AM109" i="23"/>
  <c r="AL109" i="23"/>
  <c r="AK109" i="23"/>
  <c r="AJ109" i="23"/>
  <c r="AI109" i="23"/>
  <c r="AH109" i="23"/>
  <c r="AG109" i="23"/>
  <c r="AF109" i="23"/>
  <c r="AE109" i="23"/>
  <c r="AD109" i="23"/>
  <c r="AC109" i="23"/>
  <c r="AB109" i="23"/>
  <c r="AA109" i="23"/>
  <c r="Z109" i="23"/>
  <c r="Y109" i="23"/>
  <c r="X109" i="23"/>
  <c r="W109" i="23"/>
  <c r="V109" i="23"/>
  <c r="AO108" i="23"/>
  <c r="AN108" i="23"/>
  <c r="AM108" i="23"/>
  <c r="AL108" i="23"/>
  <c r="AK108" i="23"/>
  <c r="AJ108" i="23"/>
  <c r="AI108" i="23"/>
  <c r="AH108" i="23"/>
  <c r="AG108" i="23"/>
  <c r="AF108" i="23"/>
  <c r="AE108" i="23"/>
  <c r="AD108" i="23"/>
  <c r="AC108" i="23"/>
  <c r="AB108" i="23"/>
  <c r="AA108" i="23"/>
  <c r="Z108" i="23"/>
  <c r="Y108" i="23"/>
  <c r="X108" i="23"/>
  <c r="W108" i="23"/>
  <c r="V108" i="23"/>
  <c r="AO107" i="23"/>
  <c r="AN107" i="23"/>
  <c r="AM107" i="23"/>
  <c r="AL107" i="23"/>
  <c r="AK107" i="23"/>
  <c r="AJ107" i="23"/>
  <c r="AI107" i="23"/>
  <c r="AH107" i="23"/>
  <c r="AG107" i="23"/>
  <c r="AF107" i="23"/>
  <c r="AE107" i="23"/>
  <c r="AD107" i="23"/>
  <c r="AC107" i="23"/>
  <c r="AB107" i="23"/>
  <c r="AA107" i="23"/>
  <c r="Z107" i="23"/>
  <c r="Y107" i="23"/>
  <c r="X107" i="23"/>
  <c r="W107" i="23"/>
  <c r="V107" i="23"/>
  <c r="AO106" i="23"/>
  <c r="AN106" i="23"/>
  <c r="AM106" i="23"/>
  <c r="AL106" i="23"/>
  <c r="AK106" i="23"/>
  <c r="AJ106" i="23"/>
  <c r="AI106" i="23"/>
  <c r="AH106" i="23"/>
  <c r="AG106" i="23"/>
  <c r="AF106" i="23"/>
  <c r="AE106" i="23"/>
  <c r="AD106" i="23"/>
  <c r="AC106" i="23"/>
  <c r="AB106" i="23"/>
  <c r="AA106" i="23"/>
  <c r="Z106" i="23"/>
  <c r="Y106" i="23"/>
  <c r="X106" i="23"/>
  <c r="W106" i="23"/>
  <c r="V106" i="23"/>
  <c r="AO105" i="23"/>
  <c r="AN105" i="23"/>
  <c r="AM105" i="23"/>
  <c r="AL105" i="23"/>
  <c r="AK105" i="23"/>
  <c r="AJ105" i="23"/>
  <c r="AI105" i="23"/>
  <c r="AH105" i="23"/>
  <c r="AG105" i="23"/>
  <c r="AF105" i="23"/>
  <c r="AE105" i="23"/>
  <c r="AD105" i="23"/>
  <c r="AC105" i="23"/>
  <c r="AB105" i="23"/>
  <c r="AA105" i="23"/>
  <c r="Z105" i="23"/>
  <c r="Y105" i="23"/>
  <c r="X105" i="23"/>
  <c r="W105" i="23"/>
  <c r="V105" i="23"/>
  <c r="AO104" i="23"/>
  <c r="AN104" i="23"/>
  <c r="AM104" i="23"/>
  <c r="AL104" i="23"/>
  <c r="AK104" i="23"/>
  <c r="AJ104" i="23"/>
  <c r="AI104" i="23"/>
  <c r="AH104" i="23"/>
  <c r="AG104" i="23"/>
  <c r="AF104" i="23"/>
  <c r="AE104" i="23"/>
  <c r="AD104" i="23"/>
  <c r="AC104" i="23"/>
  <c r="AB104" i="23"/>
  <c r="AA104" i="23"/>
  <c r="Z104" i="23"/>
  <c r="Y104" i="23"/>
  <c r="X104" i="23"/>
  <c r="W104" i="23"/>
  <c r="V104" i="23"/>
  <c r="AO103" i="23"/>
  <c r="AN103" i="23"/>
  <c r="AM103" i="23"/>
  <c r="AL103" i="23"/>
  <c r="AK103" i="23"/>
  <c r="AJ103" i="23"/>
  <c r="AI103" i="23"/>
  <c r="AH103" i="23"/>
  <c r="AG103" i="23"/>
  <c r="AF103" i="23"/>
  <c r="AE103" i="23"/>
  <c r="AD103" i="23"/>
  <c r="AC103" i="23"/>
  <c r="AB103" i="23"/>
  <c r="AA103" i="23"/>
  <c r="Z103" i="23"/>
  <c r="Y103" i="23"/>
  <c r="X103" i="23"/>
  <c r="W103" i="23"/>
  <c r="V103" i="23"/>
  <c r="AO102" i="23"/>
  <c r="AN102" i="23"/>
  <c r="AM102" i="23"/>
  <c r="AL102" i="23"/>
  <c r="AK102" i="23"/>
  <c r="AJ102" i="23"/>
  <c r="AI102" i="23"/>
  <c r="AH102" i="23"/>
  <c r="AG102" i="23"/>
  <c r="AF102" i="23"/>
  <c r="AE102" i="23"/>
  <c r="AD102" i="23"/>
  <c r="AC102" i="23"/>
  <c r="AB102" i="23"/>
  <c r="AA102" i="23"/>
  <c r="Z102" i="23"/>
  <c r="Y102" i="23"/>
  <c r="X102" i="23"/>
  <c r="W102" i="23"/>
  <c r="V102" i="23"/>
  <c r="AO101" i="23"/>
  <c r="AN101" i="23"/>
  <c r="AM101" i="23"/>
  <c r="AL101" i="23"/>
  <c r="AK101" i="23"/>
  <c r="AJ101" i="23"/>
  <c r="AI101" i="23"/>
  <c r="AH101" i="23"/>
  <c r="AG101" i="23"/>
  <c r="AF101" i="23"/>
  <c r="AE101" i="23"/>
  <c r="AD101" i="23"/>
  <c r="AC101" i="23"/>
  <c r="AB101" i="23"/>
  <c r="AA101" i="23"/>
  <c r="Z101" i="23"/>
  <c r="Y101" i="23"/>
  <c r="X101" i="23"/>
  <c r="W101" i="23"/>
  <c r="V101" i="23"/>
  <c r="AO100" i="23"/>
  <c r="AN100" i="23"/>
  <c r="AM100" i="23"/>
  <c r="AL100" i="23"/>
  <c r="AK100" i="23"/>
  <c r="AJ100" i="23"/>
  <c r="AI100" i="23"/>
  <c r="AH100" i="23"/>
  <c r="AG100" i="23"/>
  <c r="AF100" i="23"/>
  <c r="AE100" i="23"/>
  <c r="AD100" i="23"/>
  <c r="AC100" i="23"/>
  <c r="AB100" i="23"/>
  <c r="AA100" i="23"/>
  <c r="Z100" i="23"/>
  <c r="Y100" i="23"/>
  <c r="X100" i="23"/>
  <c r="W100" i="23"/>
  <c r="V100" i="23"/>
  <c r="AC95" i="23"/>
  <c r="Y95" i="23"/>
  <c r="X95" i="23"/>
  <c r="AD94" i="23"/>
  <c r="AB94" i="23"/>
  <c r="AA94" i="23"/>
  <c r="V94" i="23"/>
  <c r="AD93" i="23"/>
  <c r="AC93" i="23"/>
  <c r="AA93" i="23"/>
  <c r="W93" i="23"/>
  <c r="AC92" i="23"/>
  <c r="AB92" i="23"/>
  <c r="AA92" i="23"/>
  <c r="Z92" i="23"/>
  <c r="Y92" i="23"/>
  <c r="X92" i="23"/>
  <c r="W92" i="23"/>
  <c r="V92" i="23"/>
  <c r="AD91" i="23"/>
  <c r="AA91" i="23"/>
  <c r="Y91" i="23"/>
  <c r="AD90" i="23"/>
  <c r="AC90" i="23"/>
  <c r="Z90" i="23"/>
  <c r="X90" i="23"/>
  <c r="V90" i="23"/>
  <c r="Y89" i="23"/>
  <c r="X89" i="23"/>
  <c r="W89" i="23"/>
  <c r="AD88" i="23"/>
  <c r="AB88" i="23"/>
  <c r="AA88" i="23"/>
  <c r="Y88" i="23"/>
  <c r="V88" i="23"/>
  <c r="AC87" i="23"/>
  <c r="X87" i="23"/>
  <c r="Z82" i="23"/>
  <c r="Y82" i="23"/>
  <c r="X82" i="23"/>
  <c r="W82" i="23"/>
  <c r="V82" i="23"/>
  <c r="Z81" i="23"/>
  <c r="Y81" i="23"/>
  <c r="X81" i="23"/>
  <c r="W81" i="23"/>
  <c r="V81" i="23"/>
  <c r="Z80" i="23"/>
  <c r="Y80" i="23"/>
  <c r="X80" i="23"/>
  <c r="W80" i="23"/>
  <c r="V80" i="23"/>
  <c r="Z79" i="23"/>
  <c r="Y79" i="23"/>
  <c r="X79" i="23"/>
  <c r="W79" i="23"/>
  <c r="V79" i="23"/>
  <c r="Z78" i="23"/>
  <c r="Y78" i="23"/>
  <c r="X78" i="23"/>
  <c r="W78" i="23"/>
  <c r="V78" i="23"/>
  <c r="Z77" i="23"/>
  <c r="Y77" i="23"/>
  <c r="X77" i="23"/>
  <c r="W77" i="23"/>
  <c r="V77" i="23"/>
  <c r="Z76" i="23"/>
  <c r="Y76" i="23"/>
  <c r="X76" i="23"/>
  <c r="W76" i="23"/>
  <c r="V76" i="23"/>
  <c r="Z75" i="23"/>
  <c r="Y75" i="23"/>
  <c r="X75" i="23"/>
  <c r="W75" i="23"/>
  <c r="V75" i="23"/>
  <c r="Z74" i="23"/>
  <c r="Y74" i="23"/>
  <c r="X74" i="23"/>
  <c r="W74" i="23"/>
  <c r="V74" i="23"/>
  <c r="Z73" i="23"/>
  <c r="Y73" i="23"/>
  <c r="X73" i="23"/>
  <c r="W73" i="23"/>
  <c r="V73" i="23"/>
  <c r="AA68" i="23"/>
  <c r="Z68" i="23"/>
  <c r="Y68" i="23"/>
  <c r="X68" i="23"/>
  <c r="W68" i="23"/>
  <c r="V68" i="23"/>
  <c r="AA67" i="23"/>
  <c r="Z67" i="23"/>
  <c r="Y67" i="23"/>
  <c r="X67" i="23"/>
  <c r="W67" i="23"/>
  <c r="V67" i="23"/>
  <c r="Z66" i="23"/>
  <c r="Y66" i="23"/>
  <c r="X66" i="23"/>
  <c r="W66" i="23"/>
  <c r="V66" i="23"/>
  <c r="AA65" i="23"/>
  <c r="Z65" i="23"/>
  <c r="Y65" i="23"/>
  <c r="X65" i="23"/>
  <c r="W65" i="23"/>
  <c r="V65" i="23"/>
  <c r="AA64" i="23"/>
  <c r="Z64" i="23"/>
  <c r="Y64" i="23"/>
  <c r="X64" i="23"/>
  <c r="W64" i="23"/>
  <c r="V64" i="23"/>
  <c r="AA63" i="23"/>
  <c r="Z63" i="23"/>
  <c r="Y63" i="23"/>
  <c r="X63" i="23"/>
  <c r="W63" i="23"/>
  <c r="V63" i="23"/>
  <c r="AA62" i="23"/>
  <c r="Z62" i="23"/>
  <c r="Y62" i="23"/>
  <c r="X62" i="23"/>
  <c r="W62" i="23"/>
  <c r="V62" i="23"/>
  <c r="AA61" i="23"/>
  <c r="Z61" i="23"/>
  <c r="Y61" i="23"/>
  <c r="X61" i="23"/>
  <c r="W61" i="23"/>
  <c r="V61" i="23"/>
  <c r="AA60" i="23"/>
  <c r="Z60" i="23"/>
  <c r="Y60" i="23"/>
  <c r="X60" i="23"/>
  <c r="W60" i="23"/>
  <c r="V60" i="23"/>
  <c r="AA59" i="23"/>
  <c r="Z59" i="23"/>
  <c r="Y59" i="23"/>
  <c r="X59" i="23"/>
  <c r="W59" i="23"/>
  <c r="V59" i="23"/>
  <c r="AQ58" i="23"/>
  <c r="D40" i="23" s="1"/>
  <c r="AA58" i="23"/>
  <c r="Z58" i="23"/>
  <c r="Y58" i="23"/>
  <c r="X58" i="23"/>
  <c r="W58" i="23"/>
  <c r="V58" i="23"/>
  <c r="AA57" i="23"/>
  <c r="Z57" i="23"/>
  <c r="Y57" i="23"/>
  <c r="X57" i="23"/>
  <c r="W57" i="23"/>
  <c r="V57" i="23"/>
  <c r="B57" i="23"/>
  <c r="AA56" i="23"/>
  <c r="Z56" i="23"/>
  <c r="Y56" i="23"/>
  <c r="X56" i="23"/>
  <c r="W56" i="23"/>
  <c r="V56" i="23"/>
  <c r="B55" i="23"/>
  <c r="B48" i="23"/>
  <c r="AQ35" i="23" s="1"/>
  <c r="B47" i="23"/>
  <c r="AQ34" i="23" s="1"/>
  <c r="AP44" i="23"/>
  <c r="B59" i="23" s="1"/>
  <c r="AP43" i="23"/>
  <c r="B58" i="23" s="1"/>
  <c r="AP42" i="23"/>
  <c r="X40" i="23"/>
  <c r="AP41" i="23"/>
  <c r="B56" i="23" s="1"/>
  <c r="X39" i="23"/>
  <c r="AP40" i="23"/>
  <c r="X38" i="23"/>
  <c r="E40" i="23"/>
  <c r="B40" i="23"/>
  <c r="X37" i="23"/>
  <c r="X36" i="23"/>
  <c r="X35" i="23"/>
  <c r="X34" i="23"/>
  <c r="X33" i="23"/>
  <c r="Q35" i="23"/>
  <c r="P35" i="23"/>
  <c r="B35" i="23"/>
  <c r="X32" i="23"/>
  <c r="J34" i="23"/>
  <c r="D35" i="23" s="1"/>
  <c r="X31" i="23"/>
  <c r="X30" i="23"/>
  <c r="AG31" i="23"/>
  <c r="X29" i="23"/>
  <c r="X28" i="23"/>
  <c r="X27" i="23"/>
  <c r="B29" i="23"/>
  <c r="X26" i="23"/>
  <c r="AQ27" i="23"/>
  <c r="B27" i="23"/>
  <c r="P25" i="23"/>
  <c r="I24" i="23" s="1"/>
  <c r="G24" i="23"/>
  <c r="E24" i="23"/>
  <c r="C24" i="23"/>
  <c r="AB23" i="23"/>
  <c r="AA23" i="23"/>
  <c r="Z23" i="23"/>
  <c r="AC23" i="23" s="1"/>
  <c r="Y23" i="23"/>
  <c r="I23" i="23"/>
  <c r="G23" i="23"/>
  <c r="E23" i="23"/>
  <c r="C23" i="23"/>
  <c r="AB22" i="23"/>
  <c r="AA22" i="23"/>
  <c r="Z22" i="23"/>
  <c r="AC22" i="23" s="1"/>
  <c r="Y22" i="23"/>
  <c r="I22" i="23"/>
  <c r="G22" i="23"/>
  <c r="E22" i="23"/>
  <c r="C22" i="23"/>
  <c r="I21" i="23"/>
  <c r="G21" i="23"/>
  <c r="E21" i="23"/>
  <c r="C21" i="23"/>
  <c r="AQ20" i="23"/>
  <c r="B49" i="23" s="1"/>
  <c r="AQ36" i="23" s="1"/>
  <c r="AI20" i="23"/>
  <c r="I20" i="23"/>
  <c r="AQ19" i="23"/>
  <c r="AI19" i="23"/>
  <c r="AQ18" i="23"/>
  <c r="AI18" i="23"/>
  <c r="AJ18" i="23" s="1"/>
  <c r="I18" i="23"/>
  <c r="E18" i="23"/>
  <c r="AL18" i="23" s="1"/>
  <c r="AI17" i="23"/>
  <c r="AI16" i="23"/>
  <c r="AJ15" i="23"/>
  <c r="AI15" i="23"/>
  <c r="AQ14" i="23"/>
  <c r="AI14" i="23"/>
  <c r="I14" i="23"/>
  <c r="AQ13" i="23"/>
  <c r="B45" i="23" s="1"/>
  <c r="AQ32" i="23" s="1"/>
  <c r="AI13" i="23"/>
  <c r="AQ12" i="23"/>
  <c r="B44" i="23" s="1"/>
  <c r="AQ31" i="23" s="1"/>
  <c r="AI12" i="23"/>
  <c r="AJ12" i="23" s="1"/>
  <c r="AI11" i="23"/>
  <c r="AB11" i="23"/>
  <c r="AA11" i="23"/>
  <c r="Z11" i="23"/>
  <c r="AC11" i="23" s="1"/>
  <c r="Y11" i="23"/>
  <c r="AI10" i="23"/>
  <c r="AB10" i="23"/>
  <c r="AA10" i="23"/>
  <c r="AC10" i="23" s="1"/>
  <c r="AD8" i="23" s="1"/>
  <c r="AB36" i="23" s="1"/>
  <c r="Z10" i="23"/>
  <c r="Y10" i="23"/>
  <c r="AJ9" i="23"/>
  <c r="AI9" i="23"/>
  <c r="AB9" i="23"/>
  <c r="AA9" i="23"/>
  <c r="Z9" i="23"/>
  <c r="AC9" i="23" s="1"/>
  <c r="Y9" i="23"/>
  <c r="AQ8" i="23"/>
  <c r="B43" i="23" s="1"/>
  <c r="AQ30" i="23" s="1"/>
  <c r="AB8" i="23"/>
  <c r="AA8" i="23"/>
  <c r="Z8" i="23"/>
  <c r="AC8" i="23" s="1"/>
  <c r="Y8" i="23"/>
  <c r="AQ7" i="23"/>
  <c r="AQ6" i="23"/>
  <c r="B41" i="23" s="1"/>
  <c r="AQ28" i="23" s="1"/>
  <c r="AC30" i="22"/>
  <c r="AO179" i="22"/>
  <c r="AN179" i="22"/>
  <c r="AM179" i="22"/>
  <c r="AL179" i="22"/>
  <c r="AK179" i="22"/>
  <c r="AJ179" i="22"/>
  <c r="AI179" i="22"/>
  <c r="AH179" i="22"/>
  <c r="AG179" i="22"/>
  <c r="AF179" i="22"/>
  <c r="AE179" i="22"/>
  <c r="AD179" i="22"/>
  <c r="AC179" i="22"/>
  <c r="AB179" i="22"/>
  <c r="AA179" i="22"/>
  <c r="Z179" i="22"/>
  <c r="Y179" i="22"/>
  <c r="X179" i="22"/>
  <c r="W179" i="22"/>
  <c r="V179" i="22"/>
  <c r="AO178" i="22"/>
  <c r="AN178" i="22"/>
  <c r="AM178" i="22"/>
  <c r="AL178" i="22"/>
  <c r="AK178" i="22"/>
  <c r="AJ178" i="22"/>
  <c r="AI178" i="22"/>
  <c r="AH178" i="22"/>
  <c r="AG178" i="22"/>
  <c r="AF178" i="22"/>
  <c r="AE178" i="22"/>
  <c r="AD178" i="22"/>
  <c r="AC178" i="22"/>
  <c r="AB178" i="22"/>
  <c r="AA178" i="22"/>
  <c r="Z178" i="22"/>
  <c r="Y178" i="22"/>
  <c r="X178" i="22"/>
  <c r="W178" i="22"/>
  <c r="V178" i="22"/>
  <c r="AO177" i="22"/>
  <c r="AN177" i="22"/>
  <c r="AM177" i="22"/>
  <c r="AL177" i="22"/>
  <c r="AK177" i="22"/>
  <c r="AJ177" i="22"/>
  <c r="AI177" i="22"/>
  <c r="AH177" i="22"/>
  <c r="AG177" i="22"/>
  <c r="AF177" i="22"/>
  <c r="AE177" i="22"/>
  <c r="AD177" i="22"/>
  <c r="AC177" i="22"/>
  <c r="AB177" i="22"/>
  <c r="AA177" i="22"/>
  <c r="Z177" i="22"/>
  <c r="Y177" i="22"/>
  <c r="X177" i="22"/>
  <c r="W177" i="22"/>
  <c r="V177" i="22"/>
  <c r="AO176" i="22"/>
  <c r="AN176" i="22"/>
  <c r="AM176" i="22"/>
  <c r="AL176" i="22"/>
  <c r="AK176" i="22"/>
  <c r="AJ176" i="22"/>
  <c r="AI176" i="22"/>
  <c r="AH176" i="22"/>
  <c r="AG176" i="22"/>
  <c r="AF176" i="22"/>
  <c r="AE176" i="22"/>
  <c r="AD176" i="22"/>
  <c r="AC176" i="22"/>
  <c r="AB176" i="22"/>
  <c r="AA176" i="22"/>
  <c r="Z176" i="22"/>
  <c r="Y176" i="22"/>
  <c r="X176" i="22"/>
  <c r="W176" i="22"/>
  <c r="V176" i="22"/>
  <c r="AO175" i="22"/>
  <c r="AN175" i="22"/>
  <c r="AM175" i="22"/>
  <c r="AL175" i="22"/>
  <c r="AK175" i="22"/>
  <c r="AJ175" i="22"/>
  <c r="AI175" i="22"/>
  <c r="AH175" i="22"/>
  <c r="AG175" i="22"/>
  <c r="AF175" i="22"/>
  <c r="AE175" i="22"/>
  <c r="AD175" i="22"/>
  <c r="AC175" i="22"/>
  <c r="AB175" i="22"/>
  <c r="AA175" i="22"/>
  <c r="Z175" i="22"/>
  <c r="Y175" i="22"/>
  <c r="X175" i="22"/>
  <c r="W175" i="22"/>
  <c r="V175" i="22"/>
  <c r="AO174" i="22"/>
  <c r="AN174" i="22"/>
  <c r="AM174" i="22"/>
  <c r="AL174" i="22"/>
  <c r="AK174" i="22"/>
  <c r="AJ174" i="22"/>
  <c r="AI174" i="22"/>
  <c r="AH174" i="22"/>
  <c r="AG174" i="22"/>
  <c r="AF174" i="22"/>
  <c r="AE174" i="22"/>
  <c r="AD174" i="22"/>
  <c r="AC174" i="22"/>
  <c r="AB174" i="22"/>
  <c r="AA174" i="22"/>
  <c r="Z174" i="22"/>
  <c r="Y174" i="22"/>
  <c r="X174" i="22"/>
  <c r="W174" i="22"/>
  <c r="V174" i="22"/>
  <c r="AO173" i="22"/>
  <c r="AN173" i="22"/>
  <c r="AM173" i="22"/>
  <c r="AL173" i="22"/>
  <c r="AK173" i="22"/>
  <c r="AJ173" i="22"/>
  <c r="AI173" i="22"/>
  <c r="AH173" i="22"/>
  <c r="AG173" i="22"/>
  <c r="AF173" i="22"/>
  <c r="AE173" i="22"/>
  <c r="AD173" i="22"/>
  <c r="AC173" i="22"/>
  <c r="AB173" i="22"/>
  <c r="AA173" i="22"/>
  <c r="Z173" i="22"/>
  <c r="Y173" i="22"/>
  <c r="X173" i="22"/>
  <c r="W173" i="22"/>
  <c r="V173" i="22"/>
  <c r="AO172" i="22"/>
  <c r="AN172" i="22"/>
  <c r="AM172" i="22"/>
  <c r="AL172" i="22"/>
  <c r="AK172" i="22"/>
  <c r="AJ172" i="22"/>
  <c r="AI172" i="22"/>
  <c r="AH172" i="22"/>
  <c r="AG172" i="22"/>
  <c r="AF172" i="22"/>
  <c r="AE172" i="22"/>
  <c r="AD172" i="22"/>
  <c r="AC172" i="22"/>
  <c r="AB172" i="22"/>
  <c r="AA172" i="22"/>
  <c r="Z172" i="22"/>
  <c r="Y172" i="22"/>
  <c r="X172" i="22"/>
  <c r="W172" i="22"/>
  <c r="V172" i="22"/>
  <c r="AO171" i="22"/>
  <c r="AN171" i="22"/>
  <c r="AM171" i="22"/>
  <c r="AL171" i="22"/>
  <c r="AK171" i="22"/>
  <c r="AJ171" i="22"/>
  <c r="AI171" i="22"/>
  <c r="AH171" i="22"/>
  <c r="AG171" i="22"/>
  <c r="AF171" i="22"/>
  <c r="AE171" i="22"/>
  <c r="AD171" i="22"/>
  <c r="AC171" i="22"/>
  <c r="AB171" i="22"/>
  <c r="AA171" i="22"/>
  <c r="Z171" i="22"/>
  <c r="Y171" i="22"/>
  <c r="X171" i="22"/>
  <c r="W171" i="22"/>
  <c r="V171" i="22"/>
  <c r="AO170" i="22"/>
  <c r="AN170" i="22"/>
  <c r="AM170" i="22"/>
  <c r="AL170" i="22"/>
  <c r="AK170" i="22"/>
  <c r="AJ170" i="22"/>
  <c r="AI170" i="22"/>
  <c r="AH170" i="22"/>
  <c r="AG170" i="22"/>
  <c r="AF170" i="22"/>
  <c r="AE170" i="22"/>
  <c r="AD170" i="22"/>
  <c r="AC170" i="22"/>
  <c r="AB170" i="22"/>
  <c r="AA170" i="22"/>
  <c r="Z170" i="22"/>
  <c r="Y170" i="22"/>
  <c r="X170" i="22"/>
  <c r="W170" i="22"/>
  <c r="V170" i="22"/>
  <c r="AO169" i="22"/>
  <c r="AN169" i="22"/>
  <c r="AM169" i="22"/>
  <c r="AL169" i="22"/>
  <c r="AK169" i="22"/>
  <c r="AJ169" i="22"/>
  <c r="AI169" i="22"/>
  <c r="AH169" i="22"/>
  <c r="AG169" i="22"/>
  <c r="AF169" i="22"/>
  <c r="AE169" i="22"/>
  <c r="AD169" i="22"/>
  <c r="AC169" i="22"/>
  <c r="AB169" i="22"/>
  <c r="AA169" i="22"/>
  <c r="Z169" i="22"/>
  <c r="Y169" i="22"/>
  <c r="X169" i="22"/>
  <c r="W169" i="22"/>
  <c r="V169" i="22"/>
  <c r="AO168" i="22"/>
  <c r="AN168" i="22"/>
  <c r="AM168" i="22"/>
  <c r="AL168" i="22"/>
  <c r="X95" i="22" s="1"/>
  <c r="AK168" i="22"/>
  <c r="AJ168" i="22"/>
  <c r="AI168" i="22"/>
  <c r="AH168" i="22"/>
  <c r="AG168" i="22"/>
  <c r="AF168" i="22"/>
  <c r="AE168" i="22"/>
  <c r="AD168" i="22"/>
  <c r="AD95" i="22" s="1"/>
  <c r="AC168" i="22"/>
  <c r="AC95" i="22" s="1"/>
  <c r="AB168" i="22"/>
  <c r="AA168" i="22"/>
  <c r="AA95" i="22" s="1"/>
  <c r="Z168" i="22"/>
  <c r="Z95" i="22" s="1"/>
  <c r="Y168" i="22"/>
  <c r="Y95" i="22" s="1"/>
  <c r="X168" i="22"/>
  <c r="W168" i="22"/>
  <c r="W95" i="22" s="1"/>
  <c r="V168" i="22"/>
  <c r="V95" i="22" s="1"/>
  <c r="AO167" i="22"/>
  <c r="AN167" i="22"/>
  <c r="AM167" i="22"/>
  <c r="AL167" i="22"/>
  <c r="X94" i="22" s="1"/>
  <c r="AK167" i="22"/>
  <c r="AJ167" i="22"/>
  <c r="AI167" i="22"/>
  <c r="AH167" i="22"/>
  <c r="AG167" i="22"/>
  <c r="AF167" i="22"/>
  <c r="AE167" i="22"/>
  <c r="AD167" i="22"/>
  <c r="AD94" i="22" s="1"/>
  <c r="AC167" i="22"/>
  <c r="AB167" i="22"/>
  <c r="AA167" i="22"/>
  <c r="Z167" i="22"/>
  <c r="Z94" i="22" s="1"/>
  <c r="Y167" i="22"/>
  <c r="Y94" i="22" s="1"/>
  <c r="X167" i="22"/>
  <c r="W167" i="22"/>
  <c r="V167" i="22"/>
  <c r="V94" i="22" s="1"/>
  <c r="AO166" i="22"/>
  <c r="AN166" i="22"/>
  <c r="AM166" i="22"/>
  <c r="AL166" i="22"/>
  <c r="X93" i="22" s="1"/>
  <c r="AK166" i="22"/>
  <c r="AJ166" i="22"/>
  <c r="AI166" i="22"/>
  <c r="AH166" i="22"/>
  <c r="AG166" i="22"/>
  <c r="AF166" i="22"/>
  <c r="AE166" i="22"/>
  <c r="AD166" i="22"/>
  <c r="AD93" i="22" s="1"/>
  <c r="AC166" i="22"/>
  <c r="AC93" i="22" s="1"/>
  <c r="AB166" i="22"/>
  <c r="AB93" i="22" s="1"/>
  <c r="AA166" i="22"/>
  <c r="AA93" i="22" s="1"/>
  <c r="Z166" i="22"/>
  <c r="Z93" i="22" s="1"/>
  <c r="Y166" i="22"/>
  <c r="X166" i="22"/>
  <c r="W166" i="22"/>
  <c r="W93" i="22" s="1"/>
  <c r="V166" i="22"/>
  <c r="V93" i="22" s="1"/>
  <c r="AO165" i="22"/>
  <c r="AN165" i="22"/>
  <c r="AM165" i="22"/>
  <c r="AL165" i="22"/>
  <c r="AK165" i="22"/>
  <c r="AJ165" i="22"/>
  <c r="AI165" i="22"/>
  <c r="AH165" i="22"/>
  <c r="AG165" i="22"/>
  <c r="AF165" i="22"/>
  <c r="AE165" i="22"/>
  <c r="AD165" i="22"/>
  <c r="AD92" i="22" s="1"/>
  <c r="AC165" i="22"/>
  <c r="AC92" i="22" s="1"/>
  <c r="AB165" i="22"/>
  <c r="AA165" i="22"/>
  <c r="AA92" i="22" s="1"/>
  <c r="Z165" i="22"/>
  <c r="Z92" i="22" s="1"/>
  <c r="Y165" i="22"/>
  <c r="Y92" i="22" s="1"/>
  <c r="X165" i="22"/>
  <c r="W165" i="22"/>
  <c r="W92" i="22" s="1"/>
  <c r="V165" i="22"/>
  <c r="V92" i="22" s="1"/>
  <c r="AO164" i="22"/>
  <c r="AN164" i="22"/>
  <c r="AM164" i="22"/>
  <c r="AL164" i="22"/>
  <c r="X91" i="22" s="1"/>
  <c r="AK164" i="22"/>
  <c r="AJ164" i="22"/>
  <c r="AI164" i="22"/>
  <c r="AH164" i="22"/>
  <c r="AG164" i="22"/>
  <c r="AF164" i="22"/>
  <c r="AE164" i="22"/>
  <c r="AD164" i="22"/>
  <c r="AD91" i="22" s="1"/>
  <c r="AC164" i="22"/>
  <c r="AC91" i="22" s="1"/>
  <c r="AB164" i="22"/>
  <c r="AA164" i="22"/>
  <c r="AA91" i="22" s="1"/>
  <c r="Z164" i="22"/>
  <c r="Z91" i="22" s="1"/>
  <c r="Y164" i="22"/>
  <c r="Y91" i="22" s="1"/>
  <c r="X164" i="22"/>
  <c r="W164" i="22"/>
  <c r="W91" i="22" s="1"/>
  <c r="V164" i="22"/>
  <c r="V91" i="22" s="1"/>
  <c r="AO163" i="22"/>
  <c r="AN163" i="22"/>
  <c r="AM163" i="22"/>
  <c r="AL163" i="22"/>
  <c r="X90" i="22" s="1"/>
  <c r="AK163" i="22"/>
  <c r="AJ163" i="22"/>
  <c r="AI163" i="22"/>
  <c r="AH163" i="22"/>
  <c r="AG163" i="22"/>
  <c r="AF163" i="22"/>
  <c r="AE163" i="22"/>
  <c r="AD163" i="22"/>
  <c r="AD90" i="22" s="1"/>
  <c r="AC163" i="22"/>
  <c r="AB163" i="22"/>
  <c r="AB90" i="22" s="1"/>
  <c r="AA163" i="22"/>
  <c r="AA90" i="22" s="1"/>
  <c r="Z163" i="22"/>
  <c r="Z90" i="22" s="1"/>
  <c r="Y163" i="22"/>
  <c r="X163" i="22"/>
  <c r="W163" i="22"/>
  <c r="W90" i="22" s="1"/>
  <c r="V163" i="22"/>
  <c r="V90" i="22" s="1"/>
  <c r="AO162" i="22"/>
  <c r="AN162" i="22"/>
  <c r="AM162" i="22"/>
  <c r="AL162" i="22"/>
  <c r="X89" i="22" s="1"/>
  <c r="AK162" i="22"/>
  <c r="AJ162" i="22"/>
  <c r="AI162" i="22"/>
  <c r="AH162" i="22"/>
  <c r="AG162" i="22"/>
  <c r="AF162" i="22"/>
  <c r="AE162" i="22"/>
  <c r="AD162" i="22"/>
  <c r="AD89" i="22" s="1"/>
  <c r="AC162" i="22"/>
  <c r="AB162" i="22"/>
  <c r="AB89" i="22" s="1"/>
  <c r="AA162" i="22"/>
  <c r="AA89" i="22" s="1"/>
  <c r="Z162" i="22"/>
  <c r="Z89" i="22" s="1"/>
  <c r="Y162" i="22"/>
  <c r="X162" i="22"/>
  <c r="W162" i="22"/>
  <c r="W89" i="22" s="1"/>
  <c r="V162" i="22"/>
  <c r="V89" i="22" s="1"/>
  <c r="AO161" i="22"/>
  <c r="AN161" i="22"/>
  <c r="AM161" i="22"/>
  <c r="AL161" i="22"/>
  <c r="X88" i="22" s="1"/>
  <c r="AK161" i="22"/>
  <c r="AJ161" i="22"/>
  <c r="AI161" i="22"/>
  <c r="AH161" i="22"/>
  <c r="AG161" i="22"/>
  <c r="AF161" i="22"/>
  <c r="AE161" i="22"/>
  <c r="AD161" i="22"/>
  <c r="AD88" i="22" s="1"/>
  <c r="AC161" i="22"/>
  <c r="AB161" i="22"/>
  <c r="AA161" i="22"/>
  <c r="AA88" i="22" s="1"/>
  <c r="Z161" i="22"/>
  <c r="Z88" i="22" s="1"/>
  <c r="Y161" i="22"/>
  <c r="X161" i="22"/>
  <c r="W161" i="22"/>
  <c r="W88" i="22" s="1"/>
  <c r="V161" i="22"/>
  <c r="V88" i="22" s="1"/>
  <c r="AO160" i="22"/>
  <c r="AN160" i="22"/>
  <c r="AM160" i="22"/>
  <c r="AL160" i="22"/>
  <c r="X87" i="22" s="1"/>
  <c r="AK160" i="22"/>
  <c r="AJ160" i="22"/>
  <c r="AI160" i="22"/>
  <c r="AH160" i="22"/>
  <c r="AG160" i="22"/>
  <c r="AF160" i="22"/>
  <c r="AE160" i="22"/>
  <c r="AD160" i="22"/>
  <c r="AD87" i="22" s="1"/>
  <c r="AC160" i="22"/>
  <c r="AC87" i="22" s="1"/>
  <c r="AB160" i="22"/>
  <c r="AA160" i="22"/>
  <c r="AA87" i="22" s="1"/>
  <c r="Z160" i="22"/>
  <c r="Z87" i="22" s="1"/>
  <c r="Y160" i="22"/>
  <c r="X160" i="22"/>
  <c r="W160" i="22"/>
  <c r="W87" i="22" s="1"/>
  <c r="V160" i="22"/>
  <c r="V87" i="22" s="1"/>
  <c r="AO159" i="22"/>
  <c r="AN159" i="22"/>
  <c r="AM159" i="22"/>
  <c r="AL159" i="22"/>
  <c r="AK159" i="22"/>
  <c r="AJ159" i="22"/>
  <c r="AI159" i="22"/>
  <c r="AH159" i="22"/>
  <c r="AG159" i="22"/>
  <c r="AF159" i="22"/>
  <c r="AE159" i="22"/>
  <c r="AD159" i="22"/>
  <c r="AC159" i="22"/>
  <c r="AB159" i="22"/>
  <c r="AA159" i="22"/>
  <c r="Z159" i="22"/>
  <c r="Y159" i="22"/>
  <c r="X159" i="22"/>
  <c r="W159" i="22"/>
  <c r="V159" i="22"/>
  <c r="AO158" i="22"/>
  <c r="AN158" i="22"/>
  <c r="AM158" i="22"/>
  <c r="AL158" i="22"/>
  <c r="AK158" i="22"/>
  <c r="AJ158" i="22"/>
  <c r="AI158" i="22"/>
  <c r="AH158" i="22"/>
  <c r="AG158" i="22"/>
  <c r="AF158" i="22"/>
  <c r="AE158" i="22"/>
  <c r="AD158" i="22"/>
  <c r="AC158" i="22"/>
  <c r="AB158" i="22"/>
  <c r="AA158" i="22"/>
  <c r="Z158" i="22"/>
  <c r="Y158" i="22"/>
  <c r="X158" i="22"/>
  <c r="W158" i="22"/>
  <c r="V158" i="22"/>
  <c r="AO157" i="22"/>
  <c r="AN157" i="22"/>
  <c r="AM157" i="22"/>
  <c r="AL157" i="22"/>
  <c r="AK157" i="22"/>
  <c r="AJ157" i="22"/>
  <c r="AI157" i="22"/>
  <c r="AH157" i="22"/>
  <c r="AG157" i="22"/>
  <c r="AF157" i="22"/>
  <c r="AE157" i="22"/>
  <c r="AD157" i="22"/>
  <c r="AC157" i="22"/>
  <c r="AB157" i="22"/>
  <c r="AA157" i="22"/>
  <c r="Z157" i="22"/>
  <c r="Y157" i="22"/>
  <c r="X157" i="22"/>
  <c r="W157" i="22"/>
  <c r="V157" i="22"/>
  <c r="AO156" i="22"/>
  <c r="AN156" i="22"/>
  <c r="AM156" i="22"/>
  <c r="AL156" i="22"/>
  <c r="AK156" i="22"/>
  <c r="AJ156" i="22"/>
  <c r="AI156" i="22"/>
  <c r="AH156" i="22"/>
  <c r="AG156" i="22"/>
  <c r="AF156" i="22"/>
  <c r="AE156" i="22"/>
  <c r="AD156" i="22"/>
  <c r="AC156" i="22"/>
  <c r="AB156" i="22"/>
  <c r="AA156" i="22"/>
  <c r="Z156" i="22"/>
  <c r="Y156" i="22"/>
  <c r="X156" i="22"/>
  <c r="W156" i="22"/>
  <c r="V156" i="22"/>
  <c r="AO155" i="22"/>
  <c r="AN155" i="22"/>
  <c r="AM155" i="22"/>
  <c r="AL155" i="22"/>
  <c r="AK155" i="22"/>
  <c r="AJ155" i="22"/>
  <c r="AI155" i="22"/>
  <c r="AH155" i="22"/>
  <c r="AG155" i="22"/>
  <c r="AF155" i="22"/>
  <c r="AE155" i="22"/>
  <c r="AD155" i="22"/>
  <c r="AC155" i="22"/>
  <c r="AB155" i="22"/>
  <c r="AA155" i="22"/>
  <c r="Z155" i="22"/>
  <c r="Y155" i="22"/>
  <c r="X155" i="22"/>
  <c r="W155" i="22"/>
  <c r="V155" i="22"/>
  <c r="AO154" i="22"/>
  <c r="AN154" i="22"/>
  <c r="AM154" i="22"/>
  <c r="AL154" i="22"/>
  <c r="AK154" i="22"/>
  <c r="AJ154" i="22"/>
  <c r="AI154" i="22"/>
  <c r="AH154" i="22"/>
  <c r="AG154" i="22"/>
  <c r="AF154" i="22"/>
  <c r="AE154" i="22"/>
  <c r="AD154" i="22"/>
  <c r="AC154" i="22"/>
  <c r="AB154" i="22"/>
  <c r="AA154" i="22"/>
  <c r="Z154" i="22"/>
  <c r="Y154" i="22"/>
  <c r="X154" i="22"/>
  <c r="W154" i="22"/>
  <c r="V154" i="22"/>
  <c r="AO153" i="22"/>
  <c r="AN153" i="22"/>
  <c r="AM153" i="22"/>
  <c r="AL153" i="22"/>
  <c r="AK153" i="22"/>
  <c r="AJ153" i="22"/>
  <c r="AI153" i="22"/>
  <c r="AH153" i="22"/>
  <c r="AG153" i="22"/>
  <c r="AF153" i="22"/>
  <c r="AE153" i="22"/>
  <c r="AD153" i="22"/>
  <c r="AC153" i="22"/>
  <c r="AB153" i="22"/>
  <c r="AA153" i="22"/>
  <c r="Z153" i="22"/>
  <c r="Y153" i="22"/>
  <c r="X153" i="22"/>
  <c r="W153" i="22"/>
  <c r="V153" i="22"/>
  <c r="AO152" i="22"/>
  <c r="AN152" i="22"/>
  <c r="AM152" i="22"/>
  <c r="AL152" i="22"/>
  <c r="AK152" i="22"/>
  <c r="AJ152" i="22"/>
  <c r="AI152" i="22"/>
  <c r="AH152" i="22"/>
  <c r="AG152" i="22"/>
  <c r="AF152" i="22"/>
  <c r="AE152" i="22"/>
  <c r="AD152" i="22"/>
  <c r="AC152" i="22"/>
  <c r="AB152" i="22"/>
  <c r="AA152" i="22"/>
  <c r="Z152" i="22"/>
  <c r="Y152" i="22"/>
  <c r="X152" i="22"/>
  <c r="W152" i="22"/>
  <c r="V152" i="22"/>
  <c r="AO151" i="22"/>
  <c r="AN151" i="22"/>
  <c r="AM151" i="22"/>
  <c r="AL151" i="22"/>
  <c r="AK151" i="22"/>
  <c r="AJ151" i="22"/>
  <c r="AI151" i="22"/>
  <c r="AH151" i="22"/>
  <c r="AG151" i="22"/>
  <c r="AF151" i="22"/>
  <c r="AE151" i="22"/>
  <c r="AD151" i="22"/>
  <c r="AC151" i="22"/>
  <c r="AB151" i="22"/>
  <c r="AA151" i="22"/>
  <c r="Z151" i="22"/>
  <c r="Y151" i="22"/>
  <c r="X151" i="22"/>
  <c r="W151" i="22"/>
  <c r="V151" i="22"/>
  <c r="AO150" i="22"/>
  <c r="AN150" i="22"/>
  <c r="AM150" i="22"/>
  <c r="AL150" i="22"/>
  <c r="AK150" i="22"/>
  <c r="AJ150" i="22"/>
  <c r="AI150" i="22"/>
  <c r="AH150" i="22"/>
  <c r="AG150" i="22"/>
  <c r="AF150" i="22"/>
  <c r="AE150" i="22"/>
  <c r="AD150" i="22"/>
  <c r="AC150" i="22"/>
  <c r="AB150" i="22"/>
  <c r="AA150" i="22"/>
  <c r="Z150" i="22"/>
  <c r="Y150" i="22"/>
  <c r="X150" i="22"/>
  <c r="W150" i="22"/>
  <c r="V150" i="22"/>
  <c r="AO149" i="22"/>
  <c r="AN149" i="22"/>
  <c r="AM149" i="22"/>
  <c r="AL149" i="22"/>
  <c r="AK149" i="22"/>
  <c r="AJ149" i="22"/>
  <c r="AI149" i="22"/>
  <c r="AH149" i="22"/>
  <c r="AG149" i="22"/>
  <c r="AF149" i="22"/>
  <c r="AE149" i="22"/>
  <c r="AD149" i="22"/>
  <c r="AC149" i="22"/>
  <c r="AB149" i="22"/>
  <c r="AA149" i="22"/>
  <c r="Z149" i="22"/>
  <c r="Y149" i="22"/>
  <c r="X149" i="22"/>
  <c r="W149" i="22"/>
  <c r="V149" i="22"/>
  <c r="AO148" i="22"/>
  <c r="AN148" i="22"/>
  <c r="AM148" i="22"/>
  <c r="AL148" i="22"/>
  <c r="AK148" i="22"/>
  <c r="AJ148" i="22"/>
  <c r="AI148" i="22"/>
  <c r="AH148" i="22"/>
  <c r="AG148" i="22"/>
  <c r="AF148" i="22"/>
  <c r="AE148" i="22"/>
  <c r="AD148" i="22"/>
  <c r="AC148" i="22"/>
  <c r="AB148" i="22"/>
  <c r="AA148" i="22"/>
  <c r="Z148" i="22"/>
  <c r="Y148" i="22"/>
  <c r="X148" i="22"/>
  <c r="W148" i="22"/>
  <c r="V148" i="22"/>
  <c r="AO147" i="22"/>
  <c r="AN147" i="22"/>
  <c r="AM147" i="22"/>
  <c r="AL147" i="22"/>
  <c r="AK147" i="22"/>
  <c r="AJ147" i="22"/>
  <c r="AI147" i="22"/>
  <c r="AH147" i="22"/>
  <c r="AG147" i="22"/>
  <c r="AF147" i="22"/>
  <c r="AE147" i="22"/>
  <c r="AD147" i="22"/>
  <c r="AC147" i="22"/>
  <c r="AB147" i="22"/>
  <c r="AA147" i="22"/>
  <c r="Z147" i="22"/>
  <c r="Y147" i="22"/>
  <c r="X147" i="22"/>
  <c r="W147" i="22"/>
  <c r="V147" i="22"/>
  <c r="AO146" i="22"/>
  <c r="AN146" i="22"/>
  <c r="AM146" i="22"/>
  <c r="AL146" i="22"/>
  <c r="AK146" i="22"/>
  <c r="AJ146" i="22"/>
  <c r="AI146" i="22"/>
  <c r="AH146" i="22"/>
  <c r="AG146" i="22"/>
  <c r="AF146" i="22"/>
  <c r="AE146" i="22"/>
  <c r="AD146" i="22"/>
  <c r="AC146" i="22"/>
  <c r="AB146" i="22"/>
  <c r="AA146" i="22"/>
  <c r="Z146" i="22"/>
  <c r="Y146" i="22"/>
  <c r="X146" i="22"/>
  <c r="W146" i="22"/>
  <c r="V146" i="22"/>
  <c r="AO145" i="22"/>
  <c r="AN145" i="22"/>
  <c r="AM145" i="22"/>
  <c r="AL145" i="22"/>
  <c r="AK145" i="22"/>
  <c r="AJ145" i="22"/>
  <c r="AI145" i="22"/>
  <c r="AH145" i="22"/>
  <c r="AG145" i="22"/>
  <c r="AF145" i="22"/>
  <c r="AE145" i="22"/>
  <c r="AD145" i="22"/>
  <c r="AC145" i="22"/>
  <c r="AB145" i="22"/>
  <c r="AA145" i="22"/>
  <c r="Z145" i="22"/>
  <c r="Y145" i="22"/>
  <c r="X145" i="22"/>
  <c r="W145" i="22"/>
  <c r="V145" i="22"/>
  <c r="AO144" i="22"/>
  <c r="AN144" i="22"/>
  <c r="AM144" i="22"/>
  <c r="AL144" i="22"/>
  <c r="AK144" i="22"/>
  <c r="AJ144" i="22"/>
  <c r="AI144" i="22"/>
  <c r="AH144" i="22"/>
  <c r="AG144" i="22"/>
  <c r="AF144" i="22"/>
  <c r="AE144" i="22"/>
  <c r="AD144" i="22"/>
  <c r="AC144" i="22"/>
  <c r="AB144" i="22"/>
  <c r="AA144" i="22"/>
  <c r="Z144" i="22"/>
  <c r="Y144" i="22"/>
  <c r="X144" i="22"/>
  <c r="W144" i="22"/>
  <c r="V144" i="22"/>
  <c r="AO143" i="22"/>
  <c r="AN143" i="22"/>
  <c r="AM143" i="22"/>
  <c r="AL143" i="22"/>
  <c r="AK143" i="22"/>
  <c r="AJ143" i="22"/>
  <c r="AI143" i="22"/>
  <c r="AH143" i="22"/>
  <c r="AG143" i="22"/>
  <c r="AF143" i="22"/>
  <c r="AE143" i="22"/>
  <c r="AD143" i="22"/>
  <c r="AC143" i="22"/>
  <c r="AB143" i="22"/>
  <c r="AA143" i="22"/>
  <c r="Z143" i="22"/>
  <c r="Y143" i="22"/>
  <c r="X143" i="22"/>
  <c r="W143" i="22"/>
  <c r="V143" i="22"/>
  <c r="AO142" i="22"/>
  <c r="AN142" i="22"/>
  <c r="AM142" i="22"/>
  <c r="AL142" i="22"/>
  <c r="AK142" i="22"/>
  <c r="AJ142" i="22"/>
  <c r="AI142" i="22"/>
  <c r="AH142" i="22"/>
  <c r="AG142" i="22"/>
  <c r="AF142" i="22"/>
  <c r="AE142" i="22"/>
  <c r="AD142" i="22"/>
  <c r="AC142" i="22"/>
  <c r="AB142" i="22"/>
  <c r="AA142" i="22"/>
  <c r="Z142" i="22"/>
  <c r="Y142" i="22"/>
  <c r="X142" i="22"/>
  <c r="W142" i="22"/>
  <c r="V142" i="22"/>
  <c r="AO141" i="22"/>
  <c r="AN141" i="22"/>
  <c r="AM141" i="22"/>
  <c r="AL141" i="22"/>
  <c r="AK141" i="22"/>
  <c r="AJ141" i="22"/>
  <c r="AI141" i="22"/>
  <c r="AH141" i="22"/>
  <c r="AG141" i="22"/>
  <c r="AF141" i="22"/>
  <c r="AE141" i="22"/>
  <c r="AD141" i="22"/>
  <c r="AC141" i="22"/>
  <c r="AB141" i="22"/>
  <c r="AA141" i="22"/>
  <c r="Z141" i="22"/>
  <c r="Y141" i="22"/>
  <c r="X141" i="22"/>
  <c r="W141" i="22"/>
  <c r="V141" i="22"/>
  <c r="AO140" i="22"/>
  <c r="AN140" i="22"/>
  <c r="AM140" i="22"/>
  <c r="AL140" i="22"/>
  <c r="AK140" i="22"/>
  <c r="AJ140" i="22"/>
  <c r="AI140" i="22"/>
  <c r="AH140" i="22"/>
  <c r="AG140" i="22"/>
  <c r="AF140" i="22"/>
  <c r="AE140" i="22"/>
  <c r="AD140" i="22"/>
  <c r="AC140" i="22"/>
  <c r="AB140" i="22"/>
  <c r="AA140" i="22"/>
  <c r="Z140" i="22"/>
  <c r="Y140" i="22"/>
  <c r="X140" i="22"/>
  <c r="W140" i="22"/>
  <c r="V140" i="22"/>
  <c r="AO139" i="22"/>
  <c r="AN139" i="22"/>
  <c r="AM139" i="22"/>
  <c r="AL139" i="22"/>
  <c r="AK139" i="22"/>
  <c r="AJ139" i="22"/>
  <c r="AI139" i="22"/>
  <c r="AH139" i="22"/>
  <c r="AG139" i="22"/>
  <c r="AF139" i="22"/>
  <c r="AE139" i="22"/>
  <c r="AD139" i="22"/>
  <c r="AC139" i="22"/>
  <c r="AB139" i="22"/>
  <c r="AA139" i="22"/>
  <c r="Z139" i="22"/>
  <c r="Y139" i="22"/>
  <c r="X139" i="22"/>
  <c r="W139" i="22"/>
  <c r="V139" i="22"/>
  <c r="AO138" i="22"/>
  <c r="AN138" i="22"/>
  <c r="AM138" i="22"/>
  <c r="AL138" i="22"/>
  <c r="AK138" i="22"/>
  <c r="AJ138" i="22"/>
  <c r="AI138" i="22"/>
  <c r="AH138" i="22"/>
  <c r="AG138" i="22"/>
  <c r="AF138" i="22"/>
  <c r="AE138" i="22"/>
  <c r="AD138" i="22"/>
  <c r="AC138" i="22"/>
  <c r="AB138" i="22"/>
  <c r="AA138" i="22"/>
  <c r="Z138" i="22"/>
  <c r="Y138" i="22"/>
  <c r="X138" i="22"/>
  <c r="W138" i="22"/>
  <c r="V138" i="22"/>
  <c r="AO137" i="22"/>
  <c r="AN137" i="22"/>
  <c r="AM137" i="22"/>
  <c r="AL137" i="22"/>
  <c r="AK137" i="22"/>
  <c r="AJ137" i="22"/>
  <c r="AI137" i="22"/>
  <c r="AH137" i="22"/>
  <c r="AG137" i="22"/>
  <c r="AF137" i="22"/>
  <c r="AE137" i="22"/>
  <c r="AD137" i="22"/>
  <c r="AC137" i="22"/>
  <c r="AB137" i="22"/>
  <c r="AA137" i="22"/>
  <c r="Z137" i="22"/>
  <c r="Y137" i="22"/>
  <c r="X137" i="22"/>
  <c r="W137" i="22"/>
  <c r="V137" i="22"/>
  <c r="AO136" i="22"/>
  <c r="AN136" i="22"/>
  <c r="AM136" i="22"/>
  <c r="AL136" i="22"/>
  <c r="AK136" i="22"/>
  <c r="AJ136" i="22"/>
  <c r="AI136" i="22"/>
  <c r="AH136" i="22"/>
  <c r="AG136" i="22"/>
  <c r="AF136" i="22"/>
  <c r="AE136" i="22"/>
  <c r="AD136" i="22"/>
  <c r="AC136" i="22"/>
  <c r="AB136" i="22"/>
  <c r="AA136" i="22"/>
  <c r="Z136" i="22"/>
  <c r="Y136" i="22"/>
  <c r="X136" i="22"/>
  <c r="W136" i="22"/>
  <c r="V136" i="22"/>
  <c r="AO135" i="22"/>
  <c r="AN135" i="22"/>
  <c r="AM135" i="22"/>
  <c r="AL135" i="22"/>
  <c r="AK135" i="22"/>
  <c r="AJ135" i="22"/>
  <c r="AI135" i="22"/>
  <c r="AH135" i="22"/>
  <c r="AG135" i="22"/>
  <c r="AF135" i="22"/>
  <c r="AE135" i="22"/>
  <c r="AD135" i="22"/>
  <c r="AC135" i="22"/>
  <c r="AB135" i="22"/>
  <c r="AA135" i="22"/>
  <c r="Z135" i="22"/>
  <c r="Y135" i="22"/>
  <c r="X135" i="22"/>
  <c r="W135" i="22"/>
  <c r="V135" i="22"/>
  <c r="AO134" i="22"/>
  <c r="AN134" i="22"/>
  <c r="AM134" i="22"/>
  <c r="AL134" i="22"/>
  <c r="AK134" i="22"/>
  <c r="AJ134" i="22"/>
  <c r="AI134" i="22"/>
  <c r="AH134" i="22"/>
  <c r="AG134" i="22"/>
  <c r="AF134" i="22"/>
  <c r="AE134" i="22"/>
  <c r="AD134" i="22"/>
  <c r="AC134" i="22"/>
  <c r="AB134" i="22"/>
  <c r="AA134" i="22"/>
  <c r="Z134" i="22"/>
  <c r="Y134" i="22"/>
  <c r="X134" i="22"/>
  <c r="W134" i="22"/>
  <c r="V134" i="22"/>
  <c r="AO133" i="22"/>
  <c r="AN133" i="22"/>
  <c r="AM133" i="22"/>
  <c r="AL133" i="22"/>
  <c r="AK133" i="22"/>
  <c r="AJ133" i="22"/>
  <c r="AI133" i="22"/>
  <c r="AH133" i="22"/>
  <c r="AG133" i="22"/>
  <c r="AF133" i="22"/>
  <c r="AE133" i="22"/>
  <c r="AD133" i="22"/>
  <c r="AC133" i="22"/>
  <c r="AB133" i="22"/>
  <c r="AA133" i="22"/>
  <c r="Z133" i="22"/>
  <c r="Y133" i="22"/>
  <c r="X133" i="22"/>
  <c r="W133" i="22"/>
  <c r="V133" i="22"/>
  <c r="AO132" i="22"/>
  <c r="AN132" i="22"/>
  <c r="AM132" i="22"/>
  <c r="AL132" i="22"/>
  <c r="AK132" i="22"/>
  <c r="AJ132" i="22"/>
  <c r="AI132" i="22"/>
  <c r="AH132" i="22"/>
  <c r="AG132" i="22"/>
  <c r="AF132" i="22"/>
  <c r="AE132" i="22"/>
  <c r="AD132" i="22"/>
  <c r="AC132" i="22"/>
  <c r="AB132" i="22"/>
  <c r="AA132" i="22"/>
  <c r="Z132" i="22"/>
  <c r="Y132" i="22"/>
  <c r="X132" i="22"/>
  <c r="W132" i="22"/>
  <c r="V132" i="22"/>
  <c r="AO131" i="22"/>
  <c r="AN131" i="22"/>
  <c r="AM131" i="22"/>
  <c r="AL131" i="22"/>
  <c r="AK131" i="22"/>
  <c r="AJ131" i="22"/>
  <c r="AI131" i="22"/>
  <c r="AH131" i="22"/>
  <c r="AG131" i="22"/>
  <c r="AF131" i="22"/>
  <c r="AE131" i="22"/>
  <c r="AD131" i="22"/>
  <c r="AC131" i="22"/>
  <c r="AB131" i="22"/>
  <c r="AA131" i="22"/>
  <c r="Z131" i="22"/>
  <c r="Y131" i="22"/>
  <c r="X131" i="22"/>
  <c r="W131" i="22"/>
  <c r="V131" i="22"/>
  <c r="AO130" i="22"/>
  <c r="AN130" i="22"/>
  <c r="AM130" i="22"/>
  <c r="AL130" i="22"/>
  <c r="AK130" i="22"/>
  <c r="AJ130" i="22"/>
  <c r="AI130" i="22"/>
  <c r="AH130" i="22"/>
  <c r="AG130" i="22"/>
  <c r="AF130" i="22"/>
  <c r="AE130" i="22"/>
  <c r="AD130" i="22"/>
  <c r="AC130" i="22"/>
  <c r="AB130" i="22"/>
  <c r="AA130" i="22"/>
  <c r="Z130" i="22"/>
  <c r="Y130" i="22"/>
  <c r="X130" i="22"/>
  <c r="W130" i="22"/>
  <c r="V130" i="22"/>
  <c r="AO129" i="22"/>
  <c r="AN129" i="22"/>
  <c r="AM129" i="22"/>
  <c r="AL129" i="22"/>
  <c r="AK129" i="22"/>
  <c r="AJ129" i="22"/>
  <c r="AI129" i="22"/>
  <c r="AH129" i="22"/>
  <c r="AG129" i="22"/>
  <c r="AF129" i="22"/>
  <c r="AE129" i="22"/>
  <c r="AD129" i="22"/>
  <c r="AC129" i="22"/>
  <c r="AB129" i="22"/>
  <c r="AA129" i="22"/>
  <c r="Z129" i="22"/>
  <c r="Y129" i="22"/>
  <c r="X129" i="22"/>
  <c r="W129" i="22"/>
  <c r="V129" i="22"/>
  <c r="AO128" i="22"/>
  <c r="AN128" i="22"/>
  <c r="AM128" i="22"/>
  <c r="AL128" i="22"/>
  <c r="AK128" i="22"/>
  <c r="AJ128" i="22"/>
  <c r="AI128" i="22"/>
  <c r="AH128" i="22"/>
  <c r="AG128" i="22"/>
  <c r="AF128" i="22"/>
  <c r="AE128" i="22"/>
  <c r="AD128" i="22"/>
  <c r="AC128" i="22"/>
  <c r="AB128" i="22"/>
  <c r="AA128" i="22"/>
  <c r="Z128" i="22"/>
  <c r="Y128" i="22"/>
  <c r="X128" i="22"/>
  <c r="W128" i="22"/>
  <c r="V128" i="22"/>
  <c r="AO127" i="22"/>
  <c r="AN127" i="22"/>
  <c r="AM127" i="22"/>
  <c r="AL127" i="22"/>
  <c r="AK127" i="22"/>
  <c r="AJ127" i="22"/>
  <c r="AI127" i="22"/>
  <c r="AH127" i="22"/>
  <c r="AG127" i="22"/>
  <c r="AF127" i="22"/>
  <c r="AE127" i="22"/>
  <c r="AD127" i="22"/>
  <c r="AC127" i="22"/>
  <c r="AB127" i="22"/>
  <c r="AA127" i="22"/>
  <c r="Z127" i="22"/>
  <c r="Y127" i="22"/>
  <c r="X127" i="22"/>
  <c r="W127" i="22"/>
  <c r="V127" i="22"/>
  <c r="AO126" i="22"/>
  <c r="AN126" i="22"/>
  <c r="AM126" i="22"/>
  <c r="AL126" i="22"/>
  <c r="AK126" i="22"/>
  <c r="AJ126" i="22"/>
  <c r="AI126" i="22"/>
  <c r="AH126" i="22"/>
  <c r="AG126" i="22"/>
  <c r="AF126" i="22"/>
  <c r="AE126" i="22"/>
  <c r="AD126" i="22"/>
  <c r="AC126" i="22"/>
  <c r="AB126" i="22"/>
  <c r="AA126" i="22"/>
  <c r="Z126" i="22"/>
  <c r="Y126" i="22"/>
  <c r="X126" i="22"/>
  <c r="W126" i="22"/>
  <c r="V126" i="22"/>
  <c r="AO125" i="22"/>
  <c r="AN125" i="22"/>
  <c r="AM125" i="22"/>
  <c r="AL125" i="22"/>
  <c r="AK125" i="22"/>
  <c r="AJ125" i="22"/>
  <c r="AI125" i="22"/>
  <c r="AH125" i="22"/>
  <c r="AG125" i="22"/>
  <c r="AF125" i="22"/>
  <c r="AE125" i="22"/>
  <c r="AD125" i="22"/>
  <c r="AC125" i="22"/>
  <c r="AB125" i="22"/>
  <c r="AA125" i="22"/>
  <c r="Z125" i="22"/>
  <c r="Y125" i="22"/>
  <c r="X125" i="22"/>
  <c r="W125" i="22"/>
  <c r="V125" i="22"/>
  <c r="AO124" i="22"/>
  <c r="AN124" i="22"/>
  <c r="AM124" i="22"/>
  <c r="AL124" i="22"/>
  <c r="AK124" i="22"/>
  <c r="AJ124" i="22"/>
  <c r="AI124" i="22"/>
  <c r="AH124" i="22"/>
  <c r="AG124" i="22"/>
  <c r="AF124" i="22"/>
  <c r="AE124" i="22"/>
  <c r="AD124" i="22"/>
  <c r="AC124" i="22"/>
  <c r="AB124" i="22"/>
  <c r="AA124" i="22"/>
  <c r="Z124" i="22"/>
  <c r="Y124" i="22"/>
  <c r="X124" i="22"/>
  <c r="W124" i="22"/>
  <c r="V124" i="22"/>
  <c r="AO123" i="22"/>
  <c r="AN123" i="22"/>
  <c r="AM123" i="22"/>
  <c r="AL123" i="22"/>
  <c r="AK123" i="22"/>
  <c r="AJ123" i="22"/>
  <c r="AI123" i="22"/>
  <c r="AH123" i="22"/>
  <c r="AG123" i="22"/>
  <c r="AF123" i="22"/>
  <c r="AE123" i="22"/>
  <c r="AD123" i="22"/>
  <c r="AC123" i="22"/>
  <c r="AB123" i="22"/>
  <c r="AA123" i="22"/>
  <c r="Z123" i="22"/>
  <c r="Y123" i="22"/>
  <c r="X123" i="22"/>
  <c r="W123" i="22"/>
  <c r="V123" i="22"/>
  <c r="AO122" i="22"/>
  <c r="AN122" i="22"/>
  <c r="AM122" i="22"/>
  <c r="AL122" i="22"/>
  <c r="AK122" i="22"/>
  <c r="AJ122" i="22"/>
  <c r="AI122" i="22"/>
  <c r="AH122" i="22"/>
  <c r="AG122" i="22"/>
  <c r="AF122" i="22"/>
  <c r="AE122" i="22"/>
  <c r="AD122" i="22"/>
  <c r="AC122" i="22"/>
  <c r="AB122" i="22"/>
  <c r="AA122" i="22"/>
  <c r="Z122" i="22"/>
  <c r="Y122" i="22"/>
  <c r="X122" i="22"/>
  <c r="W122" i="22"/>
  <c r="V122" i="22"/>
  <c r="AO121" i="22"/>
  <c r="AN121" i="22"/>
  <c r="AM121" i="22"/>
  <c r="AL121" i="22"/>
  <c r="AK121" i="22"/>
  <c r="AJ121" i="22"/>
  <c r="AI121" i="22"/>
  <c r="AH121" i="22"/>
  <c r="AG121" i="22"/>
  <c r="AF121" i="22"/>
  <c r="AE121" i="22"/>
  <c r="AD121" i="22"/>
  <c r="AC121" i="22"/>
  <c r="AB121" i="22"/>
  <c r="AA121" i="22"/>
  <c r="Z121" i="22"/>
  <c r="Y121" i="22"/>
  <c r="X121" i="22"/>
  <c r="W121" i="22"/>
  <c r="V121" i="22"/>
  <c r="AO120" i="22"/>
  <c r="AN120" i="22"/>
  <c r="AM120" i="22"/>
  <c r="AL120" i="22"/>
  <c r="AK120" i="22"/>
  <c r="AJ120" i="22"/>
  <c r="AI120" i="22"/>
  <c r="AH120" i="22"/>
  <c r="AG120" i="22"/>
  <c r="AF120" i="22"/>
  <c r="AE120" i="22"/>
  <c r="AD120" i="22"/>
  <c r="AC120" i="22"/>
  <c r="AB120" i="22"/>
  <c r="AA120" i="22"/>
  <c r="Z120" i="22"/>
  <c r="Y120" i="22"/>
  <c r="X120" i="22"/>
  <c r="W120" i="22"/>
  <c r="V120" i="22"/>
  <c r="AO119" i="22"/>
  <c r="AN119" i="22"/>
  <c r="AM119" i="22"/>
  <c r="AL119" i="22"/>
  <c r="AK119" i="22"/>
  <c r="AJ119" i="22"/>
  <c r="AI119" i="22"/>
  <c r="AH119" i="22"/>
  <c r="AG119" i="22"/>
  <c r="AF119" i="22"/>
  <c r="AE119" i="22"/>
  <c r="AD119" i="22"/>
  <c r="AC119" i="22"/>
  <c r="AB119" i="22"/>
  <c r="AA119" i="22"/>
  <c r="Z119" i="22"/>
  <c r="Y119" i="22"/>
  <c r="X119" i="22"/>
  <c r="W119" i="22"/>
  <c r="V119" i="22"/>
  <c r="AO118" i="22"/>
  <c r="AN118" i="22"/>
  <c r="AM118" i="22"/>
  <c r="AL118" i="22"/>
  <c r="AK118" i="22"/>
  <c r="AJ118" i="22"/>
  <c r="AI118" i="22"/>
  <c r="AH118" i="22"/>
  <c r="AG118" i="22"/>
  <c r="AF118" i="22"/>
  <c r="AE118" i="22"/>
  <c r="AD118" i="22"/>
  <c r="AC118" i="22"/>
  <c r="AB118" i="22"/>
  <c r="AA118" i="22"/>
  <c r="Z118" i="22"/>
  <c r="Y118" i="22"/>
  <c r="X118" i="22"/>
  <c r="W118" i="22"/>
  <c r="V118" i="22"/>
  <c r="AO117" i="22"/>
  <c r="AN117" i="22"/>
  <c r="AM117" i="22"/>
  <c r="AL117" i="22"/>
  <c r="AK117" i="22"/>
  <c r="AJ117" i="22"/>
  <c r="AI117" i="22"/>
  <c r="AH117" i="22"/>
  <c r="AG117" i="22"/>
  <c r="AF117" i="22"/>
  <c r="AE117" i="22"/>
  <c r="AD117" i="22"/>
  <c r="AC117" i="22"/>
  <c r="AB117" i="22"/>
  <c r="AA117" i="22"/>
  <c r="Z117" i="22"/>
  <c r="Y117" i="22"/>
  <c r="X117" i="22"/>
  <c r="W117" i="22"/>
  <c r="V117" i="22"/>
  <c r="AO116" i="22"/>
  <c r="AN116" i="22"/>
  <c r="AM116" i="22"/>
  <c r="AL116" i="22"/>
  <c r="AK116" i="22"/>
  <c r="AJ116" i="22"/>
  <c r="AI116" i="22"/>
  <c r="AH116" i="22"/>
  <c r="AG116" i="22"/>
  <c r="AF116" i="22"/>
  <c r="AE116" i="22"/>
  <c r="AD116" i="22"/>
  <c r="AC116" i="22"/>
  <c r="AB116" i="22"/>
  <c r="AA116" i="22"/>
  <c r="Z116" i="22"/>
  <c r="Y116" i="22"/>
  <c r="X116" i="22"/>
  <c r="W116" i="22"/>
  <c r="V116" i="22"/>
  <c r="AO115" i="22"/>
  <c r="AN115" i="22"/>
  <c r="AM115" i="22"/>
  <c r="AL115" i="22"/>
  <c r="AK115" i="22"/>
  <c r="AJ115" i="22"/>
  <c r="AI115" i="22"/>
  <c r="AH115" i="22"/>
  <c r="AG115" i="22"/>
  <c r="AF115" i="22"/>
  <c r="AE115" i="22"/>
  <c r="AD115" i="22"/>
  <c r="AC115" i="22"/>
  <c r="AB115" i="22"/>
  <c r="AA115" i="22"/>
  <c r="Z115" i="22"/>
  <c r="Y115" i="22"/>
  <c r="X115" i="22"/>
  <c r="W115" i="22"/>
  <c r="V115" i="22"/>
  <c r="AO114" i="22"/>
  <c r="AN114" i="22"/>
  <c r="AM114" i="22"/>
  <c r="AL114" i="22"/>
  <c r="AK114" i="22"/>
  <c r="AJ114" i="22"/>
  <c r="AI114" i="22"/>
  <c r="AH114" i="22"/>
  <c r="AG114" i="22"/>
  <c r="AF114" i="22"/>
  <c r="AE114" i="22"/>
  <c r="AD114" i="22"/>
  <c r="AC114" i="22"/>
  <c r="AB114" i="22"/>
  <c r="AA114" i="22"/>
  <c r="Z114" i="22"/>
  <c r="Y114" i="22"/>
  <c r="X114" i="22"/>
  <c r="W114" i="22"/>
  <c r="V114" i="22"/>
  <c r="AO113" i="22"/>
  <c r="AN113" i="22"/>
  <c r="AM113" i="22"/>
  <c r="AL113" i="22"/>
  <c r="AK113" i="22"/>
  <c r="AJ113" i="22"/>
  <c r="AI113" i="22"/>
  <c r="AH113" i="22"/>
  <c r="AG113" i="22"/>
  <c r="AF113" i="22"/>
  <c r="AE113" i="22"/>
  <c r="AD113" i="22"/>
  <c r="AC113" i="22"/>
  <c r="AB113" i="22"/>
  <c r="AA113" i="22"/>
  <c r="Z113" i="22"/>
  <c r="Y113" i="22"/>
  <c r="X113" i="22"/>
  <c r="W113" i="22"/>
  <c r="V113" i="22"/>
  <c r="AO112" i="22"/>
  <c r="AN112" i="22"/>
  <c r="AM112" i="22"/>
  <c r="AL112" i="22"/>
  <c r="AK112" i="22"/>
  <c r="AJ112" i="22"/>
  <c r="AI112" i="22"/>
  <c r="AH112" i="22"/>
  <c r="AG112" i="22"/>
  <c r="AF112" i="22"/>
  <c r="AE112" i="22"/>
  <c r="AD112" i="22"/>
  <c r="AC112" i="22"/>
  <c r="AB112" i="22"/>
  <c r="AA112" i="22"/>
  <c r="Z112" i="22"/>
  <c r="Y112" i="22"/>
  <c r="X112" i="22"/>
  <c r="W112" i="22"/>
  <c r="V112" i="22"/>
  <c r="AO111" i="22"/>
  <c r="AN111" i="22"/>
  <c r="AM111" i="22"/>
  <c r="AL111" i="22"/>
  <c r="AK111" i="22"/>
  <c r="AJ111" i="22"/>
  <c r="AI111" i="22"/>
  <c r="AH111" i="22"/>
  <c r="AG111" i="22"/>
  <c r="AF111" i="22"/>
  <c r="AE111" i="22"/>
  <c r="AD111" i="22"/>
  <c r="AC111" i="22"/>
  <c r="AB111" i="22"/>
  <c r="AA111" i="22"/>
  <c r="Z111" i="22"/>
  <c r="Y111" i="22"/>
  <c r="X111" i="22"/>
  <c r="W111" i="22"/>
  <c r="V111" i="22"/>
  <c r="AO110" i="22"/>
  <c r="AN110" i="22"/>
  <c r="AM110" i="22"/>
  <c r="AL110" i="22"/>
  <c r="AK110" i="22"/>
  <c r="AJ110" i="22"/>
  <c r="AI110" i="22"/>
  <c r="AH110" i="22"/>
  <c r="AG110" i="22"/>
  <c r="AF110" i="22"/>
  <c r="AE110" i="22"/>
  <c r="AD110" i="22"/>
  <c r="AC110" i="22"/>
  <c r="AB110" i="22"/>
  <c r="AA110" i="22"/>
  <c r="Z110" i="22"/>
  <c r="Y110" i="22"/>
  <c r="X110" i="22"/>
  <c r="W110" i="22"/>
  <c r="V110" i="22"/>
  <c r="AO109" i="22"/>
  <c r="AN109" i="22"/>
  <c r="AM109" i="22"/>
  <c r="AL109" i="22"/>
  <c r="AK109" i="22"/>
  <c r="AJ109" i="22"/>
  <c r="AI109" i="22"/>
  <c r="AH109" i="22"/>
  <c r="AG109" i="22"/>
  <c r="AF109" i="22"/>
  <c r="AE109" i="22"/>
  <c r="AD109" i="22"/>
  <c r="AC109" i="22"/>
  <c r="AB109" i="22"/>
  <c r="AA109" i="22"/>
  <c r="Z109" i="22"/>
  <c r="Y109" i="22"/>
  <c r="X109" i="22"/>
  <c r="W109" i="22"/>
  <c r="V109" i="22"/>
  <c r="AO108" i="22"/>
  <c r="AN108" i="22"/>
  <c r="AM108" i="22"/>
  <c r="AL108" i="22"/>
  <c r="AK108" i="22"/>
  <c r="AJ108" i="22"/>
  <c r="AI108" i="22"/>
  <c r="AH108" i="22"/>
  <c r="AG108" i="22"/>
  <c r="AF108" i="22"/>
  <c r="AE108" i="22"/>
  <c r="AD108" i="22"/>
  <c r="AC108" i="22"/>
  <c r="AB108" i="22"/>
  <c r="AA108" i="22"/>
  <c r="Z108" i="22"/>
  <c r="Y108" i="22"/>
  <c r="X108" i="22"/>
  <c r="W108" i="22"/>
  <c r="V108" i="22"/>
  <c r="AO107" i="22"/>
  <c r="AN107" i="22"/>
  <c r="AM107" i="22"/>
  <c r="AL107" i="22"/>
  <c r="AK107" i="22"/>
  <c r="AJ107" i="22"/>
  <c r="AI107" i="22"/>
  <c r="AH107" i="22"/>
  <c r="AG107" i="22"/>
  <c r="AF107" i="22"/>
  <c r="AE107" i="22"/>
  <c r="AD107" i="22"/>
  <c r="AC107" i="22"/>
  <c r="AB107" i="22"/>
  <c r="AA107" i="22"/>
  <c r="Z107" i="22"/>
  <c r="Y107" i="22"/>
  <c r="X107" i="22"/>
  <c r="W107" i="22"/>
  <c r="V107" i="22"/>
  <c r="AO106" i="22"/>
  <c r="AN106" i="22"/>
  <c r="AM106" i="22"/>
  <c r="AL106" i="22"/>
  <c r="AK106" i="22"/>
  <c r="AJ106" i="22"/>
  <c r="AI106" i="22"/>
  <c r="AH106" i="22"/>
  <c r="AG106" i="22"/>
  <c r="AF106" i="22"/>
  <c r="AE106" i="22"/>
  <c r="AD106" i="22"/>
  <c r="AC106" i="22"/>
  <c r="AB106" i="22"/>
  <c r="AA106" i="22"/>
  <c r="Z106" i="22"/>
  <c r="Y106" i="22"/>
  <c r="X106" i="22"/>
  <c r="W106" i="22"/>
  <c r="V106" i="22"/>
  <c r="AO105" i="22"/>
  <c r="AN105" i="22"/>
  <c r="AM105" i="22"/>
  <c r="AL105" i="22"/>
  <c r="AK105" i="22"/>
  <c r="AJ105" i="22"/>
  <c r="AI105" i="22"/>
  <c r="AH105" i="22"/>
  <c r="AG105" i="22"/>
  <c r="AF105" i="22"/>
  <c r="AE105" i="22"/>
  <c r="AD105" i="22"/>
  <c r="AC105" i="22"/>
  <c r="AB105" i="22"/>
  <c r="AA105" i="22"/>
  <c r="Z105" i="22"/>
  <c r="Y105" i="22"/>
  <c r="X105" i="22"/>
  <c r="W105" i="22"/>
  <c r="V105" i="22"/>
  <c r="AO104" i="22"/>
  <c r="AN104" i="22"/>
  <c r="AM104" i="22"/>
  <c r="AL104" i="22"/>
  <c r="AK104" i="22"/>
  <c r="AJ104" i="22"/>
  <c r="AI104" i="22"/>
  <c r="AH104" i="22"/>
  <c r="AG104" i="22"/>
  <c r="AF104" i="22"/>
  <c r="AE104" i="22"/>
  <c r="AD104" i="22"/>
  <c r="AC104" i="22"/>
  <c r="AB104" i="22"/>
  <c r="AA104" i="22"/>
  <c r="Z104" i="22"/>
  <c r="Y104" i="22"/>
  <c r="X104" i="22"/>
  <c r="W104" i="22"/>
  <c r="V104" i="22"/>
  <c r="AO103" i="22"/>
  <c r="AN103" i="22"/>
  <c r="AM103" i="22"/>
  <c r="AL103" i="22"/>
  <c r="AK103" i="22"/>
  <c r="AJ103" i="22"/>
  <c r="AI103" i="22"/>
  <c r="AH103" i="22"/>
  <c r="AG103" i="22"/>
  <c r="AF103" i="22"/>
  <c r="AE103" i="22"/>
  <c r="AD103" i="22"/>
  <c r="AC103" i="22"/>
  <c r="AB103" i="22"/>
  <c r="AA103" i="22"/>
  <c r="Z103" i="22"/>
  <c r="Y103" i="22"/>
  <c r="X103" i="22"/>
  <c r="W103" i="22"/>
  <c r="V103" i="22"/>
  <c r="AO102" i="22"/>
  <c r="AN102" i="22"/>
  <c r="AM102" i="22"/>
  <c r="AL102" i="22"/>
  <c r="AK102" i="22"/>
  <c r="AJ102" i="22"/>
  <c r="AI102" i="22"/>
  <c r="AH102" i="22"/>
  <c r="AG102" i="22"/>
  <c r="AF102" i="22"/>
  <c r="AE102" i="22"/>
  <c r="AD102" i="22"/>
  <c r="AC102" i="22"/>
  <c r="AB102" i="22"/>
  <c r="AA102" i="22"/>
  <c r="Z102" i="22"/>
  <c r="Y102" i="22"/>
  <c r="X102" i="22"/>
  <c r="W102" i="22"/>
  <c r="V102" i="22"/>
  <c r="AO101" i="22"/>
  <c r="AN101" i="22"/>
  <c r="AM101" i="22"/>
  <c r="AL101" i="22"/>
  <c r="AK101" i="22"/>
  <c r="AJ101" i="22"/>
  <c r="AI101" i="22"/>
  <c r="AH101" i="22"/>
  <c r="AG101" i="22"/>
  <c r="AF101" i="22"/>
  <c r="AE101" i="22"/>
  <c r="AD101" i="22"/>
  <c r="AC101" i="22"/>
  <c r="AB101" i="22"/>
  <c r="AA101" i="22"/>
  <c r="Z101" i="22"/>
  <c r="Y101" i="22"/>
  <c r="X101" i="22"/>
  <c r="W101" i="22"/>
  <c r="V101" i="22"/>
  <c r="AO100" i="22"/>
  <c r="AN100" i="22"/>
  <c r="AM100" i="22"/>
  <c r="AL100" i="22"/>
  <c r="AK100" i="22"/>
  <c r="AJ100" i="22"/>
  <c r="AI100" i="22"/>
  <c r="AH100" i="22"/>
  <c r="AG100" i="22"/>
  <c r="AF100" i="22"/>
  <c r="AE100" i="22"/>
  <c r="AD100" i="22"/>
  <c r="AC100" i="22"/>
  <c r="AB100" i="22"/>
  <c r="AA100" i="22"/>
  <c r="Z100" i="22"/>
  <c r="Y100" i="22"/>
  <c r="X100" i="22"/>
  <c r="W100" i="22"/>
  <c r="V100" i="22"/>
  <c r="AV95" i="22"/>
  <c r="AB95" i="22"/>
  <c r="AV94" i="22"/>
  <c r="AC94" i="22"/>
  <c r="AB94" i="22"/>
  <c r="AA94" i="22"/>
  <c r="W94" i="22"/>
  <c r="AV93" i="22"/>
  <c r="Y93" i="22"/>
  <c r="AV92" i="22"/>
  <c r="AB92" i="22"/>
  <c r="X92" i="22"/>
  <c r="AV91" i="22"/>
  <c r="AB91" i="22"/>
  <c r="AV90" i="22"/>
  <c r="AC90" i="22"/>
  <c r="Y90" i="22"/>
  <c r="AV89" i="22"/>
  <c r="AC89" i="22"/>
  <c r="Y89" i="22"/>
  <c r="AV88" i="22"/>
  <c r="AC88" i="22"/>
  <c r="AB88" i="22"/>
  <c r="Y88" i="22"/>
  <c r="AV87" i="22"/>
  <c r="AB87" i="22"/>
  <c r="Y87" i="22"/>
  <c r="AV86" i="22"/>
  <c r="AV85" i="22"/>
  <c r="AV84" i="22"/>
  <c r="AV83" i="22"/>
  <c r="AV82" i="22"/>
  <c r="Z82" i="22"/>
  <c r="Y82" i="22"/>
  <c r="X82" i="22"/>
  <c r="W82" i="22"/>
  <c r="V82" i="22"/>
  <c r="AV81" i="22"/>
  <c r="Z81" i="22"/>
  <c r="Y81" i="22"/>
  <c r="X81" i="22"/>
  <c r="W81" i="22"/>
  <c r="V81" i="22"/>
  <c r="AV80" i="22"/>
  <c r="Z80" i="22"/>
  <c r="Y80" i="22"/>
  <c r="X80" i="22"/>
  <c r="W80" i="22"/>
  <c r="V80" i="22"/>
  <c r="AV79" i="22"/>
  <c r="Z79" i="22"/>
  <c r="Y79" i="22"/>
  <c r="X79" i="22"/>
  <c r="W79" i="22"/>
  <c r="V79" i="22"/>
  <c r="AV78" i="22"/>
  <c r="Z78" i="22"/>
  <c r="Y78" i="22"/>
  <c r="X78" i="22"/>
  <c r="W78" i="22"/>
  <c r="V78" i="22"/>
  <c r="AV77" i="22"/>
  <c r="Z77" i="22"/>
  <c r="Y77" i="22"/>
  <c r="X77" i="22"/>
  <c r="W77" i="22"/>
  <c r="V77" i="22"/>
  <c r="AV76" i="22"/>
  <c r="Z76" i="22"/>
  <c r="Y76" i="22"/>
  <c r="X76" i="22"/>
  <c r="W76" i="22"/>
  <c r="V76" i="22"/>
  <c r="AV75" i="22"/>
  <c r="Z75" i="22"/>
  <c r="Y75" i="22"/>
  <c r="X75" i="22"/>
  <c r="W75" i="22"/>
  <c r="V75" i="22"/>
  <c r="AV74" i="22"/>
  <c r="Z74" i="22"/>
  <c r="Y74" i="22"/>
  <c r="X74" i="22"/>
  <c r="W74" i="22"/>
  <c r="V74" i="22"/>
  <c r="AV73" i="22"/>
  <c r="Z73" i="22"/>
  <c r="Y73" i="22"/>
  <c r="X73" i="22"/>
  <c r="W73" i="22"/>
  <c r="V73" i="22"/>
  <c r="AV72" i="22"/>
  <c r="AV71" i="22"/>
  <c r="AV70" i="22"/>
  <c r="AV69" i="22"/>
  <c r="AV68" i="22"/>
  <c r="AA68" i="22"/>
  <c r="Z68" i="22"/>
  <c r="Y68" i="22"/>
  <c r="X68" i="22"/>
  <c r="W68" i="22"/>
  <c r="V68" i="22"/>
  <c r="AV67" i="22"/>
  <c r="AA67" i="22"/>
  <c r="Z67" i="22"/>
  <c r="Y67" i="22"/>
  <c r="X67" i="22"/>
  <c r="W67" i="22"/>
  <c r="V67" i="22"/>
  <c r="AV66" i="22"/>
  <c r="Z66" i="22"/>
  <c r="Y66" i="22"/>
  <c r="X66" i="22"/>
  <c r="W66" i="22"/>
  <c r="V66" i="22"/>
  <c r="AV65" i="22"/>
  <c r="AA65" i="22"/>
  <c r="Z65" i="22"/>
  <c r="Y65" i="22"/>
  <c r="X65" i="22"/>
  <c r="W65" i="22"/>
  <c r="V65" i="22"/>
  <c r="AV64" i="22"/>
  <c r="AA64" i="22"/>
  <c r="Z64" i="22"/>
  <c r="Y64" i="22"/>
  <c r="X64" i="22"/>
  <c r="W64" i="22"/>
  <c r="V64" i="22"/>
  <c r="AV63" i="22"/>
  <c r="AA63" i="22"/>
  <c r="Z63" i="22"/>
  <c r="Y63" i="22"/>
  <c r="X63" i="22"/>
  <c r="W63" i="22"/>
  <c r="V63" i="22"/>
  <c r="AV62" i="22"/>
  <c r="AA62" i="22"/>
  <c r="Z62" i="22"/>
  <c r="Y62" i="22"/>
  <c r="X62" i="22"/>
  <c r="W62" i="22"/>
  <c r="V62" i="22"/>
  <c r="AV61" i="22"/>
  <c r="AA61" i="22"/>
  <c r="Z61" i="22"/>
  <c r="Y61" i="22"/>
  <c r="X61" i="22"/>
  <c r="W61" i="22"/>
  <c r="V61" i="22"/>
  <c r="AV60" i="22"/>
  <c r="AA60" i="22"/>
  <c r="Z60" i="22"/>
  <c r="Y60" i="22"/>
  <c r="X60" i="22"/>
  <c r="W60" i="22"/>
  <c r="V60" i="22"/>
  <c r="AV59" i="22"/>
  <c r="AA59" i="22"/>
  <c r="Z59" i="22"/>
  <c r="Y59" i="22"/>
  <c r="X59" i="22"/>
  <c r="W59" i="22"/>
  <c r="V59" i="22"/>
  <c r="AV58" i="22"/>
  <c r="AQ58" i="22"/>
  <c r="AA58" i="22"/>
  <c r="Z58" i="22"/>
  <c r="Y58" i="22"/>
  <c r="X58" i="22"/>
  <c r="W58" i="22"/>
  <c r="V58" i="22"/>
  <c r="AV57" i="22"/>
  <c r="AA57" i="22"/>
  <c r="Z57" i="22"/>
  <c r="Y57" i="22"/>
  <c r="X57" i="22"/>
  <c r="W57" i="22"/>
  <c r="V57" i="22"/>
  <c r="B57" i="22"/>
  <c r="AV56" i="22"/>
  <c r="AA56" i="22"/>
  <c r="Z56" i="22"/>
  <c r="Y56" i="22"/>
  <c r="X56" i="22"/>
  <c r="W56" i="22"/>
  <c r="V56" i="22"/>
  <c r="AV55" i="22"/>
  <c r="AV54" i="22"/>
  <c r="AV53" i="22"/>
  <c r="AV52" i="22"/>
  <c r="AV51" i="22"/>
  <c r="B47" i="22"/>
  <c r="AQ34" i="22" s="1"/>
  <c r="AP44" i="22"/>
  <c r="B59" i="22" s="1"/>
  <c r="B44" i="22"/>
  <c r="AQ31" i="22" s="1"/>
  <c r="AP43" i="22"/>
  <c r="B58" i="22" s="1"/>
  <c r="AP42" i="22"/>
  <c r="AP41" i="22"/>
  <c r="B56" i="22" s="1"/>
  <c r="B41" i="22"/>
  <c r="AQ28" i="22" s="1"/>
  <c r="AP40" i="22"/>
  <c r="B55" i="22" s="1"/>
  <c r="B40" i="22"/>
  <c r="X36" i="22"/>
  <c r="X35" i="22"/>
  <c r="Q35" i="22"/>
  <c r="P35" i="22"/>
  <c r="E18" i="22" s="1"/>
  <c r="D35" i="22"/>
  <c r="B35" i="22"/>
  <c r="X34" i="22"/>
  <c r="J34" i="22"/>
  <c r="X33" i="22"/>
  <c r="X32" i="22"/>
  <c r="AG31" i="22"/>
  <c r="X31" i="22"/>
  <c r="O99" i="22"/>
  <c r="X30" i="22"/>
  <c r="X29" i="22"/>
  <c r="B29" i="22"/>
  <c r="AQ27" i="22" s="1"/>
  <c r="X28" i="22"/>
  <c r="B27" i="22"/>
  <c r="P25" i="22"/>
  <c r="I24" i="22" s="1"/>
  <c r="P24" i="22"/>
  <c r="G24" i="22"/>
  <c r="E24" i="22"/>
  <c r="C24" i="22"/>
  <c r="AB23" i="22"/>
  <c r="AA23" i="22"/>
  <c r="Z23" i="22"/>
  <c r="Y23" i="22"/>
  <c r="I23" i="22"/>
  <c r="G23" i="22"/>
  <c r="E23" i="22"/>
  <c r="C23" i="22"/>
  <c r="AC22" i="22"/>
  <c r="AB22" i="22"/>
  <c r="AA22" i="22"/>
  <c r="Z22" i="22"/>
  <c r="Y22" i="22"/>
  <c r="I22" i="22"/>
  <c r="G22" i="22"/>
  <c r="E22" i="22"/>
  <c r="C22" i="22"/>
  <c r="I21" i="22"/>
  <c r="G21" i="22"/>
  <c r="E21" i="22"/>
  <c r="C21" i="22"/>
  <c r="AQ20" i="22"/>
  <c r="AI20" i="22"/>
  <c r="I20" i="22"/>
  <c r="AQ19" i="22"/>
  <c r="AI19" i="22"/>
  <c r="AQ18" i="22"/>
  <c r="AJ18" i="22"/>
  <c r="AI18" i="22"/>
  <c r="I18" i="22"/>
  <c r="AI17" i="22"/>
  <c r="AI16" i="22"/>
  <c r="AJ15" i="22"/>
  <c r="AI15" i="22"/>
  <c r="AQ14" i="22"/>
  <c r="AI14" i="22"/>
  <c r="I14" i="22"/>
  <c r="AQ13" i="22"/>
  <c r="AI13" i="22"/>
  <c r="AQ12" i="22"/>
  <c r="AJ12" i="22"/>
  <c r="AI12" i="22"/>
  <c r="AI11" i="22"/>
  <c r="AB11" i="22"/>
  <c r="AA11" i="22"/>
  <c r="Z11" i="22"/>
  <c r="AC11" i="22" s="1"/>
  <c r="Y11" i="22"/>
  <c r="AI10" i="22"/>
  <c r="AC10" i="22"/>
  <c r="AB10" i="22"/>
  <c r="AA10" i="22"/>
  <c r="Z10" i="22"/>
  <c r="Y10" i="22"/>
  <c r="AI9" i="22"/>
  <c r="AJ9" i="22" s="1"/>
  <c r="AC9" i="22"/>
  <c r="AB9" i="22"/>
  <c r="AA9" i="22"/>
  <c r="Z9" i="22"/>
  <c r="Y9" i="22"/>
  <c r="AQ8" i="22"/>
  <c r="B43" i="22" s="1"/>
  <c r="AQ30" i="22" s="1"/>
  <c r="AC8" i="22"/>
  <c r="AB8" i="22"/>
  <c r="AA8" i="22"/>
  <c r="Z8" i="22"/>
  <c r="Y8" i="22"/>
  <c r="AD8" i="22" s="1"/>
  <c r="AB36" i="22" s="1"/>
  <c r="AC31" i="22" s="1"/>
  <c r="AQ7" i="22"/>
  <c r="AQ6" i="22"/>
  <c r="AO179" i="21"/>
  <c r="AN179" i="21"/>
  <c r="AM179" i="21"/>
  <c r="AL179" i="21"/>
  <c r="AK179" i="21"/>
  <c r="AJ179" i="21"/>
  <c r="AI179" i="21"/>
  <c r="AH179" i="21"/>
  <c r="AG179" i="21"/>
  <c r="AF179" i="21"/>
  <c r="AE179" i="21"/>
  <c r="AD179" i="21"/>
  <c r="AC179" i="21"/>
  <c r="AB179" i="21"/>
  <c r="AA179" i="21"/>
  <c r="Z179" i="21"/>
  <c r="Y179" i="21"/>
  <c r="X179" i="21"/>
  <c r="W179" i="21"/>
  <c r="V179" i="21"/>
  <c r="AO178" i="21"/>
  <c r="AN178" i="21"/>
  <c r="AM178" i="21"/>
  <c r="AL178" i="21"/>
  <c r="AK178" i="21"/>
  <c r="AJ178" i="21"/>
  <c r="AI178" i="21"/>
  <c r="AH178" i="21"/>
  <c r="AG178" i="21"/>
  <c r="AF178" i="21"/>
  <c r="AE178" i="21"/>
  <c r="AD178" i="21"/>
  <c r="AC178" i="21"/>
  <c r="AB178" i="21"/>
  <c r="AA178" i="21"/>
  <c r="Z178" i="21"/>
  <c r="Y178" i="21"/>
  <c r="X178" i="21"/>
  <c r="W178" i="21"/>
  <c r="V178" i="21"/>
  <c r="AO177" i="21"/>
  <c r="AN177" i="21"/>
  <c r="AM177" i="21"/>
  <c r="AL177" i="21"/>
  <c r="AK177" i="21"/>
  <c r="AJ177" i="21"/>
  <c r="AI177" i="21"/>
  <c r="AH177" i="21"/>
  <c r="AG177" i="21"/>
  <c r="AF177" i="21"/>
  <c r="AE177" i="21"/>
  <c r="AD177" i="21"/>
  <c r="AC177" i="21"/>
  <c r="AB177" i="21"/>
  <c r="AA177" i="21"/>
  <c r="Z177" i="21"/>
  <c r="Y177" i="21"/>
  <c r="X177" i="21"/>
  <c r="W177" i="21"/>
  <c r="V177" i="21"/>
  <c r="AO176" i="21"/>
  <c r="AN176" i="21"/>
  <c r="AM176" i="21"/>
  <c r="AL176" i="21"/>
  <c r="AK176" i="21"/>
  <c r="AJ176" i="21"/>
  <c r="AI176" i="21"/>
  <c r="AH176" i="21"/>
  <c r="AG176" i="21"/>
  <c r="AF176" i="21"/>
  <c r="AE176" i="21"/>
  <c r="AD176" i="21"/>
  <c r="AC176" i="21"/>
  <c r="AB176" i="21"/>
  <c r="AA176" i="21"/>
  <c r="Z176" i="21"/>
  <c r="Y176" i="21"/>
  <c r="X176" i="21"/>
  <c r="W176" i="21"/>
  <c r="V176" i="21"/>
  <c r="AO175" i="21"/>
  <c r="AN175" i="21"/>
  <c r="AM175" i="21"/>
  <c r="AL175" i="21"/>
  <c r="AK175" i="21"/>
  <c r="AJ175" i="21"/>
  <c r="AI175" i="21"/>
  <c r="AH175" i="21"/>
  <c r="AG175" i="21"/>
  <c r="AF175" i="21"/>
  <c r="AE175" i="21"/>
  <c r="AD175" i="21"/>
  <c r="AC175" i="21"/>
  <c r="AB175" i="21"/>
  <c r="AA175" i="21"/>
  <c r="Z175" i="21"/>
  <c r="Y175" i="21"/>
  <c r="X175" i="21"/>
  <c r="W175" i="21"/>
  <c r="V175" i="21"/>
  <c r="AO174" i="21"/>
  <c r="AN174" i="21"/>
  <c r="AM174" i="21"/>
  <c r="AL174" i="21"/>
  <c r="AK174" i="21"/>
  <c r="AJ174" i="21"/>
  <c r="AI174" i="21"/>
  <c r="AH174" i="21"/>
  <c r="AG174" i="21"/>
  <c r="AF174" i="21"/>
  <c r="AE174" i="21"/>
  <c r="AD174" i="21"/>
  <c r="AC174" i="21"/>
  <c r="AB174" i="21"/>
  <c r="AA174" i="21"/>
  <c r="Z174" i="21"/>
  <c r="Y174" i="21"/>
  <c r="X174" i="21"/>
  <c r="W174" i="21"/>
  <c r="V174" i="21"/>
  <c r="AO173" i="21"/>
  <c r="AN173" i="21"/>
  <c r="AM173" i="21"/>
  <c r="AL173" i="21"/>
  <c r="AK173" i="21"/>
  <c r="AJ173" i="21"/>
  <c r="AI173" i="21"/>
  <c r="AH173" i="21"/>
  <c r="AG173" i="21"/>
  <c r="AF173" i="21"/>
  <c r="AE173" i="21"/>
  <c r="AD173" i="21"/>
  <c r="AC173" i="21"/>
  <c r="AB173" i="21"/>
  <c r="AA173" i="21"/>
  <c r="Z173" i="21"/>
  <c r="Y173" i="21"/>
  <c r="X173" i="21"/>
  <c r="W173" i="21"/>
  <c r="V173" i="21"/>
  <c r="AO172" i="21"/>
  <c r="AN172" i="21"/>
  <c r="AM172" i="21"/>
  <c r="AL172" i="21"/>
  <c r="AK172" i="21"/>
  <c r="AJ172" i="21"/>
  <c r="AI172" i="21"/>
  <c r="AH172" i="21"/>
  <c r="AG172" i="21"/>
  <c r="AF172" i="21"/>
  <c r="AE172" i="21"/>
  <c r="AD172" i="21"/>
  <c r="AC172" i="21"/>
  <c r="AB172" i="21"/>
  <c r="AA172" i="21"/>
  <c r="Z172" i="21"/>
  <c r="Y172" i="21"/>
  <c r="X172" i="21"/>
  <c r="W172" i="21"/>
  <c r="V172" i="21"/>
  <c r="AO171" i="21"/>
  <c r="AN171" i="21"/>
  <c r="AM171" i="21"/>
  <c r="AL171" i="21"/>
  <c r="AK171" i="21"/>
  <c r="AJ171" i="21"/>
  <c r="AI171" i="21"/>
  <c r="AH171" i="21"/>
  <c r="AG171" i="21"/>
  <c r="AF171" i="21"/>
  <c r="AE171" i="21"/>
  <c r="AD171" i="21"/>
  <c r="AC171" i="21"/>
  <c r="AB171" i="21"/>
  <c r="AA171" i="21"/>
  <c r="Z171" i="21"/>
  <c r="Y171" i="21"/>
  <c r="X171" i="21"/>
  <c r="W171" i="21"/>
  <c r="V171" i="21"/>
  <c r="AO170" i="21"/>
  <c r="AN170" i="21"/>
  <c r="AM170" i="21"/>
  <c r="AL170" i="21"/>
  <c r="AK170" i="21"/>
  <c r="AJ170" i="21"/>
  <c r="AI170" i="21"/>
  <c r="AH170" i="21"/>
  <c r="AG170" i="21"/>
  <c r="AF170" i="21"/>
  <c r="AE170" i="21"/>
  <c r="AD170" i="21"/>
  <c r="AC170" i="21"/>
  <c r="AB170" i="21"/>
  <c r="AA170" i="21"/>
  <c r="Z170" i="21"/>
  <c r="Y170" i="21"/>
  <c r="X170" i="21"/>
  <c r="W170" i="21"/>
  <c r="V170" i="21"/>
  <c r="AO169" i="21"/>
  <c r="AN169" i="21"/>
  <c r="AM169" i="21"/>
  <c r="AL169" i="21"/>
  <c r="AK169" i="21"/>
  <c r="AJ169" i="21"/>
  <c r="AI169" i="21"/>
  <c r="AH169" i="21"/>
  <c r="AG169" i="21"/>
  <c r="AF169" i="21"/>
  <c r="AE169" i="21"/>
  <c r="AD169" i="21"/>
  <c r="AC169" i="21"/>
  <c r="AB169" i="21"/>
  <c r="AA169" i="21"/>
  <c r="Z169" i="21"/>
  <c r="Y169" i="21"/>
  <c r="X169" i="21"/>
  <c r="W169" i="21"/>
  <c r="V169" i="21"/>
  <c r="AO168" i="21"/>
  <c r="AN168" i="21"/>
  <c r="AM168" i="21"/>
  <c r="AL168" i="21"/>
  <c r="X95" i="21" s="1"/>
  <c r="AK168" i="21"/>
  <c r="AJ168" i="21"/>
  <c r="AI168" i="21"/>
  <c r="AH168" i="21"/>
  <c r="AG168" i="21"/>
  <c r="AF168" i="21"/>
  <c r="AE168" i="21"/>
  <c r="AD168" i="21"/>
  <c r="AD95" i="21" s="1"/>
  <c r="AC168" i="21"/>
  <c r="AC95" i="21" s="1"/>
  <c r="AB168" i="21"/>
  <c r="AA168" i="21"/>
  <c r="Z168" i="21"/>
  <c r="Z95" i="21" s="1"/>
  <c r="Y168" i="21"/>
  <c r="Y95" i="21" s="1"/>
  <c r="X168" i="21"/>
  <c r="W168" i="21"/>
  <c r="W95" i="21" s="1"/>
  <c r="V168" i="21"/>
  <c r="V95" i="21" s="1"/>
  <c r="AO167" i="21"/>
  <c r="AN167" i="21"/>
  <c r="AM167" i="21"/>
  <c r="AL167" i="21"/>
  <c r="X94" i="21" s="1"/>
  <c r="AK167" i="21"/>
  <c r="AJ167" i="21"/>
  <c r="AI167" i="21"/>
  <c r="AH167" i="21"/>
  <c r="AG167" i="21"/>
  <c r="AF167" i="21"/>
  <c r="AE167" i="21"/>
  <c r="AD167" i="21"/>
  <c r="AC167" i="21"/>
  <c r="AC94" i="21" s="1"/>
  <c r="AB167" i="21"/>
  <c r="AA167" i="21"/>
  <c r="AA94" i="21" s="1"/>
  <c r="Z167" i="21"/>
  <c r="Z94" i="21" s="1"/>
  <c r="Y167" i="21"/>
  <c r="Y94" i="21" s="1"/>
  <c r="X167" i="21"/>
  <c r="W167" i="21"/>
  <c r="V167" i="21"/>
  <c r="AO166" i="21"/>
  <c r="AN166" i="21"/>
  <c r="AM166" i="21"/>
  <c r="AL166" i="21"/>
  <c r="X93" i="21" s="1"/>
  <c r="AK166" i="21"/>
  <c r="AJ166" i="21"/>
  <c r="AI166" i="21"/>
  <c r="AH166" i="21"/>
  <c r="AG166" i="21"/>
  <c r="AF166" i="21"/>
  <c r="AE166" i="21"/>
  <c r="AD166" i="21"/>
  <c r="AD93" i="21" s="1"/>
  <c r="AC166" i="21"/>
  <c r="AC93" i="21" s="1"/>
  <c r="AB166" i="21"/>
  <c r="AB93" i="21" s="1"/>
  <c r="AA166" i="21"/>
  <c r="AA93" i="21" s="1"/>
  <c r="Z166" i="21"/>
  <c r="Z93" i="21" s="1"/>
  <c r="Y166" i="21"/>
  <c r="X166" i="21"/>
  <c r="W166" i="21"/>
  <c r="W93" i="21" s="1"/>
  <c r="V166" i="21"/>
  <c r="V93" i="21" s="1"/>
  <c r="AO165" i="21"/>
  <c r="AN165" i="21"/>
  <c r="AM165" i="21"/>
  <c r="AL165" i="21"/>
  <c r="AK165" i="21"/>
  <c r="AJ165" i="21"/>
  <c r="AI165" i="21"/>
  <c r="AH165" i="21"/>
  <c r="AG165" i="21"/>
  <c r="AF165" i="21"/>
  <c r="AE165" i="21"/>
  <c r="AD165" i="21"/>
  <c r="AD92" i="21" s="1"/>
  <c r="AC165" i="21"/>
  <c r="AC92" i="21" s="1"/>
  <c r="AB165" i="21"/>
  <c r="AA165" i="21"/>
  <c r="AA92" i="21" s="1"/>
  <c r="Z165" i="21"/>
  <c r="Z92" i="21" s="1"/>
  <c r="Y165" i="21"/>
  <c r="Y92" i="21" s="1"/>
  <c r="X165" i="21"/>
  <c r="W165" i="21"/>
  <c r="W92" i="21" s="1"/>
  <c r="V165" i="21"/>
  <c r="V92" i="21" s="1"/>
  <c r="AO164" i="21"/>
  <c r="AN164" i="21"/>
  <c r="AM164" i="21"/>
  <c r="AL164" i="21"/>
  <c r="X91" i="21" s="1"/>
  <c r="AK164" i="21"/>
  <c r="AJ164" i="21"/>
  <c r="AI164" i="21"/>
  <c r="AH164" i="21"/>
  <c r="AG164" i="21"/>
  <c r="AF164" i="21"/>
  <c r="AE164" i="21"/>
  <c r="AD164" i="21"/>
  <c r="AD91" i="21" s="1"/>
  <c r="AC164" i="21"/>
  <c r="AC91" i="21" s="1"/>
  <c r="AB164" i="21"/>
  <c r="AA164" i="21"/>
  <c r="Z164" i="21"/>
  <c r="Z91" i="21" s="1"/>
  <c r="Y164" i="21"/>
  <c r="Y91" i="21" s="1"/>
  <c r="X164" i="21"/>
  <c r="W164" i="21"/>
  <c r="W91" i="21" s="1"/>
  <c r="V164" i="21"/>
  <c r="V91" i="21" s="1"/>
  <c r="AO163" i="21"/>
  <c r="AN163" i="21"/>
  <c r="AM163" i="21"/>
  <c r="AL163" i="21"/>
  <c r="X90" i="21" s="1"/>
  <c r="AK163" i="21"/>
  <c r="AJ163" i="21"/>
  <c r="AI163" i="21"/>
  <c r="AH163" i="21"/>
  <c r="AG163" i="21"/>
  <c r="AF163" i="21"/>
  <c r="AE163" i="21"/>
  <c r="AD163" i="21"/>
  <c r="AD90" i="21" s="1"/>
  <c r="AC163" i="21"/>
  <c r="AC90" i="21" s="1"/>
  <c r="AB163" i="21"/>
  <c r="AA163" i="21"/>
  <c r="AA90" i="21" s="1"/>
  <c r="Z163" i="21"/>
  <c r="Y163" i="21"/>
  <c r="Y90" i="21" s="1"/>
  <c r="X163" i="21"/>
  <c r="W163" i="21"/>
  <c r="W90" i="21" s="1"/>
  <c r="V163" i="21"/>
  <c r="AO162" i="21"/>
  <c r="AN162" i="21"/>
  <c r="AM162" i="21"/>
  <c r="AL162" i="21"/>
  <c r="X89" i="21" s="1"/>
  <c r="AK162" i="21"/>
  <c r="AJ162" i="21"/>
  <c r="AI162" i="21"/>
  <c r="AH162" i="21"/>
  <c r="AG162" i="21"/>
  <c r="AF162" i="21"/>
  <c r="AE162" i="21"/>
  <c r="AD162" i="21"/>
  <c r="AD89" i="21" s="1"/>
  <c r="AC162" i="21"/>
  <c r="AC89" i="21" s="1"/>
  <c r="AB162" i="21"/>
  <c r="AA162" i="21"/>
  <c r="AA89" i="21" s="1"/>
  <c r="Z162" i="21"/>
  <c r="Z89" i="21" s="1"/>
  <c r="Y162" i="21"/>
  <c r="Y89" i="21" s="1"/>
  <c r="X162" i="21"/>
  <c r="W162" i="21"/>
  <c r="W89" i="21" s="1"/>
  <c r="V162" i="21"/>
  <c r="V89" i="21" s="1"/>
  <c r="AO161" i="21"/>
  <c r="AN161" i="21"/>
  <c r="AM161" i="21"/>
  <c r="AL161" i="21"/>
  <c r="AK161" i="21"/>
  <c r="AJ161" i="21"/>
  <c r="AI161" i="21"/>
  <c r="AH161" i="21"/>
  <c r="AG161" i="21"/>
  <c r="AF161" i="21"/>
  <c r="AE161" i="21"/>
  <c r="AD161" i="21"/>
  <c r="AD88" i="21" s="1"/>
  <c r="AC161" i="21"/>
  <c r="AC88" i="21" s="1"/>
  <c r="AB161" i="21"/>
  <c r="AA161" i="21"/>
  <c r="AA88" i="21" s="1"/>
  <c r="Z161" i="21"/>
  <c r="Z88" i="21" s="1"/>
  <c r="Y161" i="21"/>
  <c r="Y88" i="21" s="1"/>
  <c r="X161" i="21"/>
  <c r="W161" i="21"/>
  <c r="W88" i="21" s="1"/>
  <c r="V161" i="21"/>
  <c r="V88" i="21" s="1"/>
  <c r="AO160" i="21"/>
  <c r="AN160" i="21"/>
  <c r="AM160" i="21"/>
  <c r="AL160" i="21"/>
  <c r="X87" i="21" s="1"/>
  <c r="AK160" i="21"/>
  <c r="AJ160" i="21"/>
  <c r="AI160" i="21"/>
  <c r="AH160" i="21"/>
  <c r="AG160" i="21"/>
  <c r="AF160" i="21"/>
  <c r="AE160" i="21"/>
  <c r="AD160" i="21"/>
  <c r="AD87" i="21" s="1"/>
  <c r="AC160" i="21"/>
  <c r="AC87" i="21" s="1"/>
  <c r="AB160" i="21"/>
  <c r="AB87" i="21" s="1"/>
  <c r="AA160" i="21"/>
  <c r="AA87" i="21" s="1"/>
  <c r="Z160" i="21"/>
  <c r="Z87" i="21" s="1"/>
  <c r="Y160" i="21"/>
  <c r="X160" i="21"/>
  <c r="W160" i="21"/>
  <c r="V160" i="21"/>
  <c r="V87" i="21" s="1"/>
  <c r="AO159" i="21"/>
  <c r="AN159" i="21"/>
  <c r="AM159" i="21"/>
  <c r="AL159" i="21"/>
  <c r="AK159" i="21"/>
  <c r="AJ159" i="21"/>
  <c r="AI159" i="21"/>
  <c r="AH159" i="21"/>
  <c r="AG159" i="21"/>
  <c r="AF159" i="21"/>
  <c r="AE159" i="21"/>
  <c r="AD159" i="21"/>
  <c r="AC159" i="21"/>
  <c r="AB159" i="21"/>
  <c r="AA159" i="21"/>
  <c r="Z159" i="21"/>
  <c r="Y159" i="21"/>
  <c r="X159" i="21"/>
  <c r="W159" i="21"/>
  <c r="V159" i="21"/>
  <c r="AO158" i="21"/>
  <c r="AN158" i="21"/>
  <c r="AM158" i="21"/>
  <c r="AL158" i="21"/>
  <c r="AK158" i="21"/>
  <c r="AJ158" i="21"/>
  <c r="AI158" i="21"/>
  <c r="AH158" i="21"/>
  <c r="AG158" i="21"/>
  <c r="AF158" i="21"/>
  <c r="AE158" i="21"/>
  <c r="AD158" i="21"/>
  <c r="AC158" i="21"/>
  <c r="AB158" i="21"/>
  <c r="AA158" i="21"/>
  <c r="Z158" i="21"/>
  <c r="Y158" i="21"/>
  <c r="X158" i="21"/>
  <c r="W158" i="21"/>
  <c r="V158" i="21"/>
  <c r="AO157" i="21"/>
  <c r="AN157" i="21"/>
  <c r="AM157" i="21"/>
  <c r="AL157" i="21"/>
  <c r="AK157" i="21"/>
  <c r="AJ157" i="21"/>
  <c r="AI157" i="21"/>
  <c r="AH157" i="21"/>
  <c r="AG157" i="21"/>
  <c r="AF157" i="21"/>
  <c r="AE157" i="21"/>
  <c r="AD157" i="21"/>
  <c r="AC157" i="21"/>
  <c r="AB157" i="21"/>
  <c r="AA157" i="21"/>
  <c r="Z157" i="21"/>
  <c r="Y157" i="21"/>
  <c r="X157" i="21"/>
  <c r="W157" i="21"/>
  <c r="V157" i="21"/>
  <c r="AO156" i="21"/>
  <c r="AN156" i="21"/>
  <c r="AM156" i="21"/>
  <c r="AL156" i="21"/>
  <c r="AK156" i="21"/>
  <c r="AJ156" i="21"/>
  <c r="AI156" i="21"/>
  <c r="AH156" i="21"/>
  <c r="AG156" i="21"/>
  <c r="AF156" i="21"/>
  <c r="AE156" i="21"/>
  <c r="AD156" i="21"/>
  <c r="AC156" i="21"/>
  <c r="AB156" i="21"/>
  <c r="AA156" i="21"/>
  <c r="Z156" i="21"/>
  <c r="Y156" i="21"/>
  <c r="X156" i="21"/>
  <c r="W156" i="21"/>
  <c r="V156" i="21"/>
  <c r="AO155" i="21"/>
  <c r="AN155" i="21"/>
  <c r="AM155" i="21"/>
  <c r="AL155" i="21"/>
  <c r="AK155" i="21"/>
  <c r="AJ155" i="21"/>
  <c r="AI155" i="21"/>
  <c r="AH155" i="21"/>
  <c r="AG155" i="21"/>
  <c r="AF155" i="21"/>
  <c r="AE155" i="21"/>
  <c r="AD155" i="21"/>
  <c r="AC155" i="21"/>
  <c r="AB155" i="21"/>
  <c r="AA155" i="21"/>
  <c r="Z155" i="21"/>
  <c r="Y155" i="21"/>
  <c r="X155" i="21"/>
  <c r="W155" i="21"/>
  <c r="V155" i="21"/>
  <c r="AO154" i="21"/>
  <c r="AN154" i="21"/>
  <c r="AM154" i="21"/>
  <c r="AL154" i="21"/>
  <c r="AK154" i="21"/>
  <c r="AJ154" i="21"/>
  <c r="AI154" i="21"/>
  <c r="AH154" i="21"/>
  <c r="AG154" i="21"/>
  <c r="AF154" i="21"/>
  <c r="AE154" i="21"/>
  <c r="AD154" i="21"/>
  <c r="AC154" i="21"/>
  <c r="AB154" i="21"/>
  <c r="AA154" i="21"/>
  <c r="Z154" i="21"/>
  <c r="Y154" i="21"/>
  <c r="X154" i="21"/>
  <c r="W154" i="21"/>
  <c r="V154" i="21"/>
  <c r="AO153" i="21"/>
  <c r="AN153" i="21"/>
  <c r="AM153" i="21"/>
  <c r="AL153" i="21"/>
  <c r="AK153" i="21"/>
  <c r="AJ153" i="21"/>
  <c r="AI153" i="21"/>
  <c r="AH153" i="21"/>
  <c r="AG153" i="21"/>
  <c r="AF153" i="21"/>
  <c r="AE153" i="21"/>
  <c r="AD153" i="21"/>
  <c r="AC153" i="21"/>
  <c r="AB153" i="21"/>
  <c r="AA153" i="21"/>
  <c r="Z153" i="21"/>
  <c r="Y153" i="21"/>
  <c r="X153" i="21"/>
  <c r="W153" i="21"/>
  <c r="V153" i="21"/>
  <c r="AO152" i="21"/>
  <c r="AN152" i="21"/>
  <c r="AM152" i="21"/>
  <c r="AL152" i="21"/>
  <c r="AK152" i="21"/>
  <c r="AJ152" i="21"/>
  <c r="AI152" i="21"/>
  <c r="AH152" i="21"/>
  <c r="AG152" i="21"/>
  <c r="AF152" i="21"/>
  <c r="AE152" i="21"/>
  <c r="AD152" i="21"/>
  <c r="AC152" i="21"/>
  <c r="AB152" i="21"/>
  <c r="AA152" i="21"/>
  <c r="Z152" i="21"/>
  <c r="Y152" i="21"/>
  <c r="X152" i="21"/>
  <c r="W152" i="21"/>
  <c r="V152" i="21"/>
  <c r="AO151" i="21"/>
  <c r="AN151" i="21"/>
  <c r="AM151" i="21"/>
  <c r="AL151" i="21"/>
  <c r="AK151" i="21"/>
  <c r="AJ151" i="21"/>
  <c r="AI151" i="21"/>
  <c r="AH151" i="21"/>
  <c r="AG151" i="21"/>
  <c r="AF151" i="21"/>
  <c r="AE151" i="21"/>
  <c r="AD151" i="21"/>
  <c r="AC151" i="21"/>
  <c r="AB151" i="21"/>
  <c r="AA151" i="21"/>
  <c r="Z151" i="21"/>
  <c r="Y151" i="21"/>
  <c r="X151" i="21"/>
  <c r="W151" i="21"/>
  <c r="V151" i="21"/>
  <c r="AO150" i="21"/>
  <c r="AN150" i="21"/>
  <c r="AM150" i="21"/>
  <c r="AL150" i="21"/>
  <c r="AK150" i="21"/>
  <c r="AJ150" i="21"/>
  <c r="AI150" i="21"/>
  <c r="AH150" i="21"/>
  <c r="AG150" i="21"/>
  <c r="AF150" i="21"/>
  <c r="AE150" i="21"/>
  <c r="AD150" i="21"/>
  <c r="AC150" i="21"/>
  <c r="AB150" i="21"/>
  <c r="AA150" i="21"/>
  <c r="Z150" i="21"/>
  <c r="Y150" i="21"/>
  <c r="X150" i="21"/>
  <c r="W150" i="21"/>
  <c r="V150" i="21"/>
  <c r="AO149" i="21"/>
  <c r="AN149" i="21"/>
  <c r="AM149" i="21"/>
  <c r="AL149" i="21"/>
  <c r="AK149" i="21"/>
  <c r="AJ149" i="21"/>
  <c r="AI149" i="21"/>
  <c r="AH149" i="21"/>
  <c r="AG149" i="21"/>
  <c r="AF149" i="21"/>
  <c r="AE149" i="21"/>
  <c r="AD149" i="21"/>
  <c r="AC149" i="21"/>
  <c r="AB149" i="21"/>
  <c r="AA149" i="21"/>
  <c r="Z149" i="21"/>
  <c r="Y149" i="21"/>
  <c r="X149" i="21"/>
  <c r="W149" i="21"/>
  <c r="V149" i="21"/>
  <c r="AO148" i="21"/>
  <c r="AN148" i="21"/>
  <c r="AM148" i="21"/>
  <c r="AL148" i="21"/>
  <c r="AK148" i="21"/>
  <c r="AJ148" i="21"/>
  <c r="AI148" i="21"/>
  <c r="AH148" i="21"/>
  <c r="AG148" i="21"/>
  <c r="AF148" i="21"/>
  <c r="AE148" i="21"/>
  <c r="AD148" i="21"/>
  <c r="AC148" i="21"/>
  <c r="AB148" i="21"/>
  <c r="AA148" i="21"/>
  <c r="Z148" i="21"/>
  <c r="Y148" i="21"/>
  <c r="X148" i="21"/>
  <c r="W148" i="21"/>
  <c r="V148" i="21"/>
  <c r="AO147" i="21"/>
  <c r="AN147" i="21"/>
  <c r="AM147" i="21"/>
  <c r="AL147" i="21"/>
  <c r="AK147" i="21"/>
  <c r="AJ147" i="21"/>
  <c r="AI147" i="21"/>
  <c r="AH147" i="21"/>
  <c r="AG147" i="21"/>
  <c r="AF147" i="21"/>
  <c r="AE147" i="21"/>
  <c r="AD147" i="21"/>
  <c r="AC147" i="21"/>
  <c r="AB147" i="21"/>
  <c r="AA147" i="21"/>
  <c r="Z147" i="21"/>
  <c r="Y147" i="21"/>
  <c r="X147" i="21"/>
  <c r="W147" i="21"/>
  <c r="V147" i="21"/>
  <c r="AO146" i="21"/>
  <c r="AN146" i="21"/>
  <c r="AM146" i="21"/>
  <c r="AL146" i="21"/>
  <c r="AK146" i="21"/>
  <c r="AJ146" i="21"/>
  <c r="AI146" i="21"/>
  <c r="AH146" i="21"/>
  <c r="AG146" i="21"/>
  <c r="AF146" i="21"/>
  <c r="AE146" i="21"/>
  <c r="AD146" i="21"/>
  <c r="AC146" i="21"/>
  <c r="AB146" i="21"/>
  <c r="AA146" i="21"/>
  <c r="Z146" i="21"/>
  <c r="Y146" i="21"/>
  <c r="X146" i="21"/>
  <c r="W146" i="21"/>
  <c r="V146" i="21"/>
  <c r="AO145" i="21"/>
  <c r="AN145" i="21"/>
  <c r="AM145" i="21"/>
  <c r="AL145" i="21"/>
  <c r="AK145" i="21"/>
  <c r="AJ145" i="21"/>
  <c r="AI145" i="21"/>
  <c r="AH145" i="21"/>
  <c r="AG145" i="21"/>
  <c r="AF145" i="21"/>
  <c r="AE145" i="21"/>
  <c r="AD145" i="21"/>
  <c r="AC145" i="21"/>
  <c r="AB145" i="21"/>
  <c r="AA145" i="21"/>
  <c r="Z145" i="21"/>
  <c r="Y145" i="21"/>
  <c r="X145" i="21"/>
  <c r="W145" i="21"/>
  <c r="V145" i="21"/>
  <c r="AO144" i="21"/>
  <c r="AN144" i="21"/>
  <c r="AM144" i="21"/>
  <c r="AL144" i="21"/>
  <c r="AK144" i="21"/>
  <c r="AJ144" i="21"/>
  <c r="AI144" i="21"/>
  <c r="AH144" i="21"/>
  <c r="AG144" i="21"/>
  <c r="AF144" i="21"/>
  <c r="AE144" i="21"/>
  <c r="AD144" i="21"/>
  <c r="AC144" i="21"/>
  <c r="AB144" i="21"/>
  <c r="AA144" i="21"/>
  <c r="Z144" i="21"/>
  <c r="Y144" i="21"/>
  <c r="X144" i="21"/>
  <c r="W144" i="21"/>
  <c r="V144" i="21"/>
  <c r="AO143" i="21"/>
  <c r="AN143" i="21"/>
  <c r="AM143" i="21"/>
  <c r="AL143" i="21"/>
  <c r="AK143" i="21"/>
  <c r="AJ143" i="21"/>
  <c r="AI143" i="21"/>
  <c r="AH143" i="21"/>
  <c r="AG143" i="21"/>
  <c r="AF143" i="21"/>
  <c r="AE143" i="21"/>
  <c r="AD143" i="21"/>
  <c r="AC143" i="21"/>
  <c r="AB143" i="21"/>
  <c r="AA143" i="21"/>
  <c r="Z143" i="21"/>
  <c r="Y143" i="21"/>
  <c r="X143" i="21"/>
  <c r="W143" i="21"/>
  <c r="V143" i="21"/>
  <c r="AO142" i="21"/>
  <c r="AN142" i="21"/>
  <c r="AM142" i="21"/>
  <c r="AL142" i="21"/>
  <c r="AK142" i="21"/>
  <c r="AJ142" i="21"/>
  <c r="AI142" i="21"/>
  <c r="AH142" i="21"/>
  <c r="AG142" i="21"/>
  <c r="AF142" i="21"/>
  <c r="AE142" i="21"/>
  <c r="AD142" i="21"/>
  <c r="AC142" i="21"/>
  <c r="AB142" i="21"/>
  <c r="AA142" i="21"/>
  <c r="Z142" i="21"/>
  <c r="Y142" i="21"/>
  <c r="X142" i="21"/>
  <c r="W142" i="21"/>
  <c r="V142" i="21"/>
  <c r="AO141" i="21"/>
  <c r="AN141" i="21"/>
  <c r="AM141" i="21"/>
  <c r="AL141" i="21"/>
  <c r="AK141" i="21"/>
  <c r="AJ141" i="21"/>
  <c r="AI141" i="21"/>
  <c r="AH141" i="21"/>
  <c r="AG141" i="21"/>
  <c r="AF141" i="21"/>
  <c r="AE141" i="21"/>
  <c r="AD141" i="21"/>
  <c r="AC141" i="21"/>
  <c r="AB141" i="21"/>
  <c r="AA141" i="21"/>
  <c r="Z141" i="21"/>
  <c r="Y141" i="21"/>
  <c r="X141" i="21"/>
  <c r="W141" i="21"/>
  <c r="V141" i="21"/>
  <c r="AO140" i="21"/>
  <c r="AN140" i="21"/>
  <c r="AM140" i="21"/>
  <c r="AL140" i="21"/>
  <c r="AK140" i="21"/>
  <c r="AJ140" i="21"/>
  <c r="AI140" i="21"/>
  <c r="AH140" i="21"/>
  <c r="AG140" i="21"/>
  <c r="AF140" i="21"/>
  <c r="AE140" i="21"/>
  <c r="AD140" i="21"/>
  <c r="AC140" i="21"/>
  <c r="AB140" i="21"/>
  <c r="AA140" i="21"/>
  <c r="Z140" i="21"/>
  <c r="Y140" i="21"/>
  <c r="X140" i="21"/>
  <c r="W140" i="21"/>
  <c r="V140" i="21"/>
  <c r="AO139" i="21"/>
  <c r="AN139" i="21"/>
  <c r="AM139" i="21"/>
  <c r="AL139" i="21"/>
  <c r="AK139" i="21"/>
  <c r="AJ139" i="21"/>
  <c r="AI139" i="21"/>
  <c r="AH139" i="21"/>
  <c r="AG139" i="21"/>
  <c r="AF139" i="21"/>
  <c r="AE139" i="21"/>
  <c r="AD139" i="21"/>
  <c r="AC139" i="21"/>
  <c r="AB139" i="21"/>
  <c r="AA139" i="21"/>
  <c r="Z139" i="21"/>
  <c r="Y139" i="21"/>
  <c r="X139" i="21"/>
  <c r="W139" i="21"/>
  <c r="V139" i="21"/>
  <c r="AO138" i="21"/>
  <c r="AN138" i="21"/>
  <c r="AM138" i="21"/>
  <c r="AL138" i="21"/>
  <c r="AK138" i="21"/>
  <c r="AJ138" i="21"/>
  <c r="AI138" i="21"/>
  <c r="AH138" i="21"/>
  <c r="AG138" i="21"/>
  <c r="AF138" i="21"/>
  <c r="AE138" i="21"/>
  <c r="AD138" i="21"/>
  <c r="AC138" i="21"/>
  <c r="AB138" i="21"/>
  <c r="AA138" i="21"/>
  <c r="Z138" i="21"/>
  <c r="Y138" i="21"/>
  <c r="X138" i="21"/>
  <c r="W138" i="21"/>
  <c r="V138" i="21"/>
  <c r="AO137" i="21"/>
  <c r="AN137" i="21"/>
  <c r="AM137" i="21"/>
  <c r="AL137" i="21"/>
  <c r="AK137" i="21"/>
  <c r="AJ137" i="21"/>
  <c r="AI137" i="21"/>
  <c r="AH137" i="21"/>
  <c r="AG137" i="21"/>
  <c r="AF137" i="21"/>
  <c r="AE137" i="21"/>
  <c r="AD137" i="21"/>
  <c r="AC137" i="21"/>
  <c r="AB137" i="21"/>
  <c r="AA137" i="21"/>
  <c r="Z137" i="21"/>
  <c r="Y137" i="21"/>
  <c r="X137" i="21"/>
  <c r="W137" i="21"/>
  <c r="V137" i="21"/>
  <c r="AO136" i="21"/>
  <c r="AN136" i="21"/>
  <c r="AM136" i="21"/>
  <c r="AL136" i="21"/>
  <c r="AK136" i="21"/>
  <c r="AJ136" i="21"/>
  <c r="AI136" i="21"/>
  <c r="AH136" i="21"/>
  <c r="AG136" i="21"/>
  <c r="AF136" i="21"/>
  <c r="AE136" i="21"/>
  <c r="AD136" i="21"/>
  <c r="AC136" i="21"/>
  <c r="AB136" i="21"/>
  <c r="AA136" i="21"/>
  <c r="Z136" i="21"/>
  <c r="Y136" i="21"/>
  <c r="X136" i="21"/>
  <c r="W136" i="21"/>
  <c r="V136" i="21"/>
  <c r="AO135" i="21"/>
  <c r="AN135" i="21"/>
  <c r="AM135" i="21"/>
  <c r="AL135" i="21"/>
  <c r="AK135" i="21"/>
  <c r="AJ135" i="21"/>
  <c r="AI135" i="21"/>
  <c r="AH135" i="21"/>
  <c r="AG135" i="21"/>
  <c r="AF135" i="21"/>
  <c r="AE135" i="21"/>
  <c r="AD135" i="21"/>
  <c r="AC135" i="21"/>
  <c r="AB135" i="21"/>
  <c r="AA135" i="21"/>
  <c r="Z135" i="21"/>
  <c r="Y135" i="21"/>
  <c r="X135" i="21"/>
  <c r="W135" i="21"/>
  <c r="V135" i="21"/>
  <c r="AO134" i="21"/>
  <c r="AN134" i="21"/>
  <c r="AM134" i="21"/>
  <c r="AL134" i="21"/>
  <c r="AK134" i="21"/>
  <c r="AJ134" i="21"/>
  <c r="AI134" i="21"/>
  <c r="AH134" i="21"/>
  <c r="AG134" i="21"/>
  <c r="AF134" i="21"/>
  <c r="AE134" i="21"/>
  <c r="AD134" i="21"/>
  <c r="AC134" i="21"/>
  <c r="AB134" i="21"/>
  <c r="AA134" i="21"/>
  <c r="Z134" i="21"/>
  <c r="Y134" i="21"/>
  <c r="X134" i="21"/>
  <c r="W134" i="21"/>
  <c r="V134" i="21"/>
  <c r="AO133" i="21"/>
  <c r="AN133" i="21"/>
  <c r="AM133" i="21"/>
  <c r="AL133" i="21"/>
  <c r="AK133" i="21"/>
  <c r="AJ133" i="21"/>
  <c r="AI133" i="21"/>
  <c r="AH133" i="21"/>
  <c r="AG133" i="21"/>
  <c r="AF133" i="21"/>
  <c r="AE133" i="21"/>
  <c r="AD133" i="21"/>
  <c r="AC133" i="21"/>
  <c r="AB133" i="21"/>
  <c r="AA133" i="21"/>
  <c r="Z133" i="21"/>
  <c r="Y133" i="21"/>
  <c r="X133" i="21"/>
  <c r="W133" i="21"/>
  <c r="V133" i="21"/>
  <c r="AO132" i="21"/>
  <c r="AN132" i="21"/>
  <c r="AM132" i="21"/>
  <c r="AL132" i="21"/>
  <c r="AK132" i="21"/>
  <c r="AJ132" i="21"/>
  <c r="AI132" i="21"/>
  <c r="AH132" i="21"/>
  <c r="AG132" i="21"/>
  <c r="AF132" i="21"/>
  <c r="AE132" i="21"/>
  <c r="AD132" i="21"/>
  <c r="AC132" i="21"/>
  <c r="AB132" i="21"/>
  <c r="AA132" i="21"/>
  <c r="Z132" i="21"/>
  <c r="Y132" i="21"/>
  <c r="X132" i="21"/>
  <c r="W132" i="21"/>
  <c r="V132" i="21"/>
  <c r="AO131" i="21"/>
  <c r="AN131" i="21"/>
  <c r="AM131" i="21"/>
  <c r="AL131" i="21"/>
  <c r="AK131" i="21"/>
  <c r="AJ131" i="21"/>
  <c r="AI131" i="21"/>
  <c r="AH131" i="21"/>
  <c r="AG131" i="21"/>
  <c r="AF131" i="21"/>
  <c r="AE131" i="21"/>
  <c r="AD131" i="21"/>
  <c r="AC131" i="21"/>
  <c r="AB131" i="21"/>
  <c r="AA131" i="21"/>
  <c r="Z131" i="21"/>
  <c r="Y131" i="21"/>
  <c r="X131" i="21"/>
  <c r="W131" i="21"/>
  <c r="V131" i="21"/>
  <c r="AO130" i="21"/>
  <c r="AN130" i="21"/>
  <c r="AM130" i="21"/>
  <c r="AL130" i="21"/>
  <c r="AK130" i="21"/>
  <c r="AJ130" i="21"/>
  <c r="AI130" i="21"/>
  <c r="AH130" i="21"/>
  <c r="AG130" i="21"/>
  <c r="AF130" i="21"/>
  <c r="AE130" i="21"/>
  <c r="AD130" i="21"/>
  <c r="AC130" i="21"/>
  <c r="AB130" i="21"/>
  <c r="AA130" i="21"/>
  <c r="Z130" i="21"/>
  <c r="Y130" i="21"/>
  <c r="X130" i="21"/>
  <c r="W130" i="21"/>
  <c r="V130" i="21"/>
  <c r="AO129" i="21"/>
  <c r="AN129" i="21"/>
  <c r="AM129" i="21"/>
  <c r="AL129" i="21"/>
  <c r="AK129" i="21"/>
  <c r="AJ129" i="21"/>
  <c r="AI129" i="21"/>
  <c r="AH129" i="21"/>
  <c r="AG129" i="21"/>
  <c r="AF129" i="21"/>
  <c r="AE129" i="21"/>
  <c r="AD129" i="21"/>
  <c r="AC129" i="21"/>
  <c r="AB129" i="21"/>
  <c r="AA129" i="21"/>
  <c r="Z129" i="21"/>
  <c r="Y129" i="21"/>
  <c r="X129" i="21"/>
  <c r="W129" i="21"/>
  <c r="V129" i="21"/>
  <c r="AO128" i="21"/>
  <c r="AN128" i="21"/>
  <c r="AM128" i="21"/>
  <c r="AL128" i="21"/>
  <c r="AK128" i="21"/>
  <c r="AJ128" i="21"/>
  <c r="AI128" i="21"/>
  <c r="AH128" i="21"/>
  <c r="AG128" i="21"/>
  <c r="AF128" i="21"/>
  <c r="AE128" i="21"/>
  <c r="AD128" i="21"/>
  <c r="AC128" i="21"/>
  <c r="AB128" i="21"/>
  <c r="AA128" i="21"/>
  <c r="Z128" i="21"/>
  <c r="Y128" i="21"/>
  <c r="X128" i="21"/>
  <c r="W128" i="21"/>
  <c r="V128" i="21"/>
  <c r="AO127" i="21"/>
  <c r="AN127" i="21"/>
  <c r="AM127" i="21"/>
  <c r="AL127" i="21"/>
  <c r="AK127" i="21"/>
  <c r="AJ127" i="21"/>
  <c r="AI127" i="21"/>
  <c r="AH127" i="21"/>
  <c r="AG127" i="21"/>
  <c r="AF127" i="21"/>
  <c r="AE127" i="21"/>
  <c r="AD127" i="21"/>
  <c r="AC127" i="21"/>
  <c r="AB127" i="21"/>
  <c r="AA127" i="21"/>
  <c r="Z127" i="21"/>
  <c r="Y127" i="21"/>
  <c r="X127" i="21"/>
  <c r="W127" i="21"/>
  <c r="V127" i="21"/>
  <c r="AO126" i="21"/>
  <c r="AN126" i="21"/>
  <c r="AM126" i="21"/>
  <c r="AL126" i="21"/>
  <c r="AK126" i="21"/>
  <c r="AJ126" i="21"/>
  <c r="AI126" i="21"/>
  <c r="AH126" i="21"/>
  <c r="AG126" i="21"/>
  <c r="AF126" i="21"/>
  <c r="AE126" i="21"/>
  <c r="AD126" i="21"/>
  <c r="AC126" i="21"/>
  <c r="AB126" i="21"/>
  <c r="AA126" i="21"/>
  <c r="Z126" i="21"/>
  <c r="Y126" i="21"/>
  <c r="X126" i="21"/>
  <c r="W126" i="21"/>
  <c r="V126" i="21"/>
  <c r="AO125" i="21"/>
  <c r="AN125" i="21"/>
  <c r="AM125" i="21"/>
  <c r="AL125" i="21"/>
  <c r="AK125" i="21"/>
  <c r="AJ125" i="21"/>
  <c r="AI125" i="21"/>
  <c r="AH125" i="21"/>
  <c r="AG125" i="21"/>
  <c r="AF125" i="21"/>
  <c r="AE125" i="21"/>
  <c r="AD125" i="21"/>
  <c r="AC125" i="21"/>
  <c r="AB125" i="21"/>
  <c r="AA125" i="21"/>
  <c r="Z125" i="21"/>
  <c r="Y125" i="21"/>
  <c r="X125" i="21"/>
  <c r="W125" i="21"/>
  <c r="V125" i="21"/>
  <c r="AO124" i="21"/>
  <c r="AN124" i="21"/>
  <c r="AM124" i="21"/>
  <c r="AL124" i="21"/>
  <c r="AK124" i="21"/>
  <c r="AJ124" i="21"/>
  <c r="AI124" i="21"/>
  <c r="AH124" i="21"/>
  <c r="AG124" i="21"/>
  <c r="AF124" i="21"/>
  <c r="AE124" i="21"/>
  <c r="AD124" i="21"/>
  <c r="AC124" i="21"/>
  <c r="AB124" i="21"/>
  <c r="AA124" i="21"/>
  <c r="Z124" i="21"/>
  <c r="Y124" i="21"/>
  <c r="X124" i="21"/>
  <c r="W124" i="21"/>
  <c r="V124" i="21"/>
  <c r="AO123" i="21"/>
  <c r="AN123" i="21"/>
  <c r="AM123" i="21"/>
  <c r="AL123" i="21"/>
  <c r="AK123" i="21"/>
  <c r="AJ123" i="21"/>
  <c r="AI123" i="21"/>
  <c r="AH123" i="21"/>
  <c r="AG123" i="21"/>
  <c r="AF123" i="21"/>
  <c r="AE123" i="21"/>
  <c r="AD123" i="21"/>
  <c r="AC123" i="21"/>
  <c r="AB123" i="21"/>
  <c r="AA123" i="21"/>
  <c r="Z123" i="21"/>
  <c r="Y123" i="21"/>
  <c r="X123" i="21"/>
  <c r="W123" i="21"/>
  <c r="V123" i="21"/>
  <c r="AO122" i="21"/>
  <c r="AN122" i="21"/>
  <c r="AM122" i="21"/>
  <c r="AL122" i="21"/>
  <c r="AK122" i="21"/>
  <c r="AJ122" i="21"/>
  <c r="AI122" i="21"/>
  <c r="AH122" i="21"/>
  <c r="AG122" i="21"/>
  <c r="AF122" i="21"/>
  <c r="AE122" i="21"/>
  <c r="AD122" i="21"/>
  <c r="AC122" i="21"/>
  <c r="AB122" i="21"/>
  <c r="AA122" i="21"/>
  <c r="Z122" i="21"/>
  <c r="Y122" i="21"/>
  <c r="X122" i="21"/>
  <c r="W122" i="21"/>
  <c r="V122" i="21"/>
  <c r="AO121" i="21"/>
  <c r="AN121" i="21"/>
  <c r="AM121" i="21"/>
  <c r="AL121" i="21"/>
  <c r="AK121" i="21"/>
  <c r="AJ121" i="21"/>
  <c r="AI121" i="21"/>
  <c r="AH121" i="21"/>
  <c r="AG121" i="21"/>
  <c r="AF121" i="21"/>
  <c r="AE121" i="21"/>
  <c r="AD121" i="21"/>
  <c r="AC121" i="21"/>
  <c r="AB121" i="21"/>
  <c r="AA121" i="21"/>
  <c r="Z121" i="21"/>
  <c r="Y121" i="21"/>
  <c r="X121" i="21"/>
  <c r="W121" i="21"/>
  <c r="V121" i="21"/>
  <c r="AO120" i="21"/>
  <c r="AN120" i="21"/>
  <c r="AM120" i="21"/>
  <c r="AL120" i="21"/>
  <c r="AK120" i="21"/>
  <c r="AJ120" i="21"/>
  <c r="AI120" i="21"/>
  <c r="AH120" i="21"/>
  <c r="AG120" i="21"/>
  <c r="AF120" i="21"/>
  <c r="AE120" i="21"/>
  <c r="AD120" i="21"/>
  <c r="AC120" i="21"/>
  <c r="AB120" i="21"/>
  <c r="AA120" i="21"/>
  <c r="Z120" i="21"/>
  <c r="Y120" i="21"/>
  <c r="X120" i="21"/>
  <c r="W120" i="21"/>
  <c r="V120" i="21"/>
  <c r="AO119" i="21"/>
  <c r="AN119" i="21"/>
  <c r="AM119" i="21"/>
  <c r="AL119" i="21"/>
  <c r="AK119" i="21"/>
  <c r="AJ119" i="21"/>
  <c r="AI119" i="21"/>
  <c r="AH119" i="21"/>
  <c r="AG119" i="21"/>
  <c r="AF119" i="21"/>
  <c r="AE119" i="21"/>
  <c r="AD119" i="21"/>
  <c r="AC119" i="21"/>
  <c r="AB119" i="21"/>
  <c r="AA119" i="21"/>
  <c r="Z119" i="21"/>
  <c r="Y119" i="21"/>
  <c r="X119" i="21"/>
  <c r="W119" i="21"/>
  <c r="V119" i="21"/>
  <c r="AO118" i="21"/>
  <c r="AN118" i="21"/>
  <c r="AM118" i="21"/>
  <c r="AL118" i="21"/>
  <c r="AK118" i="21"/>
  <c r="AJ118" i="21"/>
  <c r="AI118" i="21"/>
  <c r="AH118" i="21"/>
  <c r="AG118" i="21"/>
  <c r="AF118" i="21"/>
  <c r="AE118" i="21"/>
  <c r="AD118" i="21"/>
  <c r="AC118" i="21"/>
  <c r="AB118" i="21"/>
  <c r="AA118" i="21"/>
  <c r="Z118" i="21"/>
  <c r="Y118" i="21"/>
  <c r="X118" i="21"/>
  <c r="W118" i="21"/>
  <c r="V118" i="21"/>
  <c r="AO117" i="21"/>
  <c r="AN117" i="21"/>
  <c r="AM117" i="21"/>
  <c r="AL117" i="21"/>
  <c r="AK117" i="21"/>
  <c r="AJ117" i="21"/>
  <c r="AI117" i="21"/>
  <c r="AH117" i="21"/>
  <c r="AG117" i="21"/>
  <c r="AF117" i="21"/>
  <c r="AE117" i="21"/>
  <c r="AD117" i="21"/>
  <c r="AC117" i="21"/>
  <c r="AB117" i="21"/>
  <c r="AA117" i="21"/>
  <c r="Z117" i="21"/>
  <c r="Y117" i="21"/>
  <c r="X117" i="21"/>
  <c r="W117" i="21"/>
  <c r="V117" i="21"/>
  <c r="AO116" i="21"/>
  <c r="AN116" i="21"/>
  <c r="AM116" i="21"/>
  <c r="AL116" i="21"/>
  <c r="AK116" i="21"/>
  <c r="AJ116" i="21"/>
  <c r="AI116" i="21"/>
  <c r="AH116" i="21"/>
  <c r="AG116" i="21"/>
  <c r="AF116" i="21"/>
  <c r="AE116" i="21"/>
  <c r="AD116" i="21"/>
  <c r="AC116" i="21"/>
  <c r="AB116" i="21"/>
  <c r="AA116" i="21"/>
  <c r="Z116" i="21"/>
  <c r="Y116" i="21"/>
  <c r="X116" i="21"/>
  <c r="W116" i="21"/>
  <c r="V116" i="21"/>
  <c r="AO115" i="21"/>
  <c r="AN115" i="21"/>
  <c r="AM115" i="21"/>
  <c r="AL115" i="21"/>
  <c r="AK115" i="21"/>
  <c r="AJ115" i="21"/>
  <c r="AI115" i="21"/>
  <c r="AH115" i="21"/>
  <c r="AG115" i="21"/>
  <c r="AF115" i="21"/>
  <c r="AE115" i="21"/>
  <c r="AD115" i="21"/>
  <c r="AC115" i="21"/>
  <c r="AB115" i="21"/>
  <c r="AA115" i="21"/>
  <c r="Z115" i="21"/>
  <c r="Y115" i="21"/>
  <c r="X115" i="21"/>
  <c r="W115" i="21"/>
  <c r="V115" i="21"/>
  <c r="AO114" i="21"/>
  <c r="AN114" i="21"/>
  <c r="AM114" i="21"/>
  <c r="AL114" i="21"/>
  <c r="AK114" i="21"/>
  <c r="AJ114" i="21"/>
  <c r="AI114" i="21"/>
  <c r="AH114" i="21"/>
  <c r="AG114" i="21"/>
  <c r="AF114" i="21"/>
  <c r="AE114" i="21"/>
  <c r="AD114" i="21"/>
  <c r="AC114" i="21"/>
  <c r="AB114" i="21"/>
  <c r="AA114" i="21"/>
  <c r="Z114" i="21"/>
  <c r="Y114" i="21"/>
  <c r="X114" i="21"/>
  <c r="W114" i="21"/>
  <c r="V114" i="21"/>
  <c r="AO113" i="21"/>
  <c r="AN113" i="21"/>
  <c r="AM113" i="21"/>
  <c r="AL113" i="21"/>
  <c r="AK113" i="21"/>
  <c r="AJ113" i="21"/>
  <c r="AI113" i="21"/>
  <c r="AH113" i="21"/>
  <c r="AG113" i="21"/>
  <c r="AF113" i="21"/>
  <c r="AE113" i="21"/>
  <c r="AD113" i="21"/>
  <c r="AC113" i="21"/>
  <c r="AB113" i="21"/>
  <c r="AA113" i="21"/>
  <c r="Z113" i="21"/>
  <c r="Y113" i="21"/>
  <c r="X113" i="21"/>
  <c r="W113" i="21"/>
  <c r="V113" i="21"/>
  <c r="AO112" i="21"/>
  <c r="AN112" i="21"/>
  <c r="AM112" i="21"/>
  <c r="AL112" i="21"/>
  <c r="AK112" i="21"/>
  <c r="AJ112" i="21"/>
  <c r="AI112" i="21"/>
  <c r="AH112" i="21"/>
  <c r="AG112" i="21"/>
  <c r="AF112" i="21"/>
  <c r="AE112" i="21"/>
  <c r="AD112" i="21"/>
  <c r="AC112" i="21"/>
  <c r="AB112" i="21"/>
  <c r="AA112" i="21"/>
  <c r="Z112" i="21"/>
  <c r="Y112" i="21"/>
  <c r="X112" i="21"/>
  <c r="W112" i="21"/>
  <c r="V112" i="21"/>
  <c r="AO111" i="21"/>
  <c r="AN111" i="21"/>
  <c r="AM111" i="21"/>
  <c r="AL111" i="21"/>
  <c r="AK111" i="21"/>
  <c r="AJ111" i="21"/>
  <c r="AI111" i="21"/>
  <c r="AH111" i="21"/>
  <c r="AG111" i="21"/>
  <c r="AF111" i="21"/>
  <c r="AE111" i="21"/>
  <c r="AD111" i="21"/>
  <c r="AC111" i="21"/>
  <c r="AB111" i="21"/>
  <c r="AA111" i="21"/>
  <c r="Z111" i="21"/>
  <c r="Y111" i="21"/>
  <c r="X111" i="21"/>
  <c r="W111" i="21"/>
  <c r="V111" i="21"/>
  <c r="AO110" i="21"/>
  <c r="AN110" i="21"/>
  <c r="AM110" i="21"/>
  <c r="AL110" i="21"/>
  <c r="AK110" i="21"/>
  <c r="AJ110" i="21"/>
  <c r="AI110" i="21"/>
  <c r="AH110" i="21"/>
  <c r="AG110" i="21"/>
  <c r="AF110" i="21"/>
  <c r="AE110" i="21"/>
  <c r="AD110" i="21"/>
  <c r="AC110" i="21"/>
  <c r="AB110" i="21"/>
  <c r="AA110" i="21"/>
  <c r="Z110" i="21"/>
  <c r="Y110" i="21"/>
  <c r="X110" i="21"/>
  <c r="W110" i="21"/>
  <c r="V110" i="21"/>
  <c r="AO109" i="21"/>
  <c r="AN109" i="21"/>
  <c r="AM109" i="21"/>
  <c r="AL109" i="21"/>
  <c r="AK109" i="21"/>
  <c r="AJ109" i="21"/>
  <c r="AI109" i="21"/>
  <c r="AH109" i="21"/>
  <c r="AG109" i="21"/>
  <c r="AF109" i="21"/>
  <c r="AE109" i="21"/>
  <c r="AD109" i="21"/>
  <c r="AC109" i="21"/>
  <c r="AB109" i="21"/>
  <c r="AA109" i="21"/>
  <c r="Z109" i="21"/>
  <c r="Y109" i="21"/>
  <c r="X109" i="21"/>
  <c r="W109" i="21"/>
  <c r="V109" i="21"/>
  <c r="AO108" i="21"/>
  <c r="AN108" i="21"/>
  <c r="AM108" i="21"/>
  <c r="AL108" i="21"/>
  <c r="AK108" i="21"/>
  <c r="AJ108" i="21"/>
  <c r="AI108" i="21"/>
  <c r="AH108" i="21"/>
  <c r="AG108" i="21"/>
  <c r="AF108" i="21"/>
  <c r="AE108" i="21"/>
  <c r="AD108" i="21"/>
  <c r="AC108" i="21"/>
  <c r="AB108" i="21"/>
  <c r="AA108" i="21"/>
  <c r="Z108" i="21"/>
  <c r="Y108" i="21"/>
  <c r="X108" i="21"/>
  <c r="W108" i="21"/>
  <c r="V108" i="21"/>
  <c r="AO107" i="21"/>
  <c r="AN107" i="21"/>
  <c r="AM107" i="21"/>
  <c r="AL107" i="21"/>
  <c r="AK107" i="21"/>
  <c r="AJ107" i="21"/>
  <c r="AI107" i="21"/>
  <c r="AH107" i="21"/>
  <c r="AG107" i="21"/>
  <c r="AF107" i="21"/>
  <c r="AE107" i="21"/>
  <c r="AD107" i="21"/>
  <c r="AC107" i="21"/>
  <c r="AB107" i="21"/>
  <c r="AA107" i="21"/>
  <c r="Z107" i="21"/>
  <c r="Y107" i="21"/>
  <c r="X107" i="21"/>
  <c r="W107" i="21"/>
  <c r="V107" i="21"/>
  <c r="AO106" i="21"/>
  <c r="AN106" i="21"/>
  <c r="AM106" i="21"/>
  <c r="AL106" i="21"/>
  <c r="AK106" i="21"/>
  <c r="AJ106" i="21"/>
  <c r="AI106" i="21"/>
  <c r="AH106" i="21"/>
  <c r="AG106" i="21"/>
  <c r="AF106" i="21"/>
  <c r="AE106" i="21"/>
  <c r="AD106" i="21"/>
  <c r="AC106" i="21"/>
  <c r="AB106" i="21"/>
  <c r="AA106" i="21"/>
  <c r="Z106" i="21"/>
  <c r="Y106" i="21"/>
  <c r="X106" i="21"/>
  <c r="W106" i="21"/>
  <c r="V106" i="21"/>
  <c r="AO105" i="21"/>
  <c r="AN105" i="21"/>
  <c r="AM105" i="21"/>
  <c r="AL105" i="21"/>
  <c r="AK105" i="21"/>
  <c r="AJ105" i="21"/>
  <c r="AI105" i="21"/>
  <c r="AH105" i="21"/>
  <c r="AG105" i="21"/>
  <c r="AF105" i="21"/>
  <c r="AE105" i="21"/>
  <c r="AD105" i="21"/>
  <c r="AC105" i="21"/>
  <c r="AB105" i="21"/>
  <c r="AA105" i="21"/>
  <c r="Z105" i="21"/>
  <c r="Y105" i="21"/>
  <c r="X105" i="21"/>
  <c r="W105" i="21"/>
  <c r="V105" i="21"/>
  <c r="AO104" i="21"/>
  <c r="AN104" i="21"/>
  <c r="AM104" i="21"/>
  <c r="AL104" i="21"/>
  <c r="AK104" i="21"/>
  <c r="AJ104" i="21"/>
  <c r="AI104" i="21"/>
  <c r="AH104" i="21"/>
  <c r="AG104" i="21"/>
  <c r="AF104" i="21"/>
  <c r="AE104" i="21"/>
  <c r="AD104" i="21"/>
  <c r="AC104" i="21"/>
  <c r="AB104" i="21"/>
  <c r="AA104" i="21"/>
  <c r="Z104" i="21"/>
  <c r="Y104" i="21"/>
  <c r="X104" i="21"/>
  <c r="W104" i="21"/>
  <c r="V104" i="21"/>
  <c r="AO103" i="21"/>
  <c r="AN103" i="21"/>
  <c r="AM103" i="21"/>
  <c r="AL103" i="21"/>
  <c r="AK103" i="21"/>
  <c r="AJ103" i="21"/>
  <c r="AI103" i="21"/>
  <c r="AH103" i="21"/>
  <c r="AG103" i="21"/>
  <c r="AF103" i="21"/>
  <c r="AE103" i="21"/>
  <c r="AD103" i="21"/>
  <c r="AC103" i="21"/>
  <c r="AB103" i="21"/>
  <c r="AA103" i="21"/>
  <c r="Z103" i="21"/>
  <c r="Y103" i="21"/>
  <c r="X103" i="21"/>
  <c r="W103" i="21"/>
  <c r="V103" i="21"/>
  <c r="AO102" i="21"/>
  <c r="AN102" i="21"/>
  <c r="AM102" i="21"/>
  <c r="AL102" i="21"/>
  <c r="AK102" i="21"/>
  <c r="AJ102" i="21"/>
  <c r="AI102" i="21"/>
  <c r="AH102" i="21"/>
  <c r="AG102" i="21"/>
  <c r="AF102" i="21"/>
  <c r="AE102" i="21"/>
  <c r="AD102" i="21"/>
  <c r="AC102" i="21"/>
  <c r="AB102" i="21"/>
  <c r="AA102" i="21"/>
  <c r="Z102" i="21"/>
  <c r="Y102" i="21"/>
  <c r="X102" i="21"/>
  <c r="W102" i="21"/>
  <c r="V102" i="21"/>
  <c r="AO101" i="21"/>
  <c r="AN101" i="21"/>
  <c r="AM101" i="21"/>
  <c r="AL101" i="21"/>
  <c r="AK101" i="21"/>
  <c r="AJ101" i="21"/>
  <c r="AI101" i="21"/>
  <c r="AH101" i="21"/>
  <c r="AG101" i="21"/>
  <c r="AF101" i="21"/>
  <c r="AE101" i="21"/>
  <c r="AD101" i="21"/>
  <c r="AC101" i="21"/>
  <c r="AB101" i="21"/>
  <c r="AA101" i="21"/>
  <c r="Z101" i="21"/>
  <c r="Y101" i="21"/>
  <c r="X101" i="21"/>
  <c r="W101" i="21"/>
  <c r="V101" i="21"/>
  <c r="AO100" i="21"/>
  <c r="AN100" i="21"/>
  <c r="AM100" i="21"/>
  <c r="AL100" i="21"/>
  <c r="AK100" i="21"/>
  <c r="AJ100" i="21"/>
  <c r="AI100" i="21"/>
  <c r="AH100" i="21"/>
  <c r="AG100" i="21"/>
  <c r="AF100" i="21"/>
  <c r="AE100" i="21"/>
  <c r="AD100" i="21"/>
  <c r="AC100" i="21"/>
  <c r="AB100" i="21"/>
  <c r="AA100" i="21"/>
  <c r="Z100" i="21"/>
  <c r="Y100" i="21"/>
  <c r="X100" i="21"/>
  <c r="W100" i="21"/>
  <c r="V100" i="21"/>
  <c r="AV95" i="21"/>
  <c r="AB95" i="21"/>
  <c r="AA95" i="21"/>
  <c r="AV94" i="21"/>
  <c r="AD94" i="21"/>
  <c r="AB94" i="21"/>
  <c r="W94" i="21"/>
  <c r="V94" i="21"/>
  <c r="AV93" i="21"/>
  <c r="Y93" i="21"/>
  <c r="AV92" i="21"/>
  <c r="AB92" i="21"/>
  <c r="X92" i="21"/>
  <c r="AV91" i="21"/>
  <c r="AB91" i="21"/>
  <c r="AA91" i="21"/>
  <c r="AV90" i="21"/>
  <c r="AB90" i="21"/>
  <c r="Z90" i="21"/>
  <c r="V90" i="21"/>
  <c r="AV89" i="21"/>
  <c r="AB89" i="21"/>
  <c r="AV88" i="21"/>
  <c r="AB88" i="21"/>
  <c r="X88" i="21"/>
  <c r="AV87" i="21"/>
  <c r="Y87" i="21"/>
  <c r="W87" i="21"/>
  <c r="AV86" i="21"/>
  <c r="AV85" i="21"/>
  <c r="AV84" i="21"/>
  <c r="AV83" i="21"/>
  <c r="AV82" i="21"/>
  <c r="Z82" i="21"/>
  <c r="Y82" i="21"/>
  <c r="X82" i="21"/>
  <c r="W82" i="21"/>
  <c r="V82" i="21"/>
  <c r="AV81" i="21"/>
  <c r="Z81" i="21"/>
  <c r="Y81" i="21"/>
  <c r="X81" i="21"/>
  <c r="W81" i="21"/>
  <c r="V81" i="21"/>
  <c r="AV80" i="21"/>
  <c r="Z80" i="21"/>
  <c r="Y80" i="21"/>
  <c r="X80" i="21"/>
  <c r="W80" i="21"/>
  <c r="V80" i="21"/>
  <c r="AV79" i="21"/>
  <c r="Z79" i="21"/>
  <c r="Y79" i="21"/>
  <c r="X79" i="21"/>
  <c r="W79" i="21"/>
  <c r="V79" i="21"/>
  <c r="AV78" i="21"/>
  <c r="Z78" i="21"/>
  <c r="Y78" i="21"/>
  <c r="X78" i="21"/>
  <c r="W78" i="21"/>
  <c r="V78" i="21"/>
  <c r="AV77" i="21"/>
  <c r="Z77" i="21"/>
  <c r="Y77" i="21"/>
  <c r="X77" i="21"/>
  <c r="W77" i="21"/>
  <c r="V77" i="21"/>
  <c r="AV76" i="21"/>
  <c r="Z76" i="21"/>
  <c r="Y76" i="21"/>
  <c r="X76" i="21"/>
  <c r="W76" i="21"/>
  <c r="V76" i="21"/>
  <c r="AV75" i="21"/>
  <c r="Z75" i="21"/>
  <c r="Y75" i="21"/>
  <c r="X75" i="21"/>
  <c r="W75" i="21"/>
  <c r="V75" i="21"/>
  <c r="AV74" i="21"/>
  <c r="Z74" i="21"/>
  <c r="Y74" i="21"/>
  <c r="X74" i="21"/>
  <c r="W74" i="21"/>
  <c r="V74" i="21"/>
  <c r="AV73" i="21"/>
  <c r="Z73" i="21"/>
  <c r="Y73" i="21"/>
  <c r="X73" i="21"/>
  <c r="W73" i="21"/>
  <c r="V73" i="21"/>
  <c r="AV72" i="21"/>
  <c r="AV71" i="21"/>
  <c r="AV70" i="21"/>
  <c r="AV69" i="21"/>
  <c r="AV68" i="21"/>
  <c r="AA68" i="21"/>
  <c r="Z68" i="21"/>
  <c r="Y68" i="21"/>
  <c r="X68" i="21"/>
  <c r="W68" i="21"/>
  <c r="V68" i="21"/>
  <c r="AV67" i="21"/>
  <c r="AA67" i="21"/>
  <c r="Z67" i="21"/>
  <c r="Y67" i="21"/>
  <c r="X67" i="21"/>
  <c r="W67" i="21"/>
  <c r="V67" i="21"/>
  <c r="AV66" i="21"/>
  <c r="Z66" i="21"/>
  <c r="Y66" i="21"/>
  <c r="X66" i="21"/>
  <c r="W66" i="21"/>
  <c r="V66" i="21"/>
  <c r="AV65" i="21"/>
  <c r="AA65" i="21"/>
  <c r="Z65" i="21"/>
  <c r="Y65" i="21"/>
  <c r="X65" i="21"/>
  <c r="W65" i="21"/>
  <c r="V65" i="21"/>
  <c r="AV64" i="21"/>
  <c r="AA64" i="21"/>
  <c r="Z64" i="21"/>
  <c r="Y64" i="21"/>
  <c r="X64" i="21"/>
  <c r="W64" i="21"/>
  <c r="V64" i="21"/>
  <c r="AV63" i="21"/>
  <c r="AA63" i="21"/>
  <c r="Z63" i="21"/>
  <c r="Y63" i="21"/>
  <c r="X63" i="21"/>
  <c r="W63" i="21"/>
  <c r="V63" i="21"/>
  <c r="AV62" i="21"/>
  <c r="AA62" i="21"/>
  <c r="Z62" i="21"/>
  <c r="Y62" i="21"/>
  <c r="X62" i="21"/>
  <c r="W62" i="21"/>
  <c r="V62" i="21"/>
  <c r="AV61" i="21"/>
  <c r="AA61" i="21"/>
  <c r="Z61" i="21"/>
  <c r="Y61" i="21"/>
  <c r="X61" i="21"/>
  <c r="W61" i="21"/>
  <c r="V61" i="21"/>
  <c r="AV60" i="21"/>
  <c r="AA60" i="21"/>
  <c r="Z60" i="21"/>
  <c r="Y60" i="21"/>
  <c r="X60" i="21"/>
  <c r="W60" i="21"/>
  <c r="V60" i="21"/>
  <c r="AV59" i="21"/>
  <c r="AA59" i="21"/>
  <c r="Z59" i="21"/>
  <c r="Y59" i="21"/>
  <c r="X59" i="21"/>
  <c r="W59" i="21"/>
  <c r="V59" i="21"/>
  <c r="AV58" i="21"/>
  <c r="AQ58" i="21"/>
  <c r="AQ59" i="21" s="1"/>
  <c r="D40" i="21" s="1"/>
  <c r="AA58" i="21"/>
  <c r="Z58" i="21"/>
  <c r="Y58" i="21"/>
  <c r="X58" i="21"/>
  <c r="W58" i="21"/>
  <c r="V58" i="21"/>
  <c r="AV57" i="21"/>
  <c r="AA57" i="21"/>
  <c r="Z57" i="21"/>
  <c r="Y57" i="21"/>
  <c r="X57" i="21"/>
  <c r="W57" i="21"/>
  <c r="V57" i="21"/>
  <c r="B57" i="21"/>
  <c r="AV56" i="21"/>
  <c r="AA56" i="21"/>
  <c r="Z56" i="21"/>
  <c r="Y56" i="21"/>
  <c r="X56" i="21"/>
  <c r="W56" i="21"/>
  <c r="V56" i="21"/>
  <c r="AV55" i="21"/>
  <c r="AV54" i="21"/>
  <c r="AV53" i="21"/>
  <c r="AV52" i="21"/>
  <c r="AV51" i="21"/>
  <c r="B49" i="21"/>
  <c r="B47" i="21"/>
  <c r="AQ34" i="21" s="1"/>
  <c r="B45" i="21"/>
  <c r="AQ32" i="21" s="1"/>
  <c r="AP44" i="21"/>
  <c r="B59" i="21" s="1"/>
  <c r="AP43" i="21"/>
  <c r="B58" i="21" s="1"/>
  <c r="AP42" i="21"/>
  <c r="X42" i="21"/>
  <c r="AP41" i="21"/>
  <c r="B56" i="21" s="1"/>
  <c r="X41" i="21"/>
  <c r="AP40" i="21"/>
  <c r="B55" i="21" s="1"/>
  <c r="X40" i="21"/>
  <c r="B40" i="21"/>
  <c r="X39" i="21"/>
  <c r="X38" i="21"/>
  <c r="X37" i="21"/>
  <c r="AQ36" i="21"/>
  <c r="X36" i="21"/>
  <c r="X35" i="21"/>
  <c r="Q35" i="21"/>
  <c r="P35" i="21"/>
  <c r="E18" i="21" s="1"/>
  <c r="AL9" i="21" s="1"/>
  <c r="E35" i="21"/>
  <c r="B35" i="21"/>
  <c r="X34" i="21"/>
  <c r="J34" i="21"/>
  <c r="D35" i="21" s="1"/>
  <c r="X33" i="21"/>
  <c r="X32" i="21"/>
  <c r="AG31" i="21"/>
  <c r="X31" i="21"/>
  <c r="AC30" i="21"/>
  <c r="O99" i="21" s="1"/>
  <c r="X30" i="21"/>
  <c r="X29" i="21"/>
  <c r="B29" i="21"/>
  <c r="AQ27" i="21" s="1"/>
  <c r="X28" i="21"/>
  <c r="B27" i="21"/>
  <c r="P25" i="21"/>
  <c r="P24" i="21"/>
  <c r="G20" i="21" s="1"/>
  <c r="I24" i="21"/>
  <c r="G24" i="21"/>
  <c r="E24" i="21"/>
  <c r="C24" i="21"/>
  <c r="AB23" i="21"/>
  <c r="AA23" i="21"/>
  <c r="Z23" i="21"/>
  <c r="AC23" i="21" s="1"/>
  <c r="Y23" i="21"/>
  <c r="I23" i="21"/>
  <c r="G23" i="21"/>
  <c r="E23" i="21"/>
  <c r="C23" i="21"/>
  <c r="AB22" i="21"/>
  <c r="AA22" i="21"/>
  <c r="Z22" i="21"/>
  <c r="AC22" i="21" s="1"/>
  <c r="Y22" i="21"/>
  <c r="I22" i="21"/>
  <c r="G22" i="21"/>
  <c r="E22" i="21"/>
  <c r="C22" i="21"/>
  <c r="I21" i="21"/>
  <c r="G21" i="21"/>
  <c r="E21" i="21"/>
  <c r="C21" i="21"/>
  <c r="AQ20" i="21"/>
  <c r="AI20" i="21"/>
  <c r="I20" i="21"/>
  <c r="AQ19" i="21"/>
  <c r="B48" i="21" s="1"/>
  <c r="AQ35" i="21" s="1"/>
  <c r="AI19" i="21"/>
  <c r="AQ18" i="21"/>
  <c r="AI18" i="21"/>
  <c r="AJ18" i="21" s="1"/>
  <c r="I18" i="21"/>
  <c r="AI17" i="21"/>
  <c r="AI16" i="21"/>
  <c r="AL15" i="21"/>
  <c r="AJ15" i="21"/>
  <c r="AI15" i="21"/>
  <c r="AQ14" i="21"/>
  <c r="AI14" i="21"/>
  <c r="I14" i="21"/>
  <c r="AQ13" i="21"/>
  <c r="AI13" i="21"/>
  <c r="AQ12" i="21"/>
  <c r="AJ12" i="21"/>
  <c r="AI12" i="21"/>
  <c r="AI11" i="21"/>
  <c r="AB11" i="21"/>
  <c r="AA11" i="21"/>
  <c r="Z11" i="21"/>
  <c r="AC11" i="21" s="1"/>
  <c r="Y11" i="21"/>
  <c r="AI10" i="21"/>
  <c r="AC10" i="21"/>
  <c r="AB10" i="21"/>
  <c r="AA10" i="21"/>
  <c r="Z10" i="21"/>
  <c r="Y10" i="21"/>
  <c r="AI9" i="21"/>
  <c r="AJ9" i="21" s="1"/>
  <c r="AC9" i="21"/>
  <c r="AB9" i="21"/>
  <c r="AA9" i="21"/>
  <c r="Z9" i="21"/>
  <c r="Y9" i="21"/>
  <c r="AQ8" i="21"/>
  <c r="B43" i="21" s="1"/>
  <c r="AQ30" i="21" s="1"/>
  <c r="AB8" i="21"/>
  <c r="AA8" i="21"/>
  <c r="Z8" i="21"/>
  <c r="AC8" i="21" s="1"/>
  <c r="Y8" i="21"/>
  <c r="AQ7" i="21"/>
  <c r="AQ6" i="21"/>
  <c r="AS5" i="21"/>
  <c r="AC30" i="20"/>
  <c r="AO179" i="20"/>
  <c r="AN179" i="20"/>
  <c r="AM179" i="20"/>
  <c r="AL179" i="20"/>
  <c r="AK179" i="20"/>
  <c r="AJ179" i="20"/>
  <c r="AI179" i="20"/>
  <c r="AH179" i="20"/>
  <c r="AG179" i="20"/>
  <c r="AF179" i="20"/>
  <c r="AE179" i="20"/>
  <c r="AD179" i="20"/>
  <c r="AC179" i="20"/>
  <c r="AB179" i="20"/>
  <c r="AA179" i="20"/>
  <c r="Z179" i="20"/>
  <c r="Y179" i="20"/>
  <c r="X179" i="20"/>
  <c r="W179" i="20"/>
  <c r="V179" i="20"/>
  <c r="AO178" i="20"/>
  <c r="AN178" i="20"/>
  <c r="AM178" i="20"/>
  <c r="AL178" i="20"/>
  <c r="AK178" i="20"/>
  <c r="AJ178" i="20"/>
  <c r="AI178" i="20"/>
  <c r="AH178" i="20"/>
  <c r="AG178" i="20"/>
  <c r="AF178" i="20"/>
  <c r="AE178" i="20"/>
  <c r="AD178" i="20"/>
  <c r="AC178" i="20"/>
  <c r="AB178" i="20"/>
  <c r="AA178" i="20"/>
  <c r="Z178" i="20"/>
  <c r="Y178" i="20"/>
  <c r="X178" i="20"/>
  <c r="W178" i="20"/>
  <c r="V178" i="20"/>
  <c r="AO177" i="20"/>
  <c r="AN177" i="20"/>
  <c r="AM177" i="20"/>
  <c r="AL177" i="20"/>
  <c r="AK177" i="20"/>
  <c r="AJ177" i="20"/>
  <c r="AI177" i="20"/>
  <c r="AH177" i="20"/>
  <c r="AG177" i="20"/>
  <c r="AF177" i="20"/>
  <c r="AE177" i="20"/>
  <c r="AD177" i="20"/>
  <c r="AC177" i="20"/>
  <c r="AB177" i="20"/>
  <c r="AA177" i="20"/>
  <c r="Z177" i="20"/>
  <c r="Y177" i="20"/>
  <c r="X177" i="20"/>
  <c r="W177" i="20"/>
  <c r="V177" i="20"/>
  <c r="AO176" i="20"/>
  <c r="AN176" i="20"/>
  <c r="AM176" i="20"/>
  <c r="AL176" i="20"/>
  <c r="AK176" i="20"/>
  <c r="AJ176" i="20"/>
  <c r="AI176" i="20"/>
  <c r="AH176" i="20"/>
  <c r="AG176" i="20"/>
  <c r="AF176" i="20"/>
  <c r="AE176" i="20"/>
  <c r="AD176" i="20"/>
  <c r="AC176" i="20"/>
  <c r="AB176" i="20"/>
  <c r="AA176" i="20"/>
  <c r="Z176" i="20"/>
  <c r="Y176" i="20"/>
  <c r="X176" i="20"/>
  <c r="W176" i="20"/>
  <c r="V176" i="20"/>
  <c r="AO175" i="20"/>
  <c r="AN175" i="20"/>
  <c r="AM175" i="20"/>
  <c r="AL175" i="20"/>
  <c r="AK175" i="20"/>
  <c r="AJ175" i="20"/>
  <c r="AI175" i="20"/>
  <c r="AH175" i="20"/>
  <c r="AG175" i="20"/>
  <c r="AF175" i="20"/>
  <c r="AE175" i="20"/>
  <c r="AD175" i="20"/>
  <c r="AC175" i="20"/>
  <c r="AB175" i="20"/>
  <c r="AA175" i="20"/>
  <c r="Z175" i="20"/>
  <c r="Y175" i="20"/>
  <c r="X175" i="20"/>
  <c r="W175" i="20"/>
  <c r="V175" i="20"/>
  <c r="AO174" i="20"/>
  <c r="AN174" i="20"/>
  <c r="AM174" i="20"/>
  <c r="AL174" i="20"/>
  <c r="AK174" i="20"/>
  <c r="AJ174" i="20"/>
  <c r="AI174" i="20"/>
  <c r="AH174" i="20"/>
  <c r="AG174" i="20"/>
  <c r="AF174" i="20"/>
  <c r="AE174" i="20"/>
  <c r="AD174" i="20"/>
  <c r="AC174" i="20"/>
  <c r="AB174" i="20"/>
  <c r="AA174" i="20"/>
  <c r="Z174" i="20"/>
  <c r="Y174" i="20"/>
  <c r="X174" i="20"/>
  <c r="W174" i="20"/>
  <c r="V174" i="20"/>
  <c r="AO173" i="20"/>
  <c r="AN173" i="20"/>
  <c r="AM173" i="20"/>
  <c r="AL173" i="20"/>
  <c r="AK173" i="20"/>
  <c r="AJ173" i="20"/>
  <c r="AI173" i="20"/>
  <c r="AH173" i="20"/>
  <c r="AG173" i="20"/>
  <c r="AF173" i="20"/>
  <c r="AE173" i="20"/>
  <c r="AD173" i="20"/>
  <c r="AC173" i="20"/>
  <c r="AB173" i="20"/>
  <c r="AA173" i="20"/>
  <c r="Z173" i="20"/>
  <c r="Y173" i="20"/>
  <c r="X173" i="20"/>
  <c r="W173" i="20"/>
  <c r="V173" i="20"/>
  <c r="AO172" i="20"/>
  <c r="AN172" i="20"/>
  <c r="AM172" i="20"/>
  <c r="AL172" i="20"/>
  <c r="AK172" i="20"/>
  <c r="AJ172" i="20"/>
  <c r="AI172" i="20"/>
  <c r="AH172" i="20"/>
  <c r="AG172" i="20"/>
  <c r="AF172" i="20"/>
  <c r="AE172" i="20"/>
  <c r="AD172" i="20"/>
  <c r="AC172" i="20"/>
  <c r="AB172" i="20"/>
  <c r="AA172" i="20"/>
  <c r="Z172" i="20"/>
  <c r="Y172" i="20"/>
  <c r="X172" i="20"/>
  <c r="W172" i="20"/>
  <c r="V172" i="20"/>
  <c r="AO171" i="20"/>
  <c r="AN171" i="20"/>
  <c r="AM171" i="20"/>
  <c r="AL171" i="20"/>
  <c r="AK171" i="20"/>
  <c r="AJ171" i="20"/>
  <c r="AI171" i="20"/>
  <c r="AH171" i="20"/>
  <c r="AG171" i="20"/>
  <c r="AF171" i="20"/>
  <c r="AE171" i="20"/>
  <c r="AD171" i="20"/>
  <c r="AC171" i="20"/>
  <c r="AB171" i="20"/>
  <c r="AA171" i="20"/>
  <c r="Z171" i="20"/>
  <c r="Y171" i="20"/>
  <c r="X171" i="20"/>
  <c r="W171" i="20"/>
  <c r="V171" i="20"/>
  <c r="AO170" i="20"/>
  <c r="AN170" i="20"/>
  <c r="AM170" i="20"/>
  <c r="AL170" i="20"/>
  <c r="AK170" i="20"/>
  <c r="AJ170" i="20"/>
  <c r="AI170" i="20"/>
  <c r="AH170" i="20"/>
  <c r="AG170" i="20"/>
  <c r="AF170" i="20"/>
  <c r="AE170" i="20"/>
  <c r="AD170" i="20"/>
  <c r="AC170" i="20"/>
  <c r="AB170" i="20"/>
  <c r="AA170" i="20"/>
  <c r="Z170" i="20"/>
  <c r="Y170" i="20"/>
  <c r="X170" i="20"/>
  <c r="W170" i="20"/>
  <c r="V170" i="20"/>
  <c r="AO169" i="20"/>
  <c r="AN169" i="20"/>
  <c r="AM169" i="20"/>
  <c r="AL169" i="20"/>
  <c r="AK169" i="20"/>
  <c r="AJ169" i="20"/>
  <c r="AI169" i="20"/>
  <c r="AH169" i="20"/>
  <c r="AG169" i="20"/>
  <c r="AF169" i="20"/>
  <c r="AE169" i="20"/>
  <c r="AD169" i="20"/>
  <c r="AC169" i="20"/>
  <c r="AB169" i="20"/>
  <c r="AA169" i="20"/>
  <c r="Z169" i="20"/>
  <c r="Y169" i="20"/>
  <c r="X169" i="20"/>
  <c r="W169" i="20"/>
  <c r="V169" i="20"/>
  <c r="AO168" i="20"/>
  <c r="AN168" i="20"/>
  <c r="AM168" i="20"/>
  <c r="AL168" i="20"/>
  <c r="X95" i="20" s="1"/>
  <c r="AK168" i="20"/>
  <c r="AJ168" i="20"/>
  <c r="AI168" i="20"/>
  <c r="AH168" i="20"/>
  <c r="AG168" i="20"/>
  <c r="AF168" i="20"/>
  <c r="AE168" i="20"/>
  <c r="AD168" i="20"/>
  <c r="AD95" i="20" s="1"/>
  <c r="AC168" i="20"/>
  <c r="AB168" i="20"/>
  <c r="AB95" i="20" s="1"/>
  <c r="AA168" i="20"/>
  <c r="Z168" i="20"/>
  <c r="Z95" i="20" s="1"/>
  <c r="Y168" i="20"/>
  <c r="Y95" i="20" s="1"/>
  <c r="X168" i="20"/>
  <c r="W168" i="20"/>
  <c r="V168" i="20"/>
  <c r="V95" i="20" s="1"/>
  <c r="AO167" i="20"/>
  <c r="AN167" i="20"/>
  <c r="AM167" i="20"/>
  <c r="AL167" i="20"/>
  <c r="X94" i="20" s="1"/>
  <c r="AK167" i="20"/>
  <c r="AJ167" i="20"/>
  <c r="AI167" i="20"/>
  <c r="AH167" i="20"/>
  <c r="AG167" i="20"/>
  <c r="AF167" i="20"/>
  <c r="AE167" i="20"/>
  <c r="AD167" i="20"/>
  <c r="AD94" i="20" s="1"/>
  <c r="AC167" i="20"/>
  <c r="AC94" i="20" s="1"/>
  <c r="AB167" i="20"/>
  <c r="AA167" i="20"/>
  <c r="AA94" i="20" s="1"/>
  <c r="Z167" i="20"/>
  <c r="Z94" i="20" s="1"/>
  <c r="Y167" i="20"/>
  <c r="Y94" i="20" s="1"/>
  <c r="X167" i="20"/>
  <c r="W167" i="20"/>
  <c r="V167" i="20"/>
  <c r="V94" i="20" s="1"/>
  <c r="AO166" i="20"/>
  <c r="AN166" i="20"/>
  <c r="AM166" i="20"/>
  <c r="AL166" i="20"/>
  <c r="X93" i="20" s="1"/>
  <c r="AK166" i="20"/>
  <c r="AJ166" i="20"/>
  <c r="AI166" i="20"/>
  <c r="AH166" i="20"/>
  <c r="AG166" i="20"/>
  <c r="AF166" i="20"/>
  <c r="AE166" i="20"/>
  <c r="AD166" i="20"/>
  <c r="AD93" i="20" s="1"/>
  <c r="AC166" i="20"/>
  <c r="AB166" i="20"/>
  <c r="AB93" i="20" s="1"/>
  <c r="AA166" i="20"/>
  <c r="Z166" i="20"/>
  <c r="Z93" i="20" s="1"/>
  <c r="Y166" i="20"/>
  <c r="Y93" i="20" s="1"/>
  <c r="X166" i="20"/>
  <c r="W166" i="20"/>
  <c r="W93" i="20" s="1"/>
  <c r="V166" i="20"/>
  <c r="V93" i="20" s="1"/>
  <c r="AO165" i="20"/>
  <c r="AN165" i="20"/>
  <c r="AM165" i="20"/>
  <c r="AL165" i="20"/>
  <c r="X92" i="20" s="1"/>
  <c r="AK165" i="20"/>
  <c r="AJ165" i="20"/>
  <c r="AI165" i="20"/>
  <c r="AH165" i="20"/>
  <c r="AG165" i="20"/>
  <c r="AF165" i="20"/>
  <c r="AE165" i="20"/>
  <c r="AD165" i="20"/>
  <c r="AD92" i="20" s="1"/>
  <c r="AC165" i="20"/>
  <c r="AB165" i="20"/>
  <c r="AB92" i="20" s="1"/>
  <c r="AA165" i="20"/>
  <c r="AA92" i="20" s="1"/>
  <c r="Z165" i="20"/>
  <c r="Z92" i="20" s="1"/>
  <c r="Y165" i="20"/>
  <c r="X165" i="20"/>
  <c r="W165" i="20"/>
  <c r="V165" i="20"/>
  <c r="V92" i="20" s="1"/>
  <c r="AO164" i="20"/>
  <c r="AN164" i="20"/>
  <c r="AM164" i="20"/>
  <c r="AL164" i="20"/>
  <c r="X91" i="20" s="1"/>
  <c r="AK164" i="20"/>
  <c r="AJ164" i="20"/>
  <c r="AI164" i="20"/>
  <c r="AH164" i="20"/>
  <c r="AG164" i="20"/>
  <c r="AF164" i="20"/>
  <c r="AE164" i="20"/>
  <c r="AD164" i="20"/>
  <c r="AD91" i="20" s="1"/>
  <c r="AC164" i="20"/>
  <c r="AB164" i="20"/>
  <c r="AB91" i="20" s="1"/>
  <c r="AA164" i="20"/>
  <c r="Z164" i="20"/>
  <c r="Z91" i="20" s="1"/>
  <c r="Y164" i="20"/>
  <c r="X164" i="20"/>
  <c r="W164" i="20"/>
  <c r="W91" i="20" s="1"/>
  <c r="V164" i="20"/>
  <c r="V91" i="20" s="1"/>
  <c r="AO163" i="20"/>
  <c r="AN163" i="20"/>
  <c r="AM163" i="20"/>
  <c r="AL163" i="20"/>
  <c r="X90" i="20" s="1"/>
  <c r="AK163" i="20"/>
  <c r="AJ163" i="20"/>
  <c r="AI163" i="20"/>
  <c r="AH163" i="20"/>
  <c r="AG163" i="20"/>
  <c r="AF163" i="20"/>
  <c r="AE163" i="20"/>
  <c r="AD163" i="20"/>
  <c r="AD90" i="20" s="1"/>
  <c r="AC163" i="20"/>
  <c r="AB163" i="20"/>
  <c r="AB90" i="20" s="1"/>
  <c r="AA163" i="20"/>
  <c r="AA90" i="20" s="1"/>
  <c r="Z163" i="20"/>
  <c r="Z90" i="20" s="1"/>
  <c r="Y163" i="20"/>
  <c r="Y90" i="20" s="1"/>
  <c r="X163" i="20"/>
  <c r="W163" i="20"/>
  <c r="W90" i="20" s="1"/>
  <c r="V163" i="20"/>
  <c r="V90" i="20" s="1"/>
  <c r="AO162" i="20"/>
  <c r="AN162" i="20"/>
  <c r="AM162" i="20"/>
  <c r="AL162" i="20"/>
  <c r="X89" i="20" s="1"/>
  <c r="AK162" i="20"/>
  <c r="AJ162" i="20"/>
  <c r="AI162" i="20"/>
  <c r="AH162" i="20"/>
  <c r="AG162" i="20"/>
  <c r="AF162" i="20"/>
  <c r="AE162" i="20"/>
  <c r="AD162" i="20"/>
  <c r="AD89" i="20" s="1"/>
  <c r="AC162" i="20"/>
  <c r="AB162" i="20"/>
  <c r="AB89" i="20" s="1"/>
  <c r="AA162" i="20"/>
  <c r="AA89" i="20" s="1"/>
  <c r="Z162" i="20"/>
  <c r="Z89" i="20" s="1"/>
  <c r="Y162" i="20"/>
  <c r="Y89" i="20" s="1"/>
  <c r="X162" i="20"/>
  <c r="W162" i="20"/>
  <c r="V162" i="20"/>
  <c r="V89" i="20" s="1"/>
  <c r="AO161" i="20"/>
  <c r="AN161" i="20"/>
  <c r="AM161" i="20"/>
  <c r="AL161" i="20"/>
  <c r="X88" i="20" s="1"/>
  <c r="AK161" i="20"/>
  <c r="AJ161" i="20"/>
  <c r="AI161" i="20"/>
  <c r="AH161" i="20"/>
  <c r="AG161" i="20"/>
  <c r="AF161" i="20"/>
  <c r="AE161" i="20"/>
  <c r="AD161" i="20"/>
  <c r="AD88" i="20" s="1"/>
  <c r="AC161" i="20"/>
  <c r="AC88" i="20" s="1"/>
  <c r="AB161" i="20"/>
  <c r="AB88" i="20" s="1"/>
  <c r="AA161" i="20"/>
  <c r="AA88" i="20" s="1"/>
  <c r="Z161" i="20"/>
  <c r="Z88" i="20" s="1"/>
  <c r="Y161" i="20"/>
  <c r="Y88" i="20" s="1"/>
  <c r="X161" i="20"/>
  <c r="W161" i="20"/>
  <c r="W88" i="20" s="1"/>
  <c r="V161" i="20"/>
  <c r="V88" i="20" s="1"/>
  <c r="AO160" i="20"/>
  <c r="AN160" i="20"/>
  <c r="AM160" i="20"/>
  <c r="AL160" i="20"/>
  <c r="X87" i="20" s="1"/>
  <c r="AK160" i="20"/>
  <c r="AJ160" i="20"/>
  <c r="AI160" i="20"/>
  <c r="AH160" i="20"/>
  <c r="AG160" i="20"/>
  <c r="AF160" i="20"/>
  <c r="AE160" i="20"/>
  <c r="AD160" i="20"/>
  <c r="AD87" i="20" s="1"/>
  <c r="AC160" i="20"/>
  <c r="AC87" i="20" s="1"/>
  <c r="AB160" i="20"/>
  <c r="AB87" i="20" s="1"/>
  <c r="AE87" i="20" s="1"/>
  <c r="AA160" i="20"/>
  <c r="Z160" i="20"/>
  <c r="Z87" i="20" s="1"/>
  <c r="Y160" i="20"/>
  <c r="X160" i="20"/>
  <c r="W160" i="20"/>
  <c r="W87" i="20" s="1"/>
  <c r="V160" i="20"/>
  <c r="V87" i="20" s="1"/>
  <c r="AO159" i="20"/>
  <c r="AN159" i="20"/>
  <c r="AM159" i="20"/>
  <c r="AL159" i="20"/>
  <c r="AK159" i="20"/>
  <c r="AJ159" i="20"/>
  <c r="AI159" i="20"/>
  <c r="AH159" i="20"/>
  <c r="AG159" i="20"/>
  <c r="AF159" i="20"/>
  <c r="AE159" i="20"/>
  <c r="AD159" i="20"/>
  <c r="AC159" i="20"/>
  <c r="AB159" i="20"/>
  <c r="AA159" i="20"/>
  <c r="Z159" i="20"/>
  <c r="Y159" i="20"/>
  <c r="X159" i="20"/>
  <c r="W159" i="20"/>
  <c r="V159" i="20"/>
  <c r="AO158" i="20"/>
  <c r="AN158" i="20"/>
  <c r="AM158" i="20"/>
  <c r="AL158" i="20"/>
  <c r="AK158" i="20"/>
  <c r="AJ158" i="20"/>
  <c r="AI158" i="20"/>
  <c r="AH158" i="20"/>
  <c r="AG158" i="20"/>
  <c r="AF158" i="20"/>
  <c r="AE158" i="20"/>
  <c r="AD158" i="20"/>
  <c r="AC158" i="20"/>
  <c r="AB158" i="20"/>
  <c r="AA158" i="20"/>
  <c r="Z158" i="20"/>
  <c r="Y158" i="20"/>
  <c r="X158" i="20"/>
  <c r="W158" i="20"/>
  <c r="V158" i="20"/>
  <c r="AO157" i="20"/>
  <c r="AN157" i="20"/>
  <c r="AM157" i="20"/>
  <c r="AL157" i="20"/>
  <c r="AK157" i="20"/>
  <c r="AJ157" i="20"/>
  <c r="AI157" i="20"/>
  <c r="AH157" i="20"/>
  <c r="AG157" i="20"/>
  <c r="AF157" i="20"/>
  <c r="AE157" i="20"/>
  <c r="AD157" i="20"/>
  <c r="AC157" i="20"/>
  <c r="AB157" i="20"/>
  <c r="AA157" i="20"/>
  <c r="Z157" i="20"/>
  <c r="Y157" i="20"/>
  <c r="X157" i="20"/>
  <c r="W157" i="20"/>
  <c r="V157" i="20"/>
  <c r="AO156" i="20"/>
  <c r="AN156" i="20"/>
  <c r="AM156" i="20"/>
  <c r="AL156" i="20"/>
  <c r="AK156" i="20"/>
  <c r="AJ156" i="20"/>
  <c r="AI156" i="20"/>
  <c r="AH156" i="20"/>
  <c r="AG156" i="20"/>
  <c r="AF156" i="20"/>
  <c r="AE156" i="20"/>
  <c r="AD156" i="20"/>
  <c r="AC156" i="20"/>
  <c r="AB156" i="20"/>
  <c r="AA156" i="20"/>
  <c r="Z156" i="20"/>
  <c r="Y156" i="20"/>
  <c r="X156" i="20"/>
  <c r="W156" i="20"/>
  <c r="V156" i="20"/>
  <c r="AO155" i="20"/>
  <c r="AN155" i="20"/>
  <c r="AM155" i="20"/>
  <c r="AL155" i="20"/>
  <c r="AK155" i="20"/>
  <c r="AJ155" i="20"/>
  <c r="AI155" i="20"/>
  <c r="AH155" i="20"/>
  <c r="AG155" i="20"/>
  <c r="AF155" i="20"/>
  <c r="AE155" i="20"/>
  <c r="AD155" i="20"/>
  <c r="AC155" i="20"/>
  <c r="AB155" i="20"/>
  <c r="AA155" i="20"/>
  <c r="Z155" i="20"/>
  <c r="Y155" i="20"/>
  <c r="X155" i="20"/>
  <c r="W155" i="20"/>
  <c r="V155" i="20"/>
  <c r="AO154" i="20"/>
  <c r="AN154" i="20"/>
  <c r="AM154" i="20"/>
  <c r="AL154" i="20"/>
  <c r="AK154" i="20"/>
  <c r="AJ154" i="20"/>
  <c r="AI154" i="20"/>
  <c r="AH154" i="20"/>
  <c r="AG154" i="20"/>
  <c r="AF154" i="20"/>
  <c r="AE154" i="20"/>
  <c r="AD154" i="20"/>
  <c r="AC154" i="20"/>
  <c r="AB154" i="20"/>
  <c r="AA154" i="20"/>
  <c r="Z154" i="20"/>
  <c r="Y154" i="20"/>
  <c r="X154" i="20"/>
  <c r="W154" i="20"/>
  <c r="V154" i="20"/>
  <c r="AO153" i="20"/>
  <c r="AN153" i="20"/>
  <c r="AM153" i="20"/>
  <c r="AL153" i="20"/>
  <c r="AK153" i="20"/>
  <c r="AJ153" i="20"/>
  <c r="AI153" i="20"/>
  <c r="AH153" i="20"/>
  <c r="AG153" i="20"/>
  <c r="AF153" i="20"/>
  <c r="AE153" i="20"/>
  <c r="AD153" i="20"/>
  <c r="AC153" i="20"/>
  <c r="AB153" i="20"/>
  <c r="AA153" i="20"/>
  <c r="Z153" i="20"/>
  <c r="Y153" i="20"/>
  <c r="X153" i="20"/>
  <c r="W153" i="20"/>
  <c r="V153" i="20"/>
  <c r="AO152" i="20"/>
  <c r="AN152" i="20"/>
  <c r="AM152" i="20"/>
  <c r="AL152" i="20"/>
  <c r="AK152" i="20"/>
  <c r="AJ152" i="20"/>
  <c r="AI152" i="20"/>
  <c r="AH152" i="20"/>
  <c r="AG152" i="20"/>
  <c r="AF152" i="20"/>
  <c r="AE152" i="20"/>
  <c r="AD152" i="20"/>
  <c r="AC152" i="20"/>
  <c r="AB152" i="20"/>
  <c r="AA152" i="20"/>
  <c r="Z152" i="20"/>
  <c r="Y152" i="20"/>
  <c r="X152" i="20"/>
  <c r="W152" i="20"/>
  <c r="V152" i="20"/>
  <c r="AO151" i="20"/>
  <c r="AN151" i="20"/>
  <c r="AM151" i="20"/>
  <c r="AL151" i="20"/>
  <c r="AK151" i="20"/>
  <c r="AJ151" i="20"/>
  <c r="AI151" i="20"/>
  <c r="AH151" i="20"/>
  <c r="AG151" i="20"/>
  <c r="AF151" i="20"/>
  <c r="AE151" i="20"/>
  <c r="AD151" i="20"/>
  <c r="AC151" i="20"/>
  <c r="AB151" i="20"/>
  <c r="AA151" i="20"/>
  <c r="Z151" i="20"/>
  <c r="Y151" i="20"/>
  <c r="X151" i="20"/>
  <c r="W151" i="20"/>
  <c r="V151" i="20"/>
  <c r="AO150" i="20"/>
  <c r="AN150" i="20"/>
  <c r="AM150" i="20"/>
  <c r="AL150" i="20"/>
  <c r="AK150" i="20"/>
  <c r="AJ150" i="20"/>
  <c r="AI150" i="20"/>
  <c r="AH150" i="20"/>
  <c r="AG150" i="20"/>
  <c r="AF150" i="20"/>
  <c r="AE150" i="20"/>
  <c r="AD150" i="20"/>
  <c r="AC150" i="20"/>
  <c r="AB150" i="20"/>
  <c r="AA150" i="20"/>
  <c r="Z150" i="20"/>
  <c r="Y150" i="20"/>
  <c r="X150" i="20"/>
  <c r="W150" i="20"/>
  <c r="V150" i="20"/>
  <c r="AO149" i="20"/>
  <c r="AN149" i="20"/>
  <c r="AM149" i="20"/>
  <c r="AL149" i="20"/>
  <c r="AK149" i="20"/>
  <c r="AJ149" i="20"/>
  <c r="AI149" i="20"/>
  <c r="AH149" i="20"/>
  <c r="AG149" i="20"/>
  <c r="AF149" i="20"/>
  <c r="AE149" i="20"/>
  <c r="AD149" i="20"/>
  <c r="AC149" i="20"/>
  <c r="AB149" i="20"/>
  <c r="AA149" i="20"/>
  <c r="Z149" i="20"/>
  <c r="Y149" i="20"/>
  <c r="X149" i="20"/>
  <c r="W149" i="20"/>
  <c r="V149" i="20"/>
  <c r="AO148" i="20"/>
  <c r="AN148" i="20"/>
  <c r="AM148" i="20"/>
  <c r="AL148" i="20"/>
  <c r="AK148" i="20"/>
  <c r="AJ148" i="20"/>
  <c r="AI148" i="20"/>
  <c r="AH148" i="20"/>
  <c r="AG148" i="20"/>
  <c r="AF148" i="20"/>
  <c r="AE148" i="20"/>
  <c r="AD148" i="20"/>
  <c r="AC148" i="20"/>
  <c r="AB148" i="20"/>
  <c r="AA148" i="20"/>
  <c r="Z148" i="20"/>
  <c r="Y148" i="20"/>
  <c r="X148" i="20"/>
  <c r="W148" i="20"/>
  <c r="V148" i="20"/>
  <c r="AO147" i="20"/>
  <c r="AN147" i="20"/>
  <c r="AM147" i="20"/>
  <c r="AL147" i="20"/>
  <c r="AK147" i="20"/>
  <c r="AJ147" i="20"/>
  <c r="AI147" i="20"/>
  <c r="AH147" i="20"/>
  <c r="AG147" i="20"/>
  <c r="AF147" i="20"/>
  <c r="AE147" i="20"/>
  <c r="AD147" i="20"/>
  <c r="AC147" i="20"/>
  <c r="AB147" i="20"/>
  <c r="AA147" i="20"/>
  <c r="Z147" i="20"/>
  <c r="Y147" i="20"/>
  <c r="X147" i="20"/>
  <c r="W147" i="20"/>
  <c r="V147" i="20"/>
  <c r="AO146" i="20"/>
  <c r="AN146" i="20"/>
  <c r="AM146" i="20"/>
  <c r="AL146" i="20"/>
  <c r="AK146" i="20"/>
  <c r="AJ146" i="20"/>
  <c r="AI146" i="20"/>
  <c r="AH146" i="20"/>
  <c r="AG146" i="20"/>
  <c r="AF146" i="20"/>
  <c r="AE146" i="20"/>
  <c r="AD146" i="20"/>
  <c r="AC146" i="20"/>
  <c r="AB146" i="20"/>
  <c r="AA146" i="20"/>
  <c r="Z146" i="20"/>
  <c r="Y146" i="20"/>
  <c r="X146" i="20"/>
  <c r="W146" i="20"/>
  <c r="V146" i="20"/>
  <c r="AO145" i="20"/>
  <c r="AN145" i="20"/>
  <c r="AM145" i="20"/>
  <c r="AL145" i="20"/>
  <c r="AK145" i="20"/>
  <c r="AJ145" i="20"/>
  <c r="AI145" i="20"/>
  <c r="AH145" i="20"/>
  <c r="AG145" i="20"/>
  <c r="AF145" i="20"/>
  <c r="AE145" i="20"/>
  <c r="AD145" i="20"/>
  <c r="AC145" i="20"/>
  <c r="AB145" i="20"/>
  <c r="AA145" i="20"/>
  <c r="Z145" i="20"/>
  <c r="Y145" i="20"/>
  <c r="X145" i="20"/>
  <c r="W145" i="20"/>
  <c r="V145" i="20"/>
  <c r="AO144" i="20"/>
  <c r="AN144" i="20"/>
  <c r="AM144" i="20"/>
  <c r="AL144" i="20"/>
  <c r="AK144" i="20"/>
  <c r="AJ144" i="20"/>
  <c r="AI144" i="20"/>
  <c r="AH144" i="20"/>
  <c r="AG144" i="20"/>
  <c r="AF144" i="20"/>
  <c r="AE144" i="20"/>
  <c r="AD144" i="20"/>
  <c r="AC144" i="20"/>
  <c r="AB144" i="20"/>
  <c r="AA144" i="20"/>
  <c r="Z144" i="20"/>
  <c r="Y144" i="20"/>
  <c r="X144" i="20"/>
  <c r="W144" i="20"/>
  <c r="V144" i="20"/>
  <c r="AO143" i="20"/>
  <c r="AN143" i="20"/>
  <c r="AM143" i="20"/>
  <c r="AL143" i="20"/>
  <c r="AK143" i="20"/>
  <c r="AJ143" i="20"/>
  <c r="AI143" i="20"/>
  <c r="AH143" i="20"/>
  <c r="AG143" i="20"/>
  <c r="AF143" i="20"/>
  <c r="AE143" i="20"/>
  <c r="AD143" i="20"/>
  <c r="AC143" i="20"/>
  <c r="AB143" i="20"/>
  <c r="AA143" i="20"/>
  <c r="Z143" i="20"/>
  <c r="Y143" i="20"/>
  <c r="X143" i="20"/>
  <c r="W143" i="20"/>
  <c r="V143" i="20"/>
  <c r="AO142" i="20"/>
  <c r="AN142" i="20"/>
  <c r="AM142" i="20"/>
  <c r="AL142" i="20"/>
  <c r="AK142" i="20"/>
  <c r="AJ142" i="20"/>
  <c r="AI142" i="20"/>
  <c r="AH142" i="20"/>
  <c r="AG142" i="20"/>
  <c r="AF142" i="20"/>
  <c r="AE142" i="20"/>
  <c r="AD142" i="20"/>
  <c r="AC142" i="20"/>
  <c r="AB142" i="20"/>
  <c r="AA142" i="20"/>
  <c r="Z142" i="20"/>
  <c r="Y142" i="20"/>
  <c r="X142" i="20"/>
  <c r="W142" i="20"/>
  <c r="V142" i="20"/>
  <c r="AO141" i="20"/>
  <c r="AN141" i="20"/>
  <c r="AM141" i="20"/>
  <c r="AL141" i="20"/>
  <c r="AK141" i="20"/>
  <c r="AJ141" i="20"/>
  <c r="AI141" i="20"/>
  <c r="AH141" i="20"/>
  <c r="AG141" i="20"/>
  <c r="AF141" i="20"/>
  <c r="AE141" i="20"/>
  <c r="AD141" i="20"/>
  <c r="AC141" i="20"/>
  <c r="AB141" i="20"/>
  <c r="AA141" i="20"/>
  <c r="Z141" i="20"/>
  <c r="Y141" i="20"/>
  <c r="X141" i="20"/>
  <c r="W141" i="20"/>
  <c r="V141" i="20"/>
  <c r="AO140" i="20"/>
  <c r="AN140" i="20"/>
  <c r="AM140" i="20"/>
  <c r="AL140" i="20"/>
  <c r="AK140" i="20"/>
  <c r="AJ140" i="20"/>
  <c r="AI140" i="20"/>
  <c r="AH140" i="20"/>
  <c r="AG140" i="20"/>
  <c r="AF140" i="20"/>
  <c r="AE140" i="20"/>
  <c r="AD140" i="20"/>
  <c r="AC140" i="20"/>
  <c r="AB140" i="20"/>
  <c r="AA140" i="20"/>
  <c r="Z140" i="20"/>
  <c r="Y140" i="20"/>
  <c r="X140" i="20"/>
  <c r="W140" i="20"/>
  <c r="V140" i="20"/>
  <c r="AO139" i="20"/>
  <c r="AN139" i="20"/>
  <c r="AM139" i="20"/>
  <c r="AL139" i="20"/>
  <c r="AK139" i="20"/>
  <c r="AJ139" i="20"/>
  <c r="AI139" i="20"/>
  <c r="AH139" i="20"/>
  <c r="AG139" i="20"/>
  <c r="AF139" i="20"/>
  <c r="AE139" i="20"/>
  <c r="AD139" i="20"/>
  <c r="AC139" i="20"/>
  <c r="AB139" i="20"/>
  <c r="AA139" i="20"/>
  <c r="Z139" i="20"/>
  <c r="Y139" i="20"/>
  <c r="X139" i="20"/>
  <c r="W139" i="20"/>
  <c r="V139" i="20"/>
  <c r="AO138" i="20"/>
  <c r="AN138" i="20"/>
  <c r="AM138" i="20"/>
  <c r="AL138" i="20"/>
  <c r="AK138" i="20"/>
  <c r="AJ138" i="20"/>
  <c r="AI138" i="20"/>
  <c r="AH138" i="20"/>
  <c r="AG138" i="20"/>
  <c r="AF138" i="20"/>
  <c r="AE138" i="20"/>
  <c r="AD138" i="20"/>
  <c r="AC138" i="20"/>
  <c r="AB138" i="20"/>
  <c r="AA138" i="20"/>
  <c r="Z138" i="20"/>
  <c r="Y138" i="20"/>
  <c r="X138" i="20"/>
  <c r="W138" i="20"/>
  <c r="V138" i="20"/>
  <c r="AO137" i="20"/>
  <c r="AN137" i="20"/>
  <c r="AM137" i="20"/>
  <c r="AL137" i="20"/>
  <c r="AK137" i="20"/>
  <c r="AJ137" i="20"/>
  <c r="AI137" i="20"/>
  <c r="AH137" i="20"/>
  <c r="AG137" i="20"/>
  <c r="AF137" i="20"/>
  <c r="AE137" i="20"/>
  <c r="AD137" i="20"/>
  <c r="AC137" i="20"/>
  <c r="AB137" i="20"/>
  <c r="AA137" i="20"/>
  <c r="Z137" i="20"/>
  <c r="Y137" i="20"/>
  <c r="X137" i="20"/>
  <c r="W137" i="20"/>
  <c r="V137" i="20"/>
  <c r="AO136" i="20"/>
  <c r="AN136" i="20"/>
  <c r="AM136" i="20"/>
  <c r="AL136" i="20"/>
  <c r="AK136" i="20"/>
  <c r="AJ136" i="20"/>
  <c r="AI136" i="20"/>
  <c r="AH136" i="20"/>
  <c r="AG136" i="20"/>
  <c r="AF136" i="20"/>
  <c r="AE136" i="20"/>
  <c r="AD136" i="20"/>
  <c r="AC136" i="20"/>
  <c r="AB136" i="20"/>
  <c r="AA136" i="20"/>
  <c r="Z136" i="20"/>
  <c r="Y136" i="20"/>
  <c r="X136" i="20"/>
  <c r="W136" i="20"/>
  <c r="V136" i="20"/>
  <c r="AO135" i="20"/>
  <c r="AN135" i="20"/>
  <c r="AM135" i="20"/>
  <c r="AL135" i="20"/>
  <c r="AK135" i="20"/>
  <c r="AJ135" i="20"/>
  <c r="AI135" i="20"/>
  <c r="AH135" i="20"/>
  <c r="AG135" i="20"/>
  <c r="AF135" i="20"/>
  <c r="AE135" i="20"/>
  <c r="AD135" i="20"/>
  <c r="AC135" i="20"/>
  <c r="AB135" i="20"/>
  <c r="AA135" i="20"/>
  <c r="Z135" i="20"/>
  <c r="Y135" i="20"/>
  <c r="X135" i="20"/>
  <c r="W135" i="20"/>
  <c r="V135" i="20"/>
  <c r="AO134" i="20"/>
  <c r="AN134" i="20"/>
  <c r="AM134" i="20"/>
  <c r="AL134" i="20"/>
  <c r="AK134" i="20"/>
  <c r="AJ134" i="20"/>
  <c r="AI134" i="20"/>
  <c r="AH134" i="20"/>
  <c r="AG134" i="20"/>
  <c r="AF134" i="20"/>
  <c r="AE134" i="20"/>
  <c r="AD134" i="20"/>
  <c r="AC134" i="20"/>
  <c r="AB134" i="20"/>
  <c r="AA134" i="20"/>
  <c r="Z134" i="20"/>
  <c r="Y134" i="20"/>
  <c r="X134" i="20"/>
  <c r="W134" i="20"/>
  <c r="V134" i="20"/>
  <c r="AO133" i="20"/>
  <c r="AN133" i="20"/>
  <c r="AM133" i="20"/>
  <c r="AL133" i="20"/>
  <c r="AK133" i="20"/>
  <c r="AJ133" i="20"/>
  <c r="AI133" i="20"/>
  <c r="AH133" i="20"/>
  <c r="AG133" i="20"/>
  <c r="AF133" i="20"/>
  <c r="AE133" i="20"/>
  <c r="AD133" i="20"/>
  <c r="AC133" i="20"/>
  <c r="AB133" i="20"/>
  <c r="AA133" i="20"/>
  <c r="Z133" i="20"/>
  <c r="Y133" i="20"/>
  <c r="X133" i="20"/>
  <c r="W133" i="20"/>
  <c r="V133" i="20"/>
  <c r="AO132" i="20"/>
  <c r="AN132" i="20"/>
  <c r="AM132" i="20"/>
  <c r="AL132" i="20"/>
  <c r="AK132" i="20"/>
  <c r="AJ132" i="20"/>
  <c r="AI132" i="20"/>
  <c r="AH132" i="20"/>
  <c r="AG132" i="20"/>
  <c r="AF132" i="20"/>
  <c r="AE132" i="20"/>
  <c r="AD132" i="20"/>
  <c r="AC132" i="20"/>
  <c r="AB132" i="20"/>
  <c r="AA132" i="20"/>
  <c r="Z132" i="20"/>
  <c r="Y132" i="20"/>
  <c r="X132" i="20"/>
  <c r="W132" i="20"/>
  <c r="V132" i="20"/>
  <c r="AO131" i="20"/>
  <c r="AN131" i="20"/>
  <c r="AM131" i="20"/>
  <c r="AL131" i="20"/>
  <c r="AK131" i="20"/>
  <c r="AJ131" i="20"/>
  <c r="AI131" i="20"/>
  <c r="AH131" i="20"/>
  <c r="AG131" i="20"/>
  <c r="AF131" i="20"/>
  <c r="AE131" i="20"/>
  <c r="AD131" i="20"/>
  <c r="AC131" i="20"/>
  <c r="AB131" i="20"/>
  <c r="AA131" i="20"/>
  <c r="Z131" i="20"/>
  <c r="Y131" i="20"/>
  <c r="X131" i="20"/>
  <c r="W131" i="20"/>
  <c r="V131" i="20"/>
  <c r="AO130" i="20"/>
  <c r="AN130" i="20"/>
  <c r="AM130" i="20"/>
  <c r="AL130" i="20"/>
  <c r="AK130" i="20"/>
  <c r="AJ130" i="20"/>
  <c r="AI130" i="20"/>
  <c r="AH130" i="20"/>
  <c r="AG130" i="20"/>
  <c r="AF130" i="20"/>
  <c r="AE130" i="20"/>
  <c r="AD130" i="20"/>
  <c r="AC130" i="20"/>
  <c r="AB130" i="20"/>
  <c r="AA130" i="20"/>
  <c r="Z130" i="20"/>
  <c r="Y130" i="20"/>
  <c r="X130" i="20"/>
  <c r="W130" i="20"/>
  <c r="V130" i="20"/>
  <c r="AO129" i="20"/>
  <c r="AN129" i="20"/>
  <c r="AM129" i="20"/>
  <c r="AL129" i="20"/>
  <c r="AK129" i="20"/>
  <c r="AJ129" i="20"/>
  <c r="AI129" i="20"/>
  <c r="AH129" i="20"/>
  <c r="AG129" i="20"/>
  <c r="AF129" i="20"/>
  <c r="AE129" i="20"/>
  <c r="AD129" i="20"/>
  <c r="AC129" i="20"/>
  <c r="AB129" i="20"/>
  <c r="AA129" i="20"/>
  <c r="Z129" i="20"/>
  <c r="Y129" i="20"/>
  <c r="X129" i="20"/>
  <c r="W129" i="20"/>
  <c r="V129" i="20"/>
  <c r="AO128" i="20"/>
  <c r="AN128" i="20"/>
  <c r="AM128" i="20"/>
  <c r="AL128" i="20"/>
  <c r="AK128" i="20"/>
  <c r="AJ128" i="20"/>
  <c r="AI128" i="20"/>
  <c r="AH128" i="20"/>
  <c r="AG128" i="20"/>
  <c r="AF128" i="20"/>
  <c r="AE128" i="20"/>
  <c r="AD128" i="20"/>
  <c r="AC128" i="20"/>
  <c r="AB128" i="20"/>
  <c r="AA128" i="20"/>
  <c r="Z128" i="20"/>
  <c r="Y128" i="20"/>
  <c r="X128" i="20"/>
  <c r="W128" i="20"/>
  <c r="V128" i="20"/>
  <c r="AO127" i="20"/>
  <c r="AN127" i="20"/>
  <c r="AM127" i="20"/>
  <c r="AL127" i="20"/>
  <c r="AK127" i="20"/>
  <c r="AJ127" i="20"/>
  <c r="AI127" i="20"/>
  <c r="AH127" i="20"/>
  <c r="AG127" i="20"/>
  <c r="AF127" i="20"/>
  <c r="AE127" i="20"/>
  <c r="AD127" i="20"/>
  <c r="AC127" i="20"/>
  <c r="AB127" i="20"/>
  <c r="AA127" i="20"/>
  <c r="Z127" i="20"/>
  <c r="Y127" i="20"/>
  <c r="X127" i="20"/>
  <c r="W127" i="20"/>
  <c r="V127" i="20"/>
  <c r="AO126" i="20"/>
  <c r="AN126" i="20"/>
  <c r="AM126" i="20"/>
  <c r="AL126" i="20"/>
  <c r="AK126" i="20"/>
  <c r="AJ126" i="20"/>
  <c r="AI126" i="20"/>
  <c r="AH126" i="20"/>
  <c r="AG126" i="20"/>
  <c r="AF126" i="20"/>
  <c r="AE126" i="20"/>
  <c r="AD126" i="20"/>
  <c r="AC126" i="20"/>
  <c r="AB126" i="20"/>
  <c r="AA126" i="20"/>
  <c r="Z126" i="20"/>
  <c r="Y126" i="20"/>
  <c r="X126" i="20"/>
  <c r="W126" i="20"/>
  <c r="V126" i="20"/>
  <c r="AO125" i="20"/>
  <c r="AN125" i="20"/>
  <c r="AM125" i="20"/>
  <c r="AL125" i="20"/>
  <c r="AK125" i="20"/>
  <c r="AJ125" i="20"/>
  <c r="AI125" i="20"/>
  <c r="AH125" i="20"/>
  <c r="AG125" i="20"/>
  <c r="AF125" i="20"/>
  <c r="AE125" i="20"/>
  <c r="AD125" i="20"/>
  <c r="AC125" i="20"/>
  <c r="AB125" i="20"/>
  <c r="AA125" i="20"/>
  <c r="Z125" i="20"/>
  <c r="Y125" i="20"/>
  <c r="X125" i="20"/>
  <c r="W125" i="20"/>
  <c r="V125" i="20"/>
  <c r="AO124" i="20"/>
  <c r="AN124" i="20"/>
  <c r="AM124" i="20"/>
  <c r="AL124" i="20"/>
  <c r="AK124" i="20"/>
  <c r="AJ124" i="20"/>
  <c r="AI124" i="20"/>
  <c r="AH124" i="20"/>
  <c r="AG124" i="20"/>
  <c r="AF124" i="20"/>
  <c r="AE124" i="20"/>
  <c r="AD124" i="20"/>
  <c r="AC124" i="20"/>
  <c r="AB124" i="20"/>
  <c r="AA124" i="20"/>
  <c r="Z124" i="20"/>
  <c r="Y124" i="20"/>
  <c r="X124" i="20"/>
  <c r="W124" i="20"/>
  <c r="V124" i="20"/>
  <c r="AO123" i="20"/>
  <c r="AN123" i="20"/>
  <c r="AM123" i="20"/>
  <c r="AL123" i="20"/>
  <c r="AK123" i="20"/>
  <c r="AJ123" i="20"/>
  <c r="AI123" i="20"/>
  <c r="AH123" i="20"/>
  <c r="AG123" i="20"/>
  <c r="AF123" i="20"/>
  <c r="AE123" i="20"/>
  <c r="AD123" i="20"/>
  <c r="AC123" i="20"/>
  <c r="AB123" i="20"/>
  <c r="AA123" i="20"/>
  <c r="Z123" i="20"/>
  <c r="Y123" i="20"/>
  <c r="X123" i="20"/>
  <c r="W123" i="20"/>
  <c r="V123" i="20"/>
  <c r="AO122" i="20"/>
  <c r="AN122" i="20"/>
  <c r="AM122" i="20"/>
  <c r="AL122" i="20"/>
  <c r="AK122" i="20"/>
  <c r="AJ122" i="20"/>
  <c r="AI122" i="20"/>
  <c r="AH122" i="20"/>
  <c r="AG122" i="20"/>
  <c r="AF122" i="20"/>
  <c r="AE122" i="20"/>
  <c r="AD122" i="20"/>
  <c r="AC122" i="20"/>
  <c r="AB122" i="20"/>
  <c r="AA122" i="20"/>
  <c r="Z122" i="20"/>
  <c r="Y122" i="20"/>
  <c r="X122" i="20"/>
  <c r="W122" i="20"/>
  <c r="V122" i="20"/>
  <c r="AO121" i="20"/>
  <c r="AN121" i="20"/>
  <c r="AM121" i="20"/>
  <c r="AL121" i="20"/>
  <c r="AK121" i="20"/>
  <c r="AJ121" i="20"/>
  <c r="AI121" i="20"/>
  <c r="AH121" i="20"/>
  <c r="AG121" i="20"/>
  <c r="AF121" i="20"/>
  <c r="AE121" i="20"/>
  <c r="AD121" i="20"/>
  <c r="AC121" i="20"/>
  <c r="AB121" i="20"/>
  <c r="AA121" i="20"/>
  <c r="Z121" i="20"/>
  <c r="Y121" i="20"/>
  <c r="X121" i="20"/>
  <c r="W121" i="20"/>
  <c r="V121" i="20"/>
  <c r="AO120" i="20"/>
  <c r="AN120" i="20"/>
  <c r="AM120" i="20"/>
  <c r="AL120" i="20"/>
  <c r="AK120" i="20"/>
  <c r="AJ120" i="20"/>
  <c r="AI120" i="20"/>
  <c r="AH120" i="20"/>
  <c r="AG120" i="20"/>
  <c r="AF120" i="20"/>
  <c r="AE120" i="20"/>
  <c r="AD120" i="20"/>
  <c r="AC120" i="20"/>
  <c r="AB120" i="20"/>
  <c r="AA120" i="20"/>
  <c r="Z120" i="20"/>
  <c r="Y120" i="20"/>
  <c r="X120" i="20"/>
  <c r="W120" i="20"/>
  <c r="V120" i="20"/>
  <c r="AO119" i="20"/>
  <c r="AN119" i="20"/>
  <c r="AM119" i="20"/>
  <c r="AL119" i="20"/>
  <c r="AK119" i="20"/>
  <c r="AJ119" i="20"/>
  <c r="AI119" i="20"/>
  <c r="AH119" i="20"/>
  <c r="AG119" i="20"/>
  <c r="AF119" i="20"/>
  <c r="AE119" i="20"/>
  <c r="AD119" i="20"/>
  <c r="AC119" i="20"/>
  <c r="AB119" i="20"/>
  <c r="AA119" i="20"/>
  <c r="Z119" i="20"/>
  <c r="Y119" i="20"/>
  <c r="X119" i="20"/>
  <c r="W119" i="20"/>
  <c r="V119" i="20"/>
  <c r="AO118" i="20"/>
  <c r="AN118" i="20"/>
  <c r="AM118" i="20"/>
  <c r="AL118" i="20"/>
  <c r="AK118" i="20"/>
  <c r="AJ118" i="20"/>
  <c r="AI118" i="20"/>
  <c r="AH118" i="20"/>
  <c r="AG118" i="20"/>
  <c r="AF118" i="20"/>
  <c r="AE118" i="20"/>
  <c r="AD118" i="20"/>
  <c r="AC118" i="20"/>
  <c r="AB118" i="20"/>
  <c r="AA118" i="20"/>
  <c r="Z118" i="20"/>
  <c r="Y118" i="20"/>
  <c r="X118" i="20"/>
  <c r="W118" i="20"/>
  <c r="V118" i="20"/>
  <c r="AO117" i="20"/>
  <c r="AN117" i="20"/>
  <c r="AM117" i="20"/>
  <c r="AL117" i="20"/>
  <c r="AK117" i="20"/>
  <c r="AJ117" i="20"/>
  <c r="AI117" i="20"/>
  <c r="AH117" i="20"/>
  <c r="AG117" i="20"/>
  <c r="AF117" i="20"/>
  <c r="AE117" i="20"/>
  <c r="AD117" i="20"/>
  <c r="AC117" i="20"/>
  <c r="AB117" i="20"/>
  <c r="AA117" i="20"/>
  <c r="Z117" i="20"/>
  <c r="Y117" i="20"/>
  <c r="X117" i="20"/>
  <c r="W117" i="20"/>
  <c r="V117" i="20"/>
  <c r="AO116" i="20"/>
  <c r="AN116" i="20"/>
  <c r="AM116" i="20"/>
  <c r="AL116" i="20"/>
  <c r="AK116" i="20"/>
  <c r="AJ116" i="20"/>
  <c r="AI116" i="20"/>
  <c r="AH116" i="20"/>
  <c r="AG116" i="20"/>
  <c r="AF116" i="20"/>
  <c r="AE116" i="20"/>
  <c r="AD116" i="20"/>
  <c r="AC116" i="20"/>
  <c r="AB116" i="20"/>
  <c r="AA116" i="20"/>
  <c r="Z116" i="20"/>
  <c r="Y116" i="20"/>
  <c r="X116" i="20"/>
  <c r="W116" i="20"/>
  <c r="V116" i="20"/>
  <c r="AO115" i="20"/>
  <c r="AN115" i="20"/>
  <c r="AM115" i="20"/>
  <c r="AL115" i="20"/>
  <c r="AK115" i="20"/>
  <c r="AJ115" i="20"/>
  <c r="AI115" i="20"/>
  <c r="AH115" i="20"/>
  <c r="AG115" i="20"/>
  <c r="AF115" i="20"/>
  <c r="AE115" i="20"/>
  <c r="AD115" i="20"/>
  <c r="AC115" i="20"/>
  <c r="AB115" i="20"/>
  <c r="AA115" i="20"/>
  <c r="Z115" i="20"/>
  <c r="Y115" i="20"/>
  <c r="X115" i="20"/>
  <c r="W115" i="20"/>
  <c r="V115" i="20"/>
  <c r="AO114" i="20"/>
  <c r="AN114" i="20"/>
  <c r="AM114" i="20"/>
  <c r="AL114" i="20"/>
  <c r="AK114" i="20"/>
  <c r="AJ114" i="20"/>
  <c r="AI114" i="20"/>
  <c r="AH114" i="20"/>
  <c r="AG114" i="20"/>
  <c r="AF114" i="20"/>
  <c r="AE114" i="20"/>
  <c r="AD114" i="20"/>
  <c r="AC114" i="20"/>
  <c r="AB114" i="20"/>
  <c r="AA114" i="20"/>
  <c r="Z114" i="20"/>
  <c r="Y114" i="20"/>
  <c r="X114" i="20"/>
  <c r="W114" i="20"/>
  <c r="V114" i="20"/>
  <c r="AO113" i="20"/>
  <c r="AN113" i="20"/>
  <c r="AM113" i="20"/>
  <c r="AL113" i="20"/>
  <c r="AK113" i="20"/>
  <c r="AJ113" i="20"/>
  <c r="AI113" i="20"/>
  <c r="AH113" i="20"/>
  <c r="AG113" i="20"/>
  <c r="AF113" i="20"/>
  <c r="AE113" i="20"/>
  <c r="AD113" i="20"/>
  <c r="AC113" i="20"/>
  <c r="AB113" i="20"/>
  <c r="AA113" i="20"/>
  <c r="Z113" i="20"/>
  <c r="Y113" i="20"/>
  <c r="X113" i="20"/>
  <c r="W113" i="20"/>
  <c r="V113" i="20"/>
  <c r="AO112" i="20"/>
  <c r="AN112" i="20"/>
  <c r="AM112" i="20"/>
  <c r="AL112" i="20"/>
  <c r="AK112" i="20"/>
  <c r="AJ112" i="20"/>
  <c r="AI112" i="20"/>
  <c r="AH112" i="20"/>
  <c r="AG112" i="20"/>
  <c r="AF112" i="20"/>
  <c r="AE112" i="20"/>
  <c r="AD112" i="20"/>
  <c r="AC112" i="20"/>
  <c r="AB112" i="20"/>
  <c r="AA112" i="20"/>
  <c r="Z112" i="20"/>
  <c r="Y112" i="20"/>
  <c r="X112" i="20"/>
  <c r="W112" i="20"/>
  <c r="V112" i="20"/>
  <c r="AO111" i="20"/>
  <c r="AN111" i="20"/>
  <c r="AM111" i="20"/>
  <c r="AL111" i="20"/>
  <c r="AK111" i="20"/>
  <c r="AJ111" i="20"/>
  <c r="AI111" i="20"/>
  <c r="AH111" i="20"/>
  <c r="AG111" i="20"/>
  <c r="AF111" i="20"/>
  <c r="AE111" i="20"/>
  <c r="AD111" i="20"/>
  <c r="AC111" i="20"/>
  <c r="AB111" i="20"/>
  <c r="AA111" i="20"/>
  <c r="Z111" i="20"/>
  <c r="Y111" i="20"/>
  <c r="X111" i="20"/>
  <c r="W111" i="20"/>
  <c r="V111" i="20"/>
  <c r="AO110" i="20"/>
  <c r="AN110" i="20"/>
  <c r="AM110" i="20"/>
  <c r="AL110" i="20"/>
  <c r="AK110" i="20"/>
  <c r="AJ110" i="20"/>
  <c r="AI110" i="20"/>
  <c r="AH110" i="20"/>
  <c r="AG110" i="20"/>
  <c r="AF110" i="20"/>
  <c r="AE110" i="20"/>
  <c r="AD110" i="20"/>
  <c r="AC110" i="20"/>
  <c r="AB110" i="20"/>
  <c r="AA110" i="20"/>
  <c r="Z110" i="20"/>
  <c r="Y110" i="20"/>
  <c r="X110" i="20"/>
  <c r="W110" i="20"/>
  <c r="V110" i="20"/>
  <c r="AO109" i="20"/>
  <c r="AN109" i="20"/>
  <c r="AM109" i="20"/>
  <c r="AL109" i="20"/>
  <c r="AK109" i="20"/>
  <c r="AJ109" i="20"/>
  <c r="AI109" i="20"/>
  <c r="AH109" i="20"/>
  <c r="AG109" i="20"/>
  <c r="AF109" i="20"/>
  <c r="AE109" i="20"/>
  <c r="AD109" i="20"/>
  <c r="AC109" i="20"/>
  <c r="AB109" i="20"/>
  <c r="AA109" i="20"/>
  <c r="Z109" i="20"/>
  <c r="Y109" i="20"/>
  <c r="X109" i="20"/>
  <c r="W109" i="20"/>
  <c r="V109" i="20"/>
  <c r="AO108" i="20"/>
  <c r="AN108" i="20"/>
  <c r="AM108" i="20"/>
  <c r="AL108" i="20"/>
  <c r="AK108" i="20"/>
  <c r="AJ108" i="20"/>
  <c r="AI108" i="20"/>
  <c r="AH108" i="20"/>
  <c r="AG108" i="20"/>
  <c r="AF108" i="20"/>
  <c r="AE108" i="20"/>
  <c r="AD108" i="20"/>
  <c r="AC108" i="20"/>
  <c r="AB108" i="20"/>
  <c r="AA108" i="20"/>
  <c r="Z108" i="20"/>
  <c r="Y108" i="20"/>
  <c r="X108" i="20"/>
  <c r="W108" i="20"/>
  <c r="V108" i="20"/>
  <c r="AO107" i="20"/>
  <c r="AN107" i="20"/>
  <c r="AM107" i="20"/>
  <c r="AL107" i="20"/>
  <c r="AK107" i="20"/>
  <c r="AJ107" i="20"/>
  <c r="AI107" i="20"/>
  <c r="AH107" i="20"/>
  <c r="AG107" i="20"/>
  <c r="AF107" i="20"/>
  <c r="AE107" i="20"/>
  <c r="AD107" i="20"/>
  <c r="AC107" i="20"/>
  <c r="AB107" i="20"/>
  <c r="AA107" i="20"/>
  <c r="Z107" i="20"/>
  <c r="Y107" i="20"/>
  <c r="X107" i="20"/>
  <c r="W107" i="20"/>
  <c r="V107" i="20"/>
  <c r="AO106" i="20"/>
  <c r="AN106" i="20"/>
  <c r="AM106" i="20"/>
  <c r="AL106" i="20"/>
  <c r="AK106" i="20"/>
  <c r="AJ106" i="20"/>
  <c r="AI106" i="20"/>
  <c r="AH106" i="20"/>
  <c r="AG106" i="20"/>
  <c r="AF106" i="20"/>
  <c r="AE106" i="20"/>
  <c r="AD106" i="20"/>
  <c r="AC106" i="20"/>
  <c r="AB106" i="20"/>
  <c r="AA106" i="20"/>
  <c r="Z106" i="20"/>
  <c r="Y106" i="20"/>
  <c r="X106" i="20"/>
  <c r="W106" i="20"/>
  <c r="V106" i="20"/>
  <c r="AO105" i="20"/>
  <c r="AN105" i="20"/>
  <c r="AM105" i="20"/>
  <c r="AL105" i="20"/>
  <c r="AK105" i="20"/>
  <c r="AJ105" i="20"/>
  <c r="AI105" i="20"/>
  <c r="AH105" i="20"/>
  <c r="AG105" i="20"/>
  <c r="AF105" i="20"/>
  <c r="AE105" i="20"/>
  <c r="AD105" i="20"/>
  <c r="AC105" i="20"/>
  <c r="AB105" i="20"/>
  <c r="AA105" i="20"/>
  <c r="Z105" i="20"/>
  <c r="Y105" i="20"/>
  <c r="X105" i="20"/>
  <c r="W105" i="20"/>
  <c r="V105" i="20"/>
  <c r="AO104" i="20"/>
  <c r="AN104" i="20"/>
  <c r="AM104" i="20"/>
  <c r="AL104" i="20"/>
  <c r="AK104" i="20"/>
  <c r="AJ104" i="20"/>
  <c r="AI104" i="20"/>
  <c r="AH104" i="20"/>
  <c r="AG104" i="20"/>
  <c r="AF104" i="20"/>
  <c r="AE104" i="20"/>
  <c r="AD104" i="20"/>
  <c r="AC104" i="20"/>
  <c r="AB104" i="20"/>
  <c r="AA104" i="20"/>
  <c r="Z104" i="20"/>
  <c r="Y104" i="20"/>
  <c r="X104" i="20"/>
  <c r="W104" i="20"/>
  <c r="V104" i="20"/>
  <c r="AO103" i="20"/>
  <c r="AN103" i="20"/>
  <c r="AM103" i="20"/>
  <c r="AL103" i="20"/>
  <c r="AK103" i="20"/>
  <c r="AJ103" i="20"/>
  <c r="AI103" i="20"/>
  <c r="AH103" i="20"/>
  <c r="AG103" i="20"/>
  <c r="AF103" i="20"/>
  <c r="AE103" i="20"/>
  <c r="AD103" i="20"/>
  <c r="AC103" i="20"/>
  <c r="AB103" i="20"/>
  <c r="AA103" i="20"/>
  <c r="Z103" i="20"/>
  <c r="Y103" i="20"/>
  <c r="X103" i="20"/>
  <c r="W103" i="20"/>
  <c r="V103" i="20"/>
  <c r="AO102" i="20"/>
  <c r="AN102" i="20"/>
  <c r="AM102" i="20"/>
  <c r="AL102" i="20"/>
  <c r="AK102" i="20"/>
  <c r="AJ102" i="20"/>
  <c r="AI102" i="20"/>
  <c r="AH102" i="20"/>
  <c r="AG102" i="20"/>
  <c r="AF102" i="20"/>
  <c r="AE102" i="20"/>
  <c r="AD102" i="20"/>
  <c r="AC102" i="20"/>
  <c r="AB102" i="20"/>
  <c r="AA102" i="20"/>
  <c r="Z102" i="20"/>
  <c r="Y102" i="20"/>
  <c r="X102" i="20"/>
  <c r="W102" i="20"/>
  <c r="V102" i="20"/>
  <c r="AO101" i="20"/>
  <c r="AN101" i="20"/>
  <c r="AM101" i="20"/>
  <c r="AL101" i="20"/>
  <c r="AK101" i="20"/>
  <c r="AJ101" i="20"/>
  <c r="AI101" i="20"/>
  <c r="AH101" i="20"/>
  <c r="AG101" i="20"/>
  <c r="AF101" i="20"/>
  <c r="AE101" i="20"/>
  <c r="AD101" i="20"/>
  <c r="AC101" i="20"/>
  <c r="AB101" i="20"/>
  <c r="AA101" i="20"/>
  <c r="Z101" i="20"/>
  <c r="Y101" i="20"/>
  <c r="X101" i="20"/>
  <c r="W101" i="20"/>
  <c r="V101" i="20"/>
  <c r="AO100" i="20"/>
  <c r="AN100" i="20"/>
  <c r="AM100" i="20"/>
  <c r="AL100" i="20"/>
  <c r="AK100" i="20"/>
  <c r="AJ100" i="20"/>
  <c r="AI100" i="20"/>
  <c r="AH100" i="20"/>
  <c r="AG100" i="20"/>
  <c r="AF100" i="20"/>
  <c r="AE100" i="20"/>
  <c r="AD100" i="20"/>
  <c r="AC100" i="20"/>
  <c r="AB100" i="20"/>
  <c r="AA100" i="20"/>
  <c r="Z100" i="20"/>
  <c r="Y100" i="20"/>
  <c r="X100" i="20"/>
  <c r="W100" i="20"/>
  <c r="V100" i="20"/>
  <c r="AV95" i="20"/>
  <c r="AC95" i="20"/>
  <c r="AA95" i="20"/>
  <c r="W95" i="20"/>
  <c r="AV94" i="20"/>
  <c r="AB94" i="20"/>
  <c r="W94" i="20"/>
  <c r="AV93" i="20"/>
  <c r="AC93" i="20"/>
  <c r="AA93" i="20"/>
  <c r="AV92" i="20"/>
  <c r="AC92" i="20"/>
  <c r="Y92" i="20"/>
  <c r="W92" i="20"/>
  <c r="AV91" i="20"/>
  <c r="AC91" i="20"/>
  <c r="AA91" i="20"/>
  <c r="Y91" i="20"/>
  <c r="AV90" i="20"/>
  <c r="AC90" i="20"/>
  <c r="AV89" i="20"/>
  <c r="AC89" i="20"/>
  <c r="W89" i="20"/>
  <c r="AV88" i="20"/>
  <c r="AV87" i="20"/>
  <c r="AA87" i="20"/>
  <c r="Y87" i="20"/>
  <c r="AV86" i="20"/>
  <c r="AV85" i="20"/>
  <c r="AV84" i="20"/>
  <c r="AV83" i="20"/>
  <c r="AV82" i="20"/>
  <c r="Z82" i="20"/>
  <c r="Y82" i="20"/>
  <c r="X82" i="20"/>
  <c r="W82" i="20"/>
  <c r="V82" i="20"/>
  <c r="AV81" i="20"/>
  <c r="Z81" i="20"/>
  <c r="Y81" i="20"/>
  <c r="X81" i="20"/>
  <c r="W81" i="20"/>
  <c r="V81" i="20"/>
  <c r="AV80" i="20"/>
  <c r="Z80" i="20"/>
  <c r="Y80" i="20"/>
  <c r="X80" i="20"/>
  <c r="W80" i="20"/>
  <c r="V80" i="20"/>
  <c r="AV79" i="20"/>
  <c r="Z79" i="20"/>
  <c r="Y79" i="20"/>
  <c r="X79" i="20"/>
  <c r="W79" i="20"/>
  <c r="V79" i="20"/>
  <c r="AV78" i="20"/>
  <c r="Z78" i="20"/>
  <c r="Y78" i="20"/>
  <c r="X78" i="20"/>
  <c r="W78" i="20"/>
  <c r="V78" i="20"/>
  <c r="AV77" i="20"/>
  <c r="Z77" i="20"/>
  <c r="Y77" i="20"/>
  <c r="X77" i="20"/>
  <c r="W77" i="20"/>
  <c r="V77" i="20"/>
  <c r="AV76" i="20"/>
  <c r="Z76" i="20"/>
  <c r="Y76" i="20"/>
  <c r="X76" i="20"/>
  <c r="W76" i="20"/>
  <c r="V76" i="20"/>
  <c r="AV75" i="20"/>
  <c r="Z75" i="20"/>
  <c r="Y75" i="20"/>
  <c r="X75" i="20"/>
  <c r="W75" i="20"/>
  <c r="V75" i="20"/>
  <c r="AV74" i="20"/>
  <c r="Z74" i="20"/>
  <c r="Y74" i="20"/>
  <c r="X74" i="20"/>
  <c r="W74" i="20"/>
  <c r="V74" i="20"/>
  <c r="AV73" i="20"/>
  <c r="Z73" i="20"/>
  <c r="Y73" i="20"/>
  <c r="X73" i="20"/>
  <c r="W73" i="20"/>
  <c r="V73" i="20"/>
  <c r="AV72" i="20"/>
  <c r="AV71" i="20"/>
  <c r="AV70" i="20"/>
  <c r="AV69" i="20"/>
  <c r="AV68" i="20"/>
  <c r="AA68" i="20"/>
  <c r="Z68" i="20"/>
  <c r="Y68" i="20"/>
  <c r="X68" i="20"/>
  <c r="W68" i="20"/>
  <c r="V68" i="20"/>
  <c r="AV67" i="20"/>
  <c r="AA67" i="20"/>
  <c r="Z67" i="20"/>
  <c r="Y67" i="20"/>
  <c r="X67" i="20"/>
  <c r="W67" i="20"/>
  <c r="V67" i="20"/>
  <c r="AV66" i="20"/>
  <c r="Z66" i="20"/>
  <c r="Y66" i="20"/>
  <c r="X66" i="20"/>
  <c r="W66" i="20"/>
  <c r="V66" i="20"/>
  <c r="AV65" i="20"/>
  <c r="AA65" i="20"/>
  <c r="Z65" i="20"/>
  <c r="Y65" i="20"/>
  <c r="X65" i="20"/>
  <c r="W65" i="20"/>
  <c r="V65" i="20"/>
  <c r="AV64" i="20"/>
  <c r="AA64" i="20"/>
  <c r="Z64" i="20"/>
  <c r="Y64" i="20"/>
  <c r="X64" i="20"/>
  <c r="W64" i="20"/>
  <c r="V64" i="20"/>
  <c r="AV63" i="20"/>
  <c r="AA63" i="20"/>
  <c r="Z63" i="20"/>
  <c r="Y63" i="20"/>
  <c r="X63" i="20"/>
  <c r="W63" i="20"/>
  <c r="V63" i="20"/>
  <c r="AV62" i="20"/>
  <c r="AA62" i="20"/>
  <c r="Z62" i="20"/>
  <c r="Y62" i="20"/>
  <c r="X62" i="20"/>
  <c r="W62" i="20"/>
  <c r="V62" i="20"/>
  <c r="AV61" i="20"/>
  <c r="AA61" i="20"/>
  <c r="Z61" i="20"/>
  <c r="Y61" i="20"/>
  <c r="X61" i="20"/>
  <c r="W61" i="20"/>
  <c r="V61" i="20"/>
  <c r="AV60" i="20"/>
  <c r="AA60" i="20"/>
  <c r="Z60" i="20"/>
  <c r="Y60" i="20"/>
  <c r="X60" i="20"/>
  <c r="W60" i="20"/>
  <c r="V60" i="20"/>
  <c r="AV59" i="20"/>
  <c r="AA59" i="20"/>
  <c r="Z59" i="20"/>
  <c r="Y59" i="20"/>
  <c r="X59" i="20"/>
  <c r="W59" i="20"/>
  <c r="V59" i="20"/>
  <c r="AV58" i="20"/>
  <c r="AQ58" i="20"/>
  <c r="AA58" i="20"/>
  <c r="Z58" i="20"/>
  <c r="Y58" i="20"/>
  <c r="X58" i="20"/>
  <c r="W58" i="20"/>
  <c r="V58" i="20"/>
  <c r="B58" i="20"/>
  <c r="AV57" i="20"/>
  <c r="AA57" i="20"/>
  <c r="Z57" i="20"/>
  <c r="Y57" i="20"/>
  <c r="X57" i="20"/>
  <c r="W57" i="20"/>
  <c r="V57" i="20"/>
  <c r="AV56" i="20"/>
  <c r="AA56" i="20"/>
  <c r="Z56" i="20"/>
  <c r="Y56" i="20"/>
  <c r="X56" i="20"/>
  <c r="W56" i="20"/>
  <c r="V56" i="20"/>
  <c r="B56" i="20"/>
  <c r="AV55" i="20"/>
  <c r="B55" i="20"/>
  <c r="AV54" i="20"/>
  <c r="AV53" i="20"/>
  <c r="AV52" i="20"/>
  <c r="AV51" i="20"/>
  <c r="B47" i="20"/>
  <c r="AQ34" i="20" s="1"/>
  <c r="AP44" i="20"/>
  <c r="B59" i="20" s="1"/>
  <c r="B44" i="20"/>
  <c r="AQ31" i="20" s="1"/>
  <c r="AP43" i="20"/>
  <c r="AP42" i="20"/>
  <c r="B57" i="20" s="1"/>
  <c r="AP41" i="20"/>
  <c r="AP40" i="20"/>
  <c r="B40" i="20"/>
  <c r="X36" i="20"/>
  <c r="X35" i="20"/>
  <c r="Q35" i="20"/>
  <c r="E18" i="20" s="1"/>
  <c r="P35" i="20"/>
  <c r="B35" i="20"/>
  <c r="X34" i="20"/>
  <c r="J34" i="20"/>
  <c r="J35" i="20" s="1"/>
  <c r="E36" i="20" s="1"/>
  <c r="X33" i="20"/>
  <c r="X32" i="20"/>
  <c r="AG31" i="20"/>
  <c r="X31" i="20"/>
  <c r="O99" i="20"/>
  <c r="X30" i="20"/>
  <c r="X29" i="20"/>
  <c r="B29" i="20"/>
  <c r="X28" i="20"/>
  <c r="AQ27" i="20"/>
  <c r="B27" i="20"/>
  <c r="P25" i="20"/>
  <c r="I24" i="20" s="1"/>
  <c r="G24" i="20"/>
  <c r="E24" i="20"/>
  <c r="C24" i="20"/>
  <c r="AB23" i="20"/>
  <c r="AA23" i="20"/>
  <c r="Z23" i="20"/>
  <c r="AC23" i="20" s="1"/>
  <c r="Y23" i="20"/>
  <c r="I23" i="20"/>
  <c r="G23" i="20"/>
  <c r="E23" i="20"/>
  <c r="C23" i="20"/>
  <c r="AB22" i="20"/>
  <c r="AA22" i="20"/>
  <c r="Z22" i="20"/>
  <c r="AC22" i="20" s="1"/>
  <c r="Y22" i="20"/>
  <c r="I22" i="20"/>
  <c r="G22" i="20"/>
  <c r="E22" i="20"/>
  <c r="C22" i="20"/>
  <c r="I21" i="20"/>
  <c r="G21" i="20"/>
  <c r="E21" i="20"/>
  <c r="C21" i="20"/>
  <c r="AQ20" i="20"/>
  <c r="AI20" i="20"/>
  <c r="I20" i="20"/>
  <c r="AQ19" i="20"/>
  <c r="AI19" i="20"/>
  <c r="AQ18" i="20"/>
  <c r="AJ18" i="20"/>
  <c r="AI18" i="20"/>
  <c r="I18" i="20"/>
  <c r="AI17" i="20"/>
  <c r="AI16" i="20"/>
  <c r="AI15" i="20"/>
  <c r="AJ15" i="20" s="1"/>
  <c r="AQ14" i="20"/>
  <c r="AI14" i="20"/>
  <c r="I14" i="20"/>
  <c r="AQ13" i="20"/>
  <c r="AI13" i="20"/>
  <c r="AQ12" i="20"/>
  <c r="AJ12" i="20"/>
  <c r="AI12" i="20"/>
  <c r="AI11" i="20"/>
  <c r="AC11" i="20"/>
  <c r="AB11" i="20"/>
  <c r="AA11" i="20"/>
  <c r="Z11" i="20"/>
  <c r="Y11" i="20"/>
  <c r="AI10" i="20"/>
  <c r="AB10" i="20"/>
  <c r="AA10" i="20"/>
  <c r="Z10" i="20"/>
  <c r="Y10" i="20"/>
  <c r="AI9" i="20"/>
  <c r="AJ9" i="20" s="1"/>
  <c r="AB9" i="20"/>
  <c r="AA9" i="20"/>
  <c r="Z9" i="20"/>
  <c r="AC9" i="20" s="1"/>
  <c r="Y9" i="20"/>
  <c r="AQ8" i="20"/>
  <c r="B43" i="20" s="1"/>
  <c r="AQ30" i="20" s="1"/>
  <c r="AB8" i="20"/>
  <c r="AA8" i="20"/>
  <c r="Z8" i="20"/>
  <c r="AC8" i="20" s="1"/>
  <c r="Y8" i="20"/>
  <c r="AQ7" i="20"/>
  <c r="AQ6" i="20"/>
  <c r="B41" i="20" s="1"/>
  <c r="AQ28" i="20" s="1"/>
  <c r="AO179" i="19"/>
  <c r="AN179" i="19"/>
  <c r="AM179" i="19"/>
  <c r="AL179" i="19"/>
  <c r="AK179" i="19"/>
  <c r="AJ179" i="19"/>
  <c r="AI179" i="19"/>
  <c r="AH179" i="19"/>
  <c r="AG179" i="19"/>
  <c r="AF179" i="19"/>
  <c r="AE179" i="19"/>
  <c r="AD179" i="19"/>
  <c r="AC179" i="19"/>
  <c r="AB179" i="19"/>
  <c r="AA179" i="19"/>
  <c r="Z179" i="19"/>
  <c r="Y179" i="19"/>
  <c r="X179" i="19"/>
  <c r="W179" i="19"/>
  <c r="V179" i="19"/>
  <c r="AO178" i="19"/>
  <c r="AN178" i="19"/>
  <c r="AM178" i="19"/>
  <c r="AL178" i="19"/>
  <c r="AK178" i="19"/>
  <c r="AJ178" i="19"/>
  <c r="AI178" i="19"/>
  <c r="AH178" i="19"/>
  <c r="AG178" i="19"/>
  <c r="AF178" i="19"/>
  <c r="AE178" i="19"/>
  <c r="AD178" i="19"/>
  <c r="AC178" i="19"/>
  <c r="AB178" i="19"/>
  <c r="AA178" i="19"/>
  <c r="Z178" i="19"/>
  <c r="Y178" i="19"/>
  <c r="X178" i="19"/>
  <c r="W178" i="19"/>
  <c r="V178" i="19"/>
  <c r="AO177" i="19"/>
  <c r="AN177" i="19"/>
  <c r="AM177" i="19"/>
  <c r="AL177" i="19"/>
  <c r="AK177" i="19"/>
  <c r="AJ177" i="19"/>
  <c r="AI177" i="19"/>
  <c r="AH177" i="19"/>
  <c r="AG177" i="19"/>
  <c r="AF177" i="19"/>
  <c r="AE177" i="19"/>
  <c r="AD177" i="19"/>
  <c r="AC177" i="19"/>
  <c r="AB177" i="19"/>
  <c r="AA177" i="19"/>
  <c r="Z177" i="19"/>
  <c r="Y177" i="19"/>
  <c r="X177" i="19"/>
  <c r="W177" i="19"/>
  <c r="V177" i="19"/>
  <c r="AO176" i="19"/>
  <c r="AN176" i="19"/>
  <c r="AM176" i="19"/>
  <c r="AL176" i="19"/>
  <c r="AK176" i="19"/>
  <c r="AJ176" i="19"/>
  <c r="AI176" i="19"/>
  <c r="AH176" i="19"/>
  <c r="AG176" i="19"/>
  <c r="AF176" i="19"/>
  <c r="AE176" i="19"/>
  <c r="AD176" i="19"/>
  <c r="AC176" i="19"/>
  <c r="AB176" i="19"/>
  <c r="AA176" i="19"/>
  <c r="Z176" i="19"/>
  <c r="Y176" i="19"/>
  <c r="X176" i="19"/>
  <c r="W176" i="19"/>
  <c r="V176" i="19"/>
  <c r="AO175" i="19"/>
  <c r="AN175" i="19"/>
  <c r="AM175" i="19"/>
  <c r="AL175" i="19"/>
  <c r="AK175" i="19"/>
  <c r="AJ175" i="19"/>
  <c r="AI175" i="19"/>
  <c r="AH175" i="19"/>
  <c r="AG175" i="19"/>
  <c r="AF175" i="19"/>
  <c r="AE175" i="19"/>
  <c r="AD175" i="19"/>
  <c r="AC175" i="19"/>
  <c r="AB175" i="19"/>
  <c r="AA175" i="19"/>
  <c r="Z175" i="19"/>
  <c r="Y175" i="19"/>
  <c r="X175" i="19"/>
  <c r="W175" i="19"/>
  <c r="V175" i="19"/>
  <c r="AO174" i="19"/>
  <c r="AN174" i="19"/>
  <c r="AM174" i="19"/>
  <c r="AL174" i="19"/>
  <c r="AK174" i="19"/>
  <c r="AJ174" i="19"/>
  <c r="AI174" i="19"/>
  <c r="AH174" i="19"/>
  <c r="AG174" i="19"/>
  <c r="AF174" i="19"/>
  <c r="AE174" i="19"/>
  <c r="AD174" i="19"/>
  <c r="AC174" i="19"/>
  <c r="AB174" i="19"/>
  <c r="AA174" i="19"/>
  <c r="Z174" i="19"/>
  <c r="Y174" i="19"/>
  <c r="X174" i="19"/>
  <c r="W174" i="19"/>
  <c r="V174" i="19"/>
  <c r="AO173" i="19"/>
  <c r="AN173" i="19"/>
  <c r="AM173" i="19"/>
  <c r="AL173" i="19"/>
  <c r="AK173" i="19"/>
  <c r="AJ173" i="19"/>
  <c r="AI173" i="19"/>
  <c r="AH173" i="19"/>
  <c r="AG173" i="19"/>
  <c r="AF173" i="19"/>
  <c r="AE173" i="19"/>
  <c r="AD173" i="19"/>
  <c r="AC173" i="19"/>
  <c r="AB173" i="19"/>
  <c r="AA173" i="19"/>
  <c r="Z173" i="19"/>
  <c r="Y173" i="19"/>
  <c r="X173" i="19"/>
  <c r="W173" i="19"/>
  <c r="V173" i="19"/>
  <c r="AO172" i="19"/>
  <c r="AN172" i="19"/>
  <c r="AM172" i="19"/>
  <c r="AL172" i="19"/>
  <c r="AK172" i="19"/>
  <c r="AJ172" i="19"/>
  <c r="AI172" i="19"/>
  <c r="AH172" i="19"/>
  <c r="AG172" i="19"/>
  <c r="AF172" i="19"/>
  <c r="AE172" i="19"/>
  <c r="AD172" i="19"/>
  <c r="AC172" i="19"/>
  <c r="AB172" i="19"/>
  <c r="AA172" i="19"/>
  <c r="Z172" i="19"/>
  <c r="Y172" i="19"/>
  <c r="X172" i="19"/>
  <c r="W172" i="19"/>
  <c r="V172" i="19"/>
  <c r="AO171" i="19"/>
  <c r="AN171" i="19"/>
  <c r="AM171" i="19"/>
  <c r="AL171" i="19"/>
  <c r="AK171" i="19"/>
  <c r="AJ171" i="19"/>
  <c r="AI171" i="19"/>
  <c r="AH171" i="19"/>
  <c r="AG171" i="19"/>
  <c r="AF171" i="19"/>
  <c r="AE171" i="19"/>
  <c r="AD171" i="19"/>
  <c r="AC171" i="19"/>
  <c r="AB171" i="19"/>
  <c r="AA171" i="19"/>
  <c r="Z171" i="19"/>
  <c r="Y171" i="19"/>
  <c r="X171" i="19"/>
  <c r="W171" i="19"/>
  <c r="V171" i="19"/>
  <c r="AO170" i="19"/>
  <c r="AN170" i="19"/>
  <c r="AM170" i="19"/>
  <c r="AL170" i="19"/>
  <c r="AK170" i="19"/>
  <c r="AJ170" i="19"/>
  <c r="AI170" i="19"/>
  <c r="AH170" i="19"/>
  <c r="AG170" i="19"/>
  <c r="AF170" i="19"/>
  <c r="AE170" i="19"/>
  <c r="AD170" i="19"/>
  <c r="AC170" i="19"/>
  <c r="AB170" i="19"/>
  <c r="AA170" i="19"/>
  <c r="Z170" i="19"/>
  <c r="Y170" i="19"/>
  <c r="X170" i="19"/>
  <c r="W170" i="19"/>
  <c r="V170" i="19"/>
  <c r="AO169" i="19"/>
  <c r="AN169" i="19"/>
  <c r="AM169" i="19"/>
  <c r="AL169" i="19"/>
  <c r="AK169" i="19"/>
  <c r="AJ169" i="19"/>
  <c r="AI169" i="19"/>
  <c r="AH169" i="19"/>
  <c r="AG169" i="19"/>
  <c r="AF169" i="19"/>
  <c r="AE169" i="19"/>
  <c r="AD169" i="19"/>
  <c r="AC169" i="19"/>
  <c r="AB169" i="19"/>
  <c r="AA169" i="19"/>
  <c r="Z169" i="19"/>
  <c r="Y169" i="19"/>
  <c r="X169" i="19"/>
  <c r="W169" i="19"/>
  <c r="V169" i="19"/>
  <c r="AO168" i="19"/>
  <c r="AN168" i="19"/>
  <c r="AM168" i="19"/>
  <c r="AL168" i="19"/>
  <c r="X95" i="19" s="1"/>
  <c r="AK168" i="19"/>
  <c r="AJ168" i="19"/>
  <c r="AI168" i="19"/>
  <c r="AH168" i="19"/>
  <c r="AG168" i="19"/>
  <c r="AF168" i="19"/>
  <c r="AE168" i="19"/>
  <c r="AD168" i="19"/>
  <c r="AC168" i="19"/>
  <c r="AC95" i="19" s="1"/>
  <c r="AB168" i="19"/>
  <c r="AA168" i="19"/>
  <c r="AA95" i="19" s="1"/>
  <c r="Z168" i="19"/>
  <c r="Z95" i="19" s="1"/>
  <c r="Y168" i="19"/>
  <c r="Y95" i="19" s="1"/>
  <c r="X168" i="19"/>
  <c r="W168" i="19"/>
  <c r="W95" i="19" s="1"/>
  <c r="V168" i="19"/>
  <c r="AO167" i="19"/>
  <c r="AN167" i="19"/>
  <c r="AM167" i="19"/>
  <c r="AL167" i="19"/>
  <c r="X94" i="19" s="1"/>
  <c r="AK167" i="19"/>
  <c r="AJ167" i="19"/>
  <c r="AI167" i="19"/>
  <c r="AH167" i="19"/>
  <c r="AG167" i="19"/>
  <c r="AF167" i="19"/>
  <c r="AE167" i="19"/>
  <c r="AD167" i="19"/>
  <c r="AD94" i="19" s="1"/>
  <c r="AC167" i="19"/>
  <c r="AB167" i="19"/>
  <c r="AB94" i="19" s="1"/>
  <c r="AA167" i="19"/>
  <c r="AA94" i="19" s="1"/>
  <c r="Z167" i="19"/>
  <c r="Z94" i="19" s="1"/>
  <c r="Y167" i="19"/>
  <c r="X167" i="19"/>
  <c r="W167" i="19"/>
  <c r="W94" i="19" s="1"/>
  <c r="V167" i="19"/>
  <c r="V94" i="19" s="1"/>
  <c r="AO166" i="19"/>
  <c r="AN166" i="19"/>
  <c r="AM166" i="19"/>
  <c r="AL166" i="19"/>
  <c r="X93" i="19" s="1"/>
  <c r="AK166" i="19"/>
  <c r="AJ166" i="19"/>
  <c r="AI166" i="19"/>
  <c r="AH166" i="19"/>
  <c r="AG166" i="19"/>
  <c r="AF166" i="19"/>
  <c r="AE166" i="19"/>
  <c r="AD166" i="19"/>
  <c r="AD93" i="19" s="1"/>
  <c r="AC166" i="19"/>
  <c r="AC93" i="19" s="1"/>
  <c r="AB166" i="19"/>
  <c r="AB93" i="19" s="1"/>
  <c r="AA166" i="19"/>
  <c r="AA93" i="19" s="1"/>
  <c r="Z166" i="19"/>
  <c r="Y166" i="19"/>
  <c r="Y93" i="19" s="1"/>
  <c r="X166" i="19"/>
  <c r="W166" i="19"/>
  <c r="W93" i="19" s="1"/>
  <c r="V166" i="19"/>
  <c r="AO165" i="19"/>
  <c r="AN165" i="19"/>
  <c r="AM165" i="19"/>
  <c r="AL165" i="19"/>
  <c r="X92" i="19" s="1"/>
  <c r="AK165" i="19"/>
  <c r="AJ165" i="19"/>
  <c r="AI165" i="19"/>
  <c r="AH165" i="19"/>
  <c r="AG165" i="19"/>
  <c r="AF165" i="19"/>
  <c r="AE165" i="19"/>
  <c r="AD165" i="19"/>
  <c r="AD92" i="19" s="1"/>
  <c r="AC165" i="19"/>
  <c r="AB165" i="19"/>
  <c r="AA165" i="19"/>
  <c r="AA92" i="19" s="1"/>
  <c r="Z165" i="19"/>
  <c r="Z92" i="19" s="1"/>
  <c r="Y165" i="19"/>
  <c r="Y92" i="19" s="1"/>
  <c r="X165" i="19"/>
  <c r="W165" i="19"/>
  <c r="W92" i="19" s="1"/>
  <c r="V165" i="19"/>
  <c r="V92" i="19" s="1"/>
  <c r="AO164" i="19"/>
  <c r="AN164" i="19"/>
  <c r="AM164" i="19"/>
  <c r="AL164" i="19"/>
  <c r="X91" i="19" s="1"/>
  <c r="AK164" i="19"/>
  <c r="AJ164" i="19"/>
  <c r="AI164" i="19"/>
  <c r="AH164" i="19"/>
  <c r="AG164" i="19"/>
  <c r="AF164" i="19"/>
  <c r="AE164" i="19"/>
  <c r="AD164" i="19"/>
  <c r="AC164" i="19"/>
  <c r="AC91" i="19" s="1"/>
  <c r="AB164" i="19"/>
  <c r="AB91" i="19" s="1"/>
  <c r="AA164" i="19"/>
  <c r="AA91" i="19" s="1"/>
  <c r="Z164" i="19"/>
  <c r="Y164" i="19"/>
  <c r="Y91" i="19" s="1"/>
  <c r="X164" i="19"/>
  <c r="W164" i="19"/>
  <c r="W91" i="19" s="1"/>
  <c r="V164" i="19"/>
  <c r="V91" i="19" s="1"/>
  <c r="AO163" i="19"/>
  <c r="AN163" i="19"/>
  <c r="AM163" i="19"/>
  <c r="AL163" i="19"/>
  <c r="AK163" i="19"/>
  <c r="AJ163" i="19"/>
  <c r="AI163" i="19"/>
  <c r="AH163" i="19"/>
  <c r="AG163" i="19"/>
  <c r="AF163" i="19"/>
  <c r="AE163" i="19"/>
  <c r="AD163" i="19"/>
  <c r="AD90" i="19" s="1"/>
  <c r="AC163" i="19"/>
  <c r="AB163" i="19"/>
  <c r="AA163" i="19"/>
  <c r="AA90" i="19" s="1"/>
  <c r="Z163" i="19"/>
  <c r="Z90" i="19" s="1"/>
  <c r="Y163" i="19"/>
  <c r="Y90" i="19" s="1"/>
  <c r="X163" i="19"/>
  <c r="W163" i="19"/>
  <c r="W90" i="19" s="1"/>
  <c r="V163" i="19"/>
  <c r="V90" i="19" s="1"/>
  <c r="AO162" i="19"/>
  <c r="AN162" i="19"/>
  <c r="AM162" i="19"/>
  <c r="AL162" i="19"/>
  <c r="X89" i="19" s="1"/>
  <c r="AK162" i="19"/>
  <c r="AJ162" i="19"/>
  <c r="AI162" i="19"/>
  <c r="AH162" i="19"/>
  <c r="AG162" i="19"/>
  <c r="AF162" i="19"/>
  <c r="AE162" i="19"/>
  <c r="AD162" i="19"/>
  <c r="AD89" i="19" s="1"/>
  <c r="AC162" i="19"/>
  <c r="AC89" i="19" s="1"/>
  <c r="AB162" i="19"/>
  <c r="AA162" i="19"/>
  <c r="AA89" i="19" s="1"/>
  <c r="Z162" i="19"/>
  <c r="Y162" i="19"/>
  <c r="Y89" i="19" s="1"/>
  <c r="X162" i="19"/>
  <c r="W162" i="19"/>
  <c r="W89" i="19" s="1"/>
  <c r="V162" i="19"/>
  <c r="AO161" i="19"/>
  <c r="AN161" i="19"/>
  <c r="AM161" i="19"/>
  <c r="AL161" i="19"/>
  <c r="X88" i="19" s="1"/>
  <c r="AK161" i="19"/>
  <c r="AJ161" i="19"/>
  <c r="AI161" i="19"/>
  <c r="AH161" i="19"/>
  <c r="AG161" i="19"/>
  <c r="AF161" i="19"/>
  <c r="AE161" i="19"/>
  <c r="AD161" i="19"/>
  <c r="AD88" i="19" s="1"/>
  <c r="AC161" i="19"/>
  <c r="AB161" i="19"/>
  <c r="AB88" i="19" s="1"/>
  <c r="AA161" i="19"/>
  <c r="AA88" i="19" s="1"/>
  <c r="Z161" i="19"/>
  <c r="Z88" i="19" s="1"/>
  <c r="Y161" i="19"/>
  <c r="Y88" i="19" s="1"/>
  <c r="X161" i="19"/>
  <c r="W161" i="19"/>
  <c r="W88" i="19" s="1"/>
  <c r="V161" i="19"/>
  <c r="V88" i="19" s="1"/>
  <c r="AO160" i="19"/>
  <c r="AN160" i="19"/>
  <c r="AM160" i="19"/>
  <c r="AL160" i="19"/>
  <c r="X87" i="19" s="1"/>
  <c r="AK160" i="19"/>
  <c r="AJ160" i="19"/>
  <c r="AI160" i="19"/>
  <c r="AH160" i="19"/>
  <c r="AG160" i="19"/>
  <c r="AF160" i="19"/>
  <c r="AE160" i="19"/>
  <c r="AD160" i="19"/>
  <c r="AD87" i="19" s="1"/>
  <c r="AC160" i="19"/>
  <c r="AC87" i="19" s="1"/>
  <c r="AB160" i="19"/>
  <c r="AA160" i="19"/>
  <c r="AA87" i="19" s="1"/>
  <c r="Z160" i="19"/>
  <c r="Y160" i="19"/>
  <c r="Y87" i="19" s="1"/>
  <c r="X160" i="19"/>
  <c r="W160" i="19"/>
  <c r="W87" i="19" s="1"/>
  <c r="V160" i="19"/>
  <c r="AO159" i="19"/>
  <c r="AN159" i="19"/>
  <c r="AM159" i="19"/>
  <c r="AL159" i="19"/>
  <c r="AK159" i="19"/>
  <c r="AJ159" i="19"/>
  <c r="AI159" i="19"/>
  <c r="AH159" i="19"/>
  <c r="AG159" i="19"/>
  <c r="AF159" i="19"/>
  <c r="AE159" i="19"/>
  <c r="AD159" i="19"/>
  <c r="AC159" i="19"/>
  <c r="AB159" i="19"/>
  <c r="AA159" i="19"/>
  <c r="Z159" i="19"/>
  <c r="Y159" i="19"/>
  <c r="X159" i="19"/>
  <c r="W159" i="19"/>
  <c r="V159" i="19"/>
  <c r="AO158" i="19"/>
  <c r="AN158" i="19"/>
  <c r="AM158" i="19"/>
  <c r="AL158" i="19"/>
  <c r="AK158" i="19"/>
  <c r="AJ158" i="19"/>
  <c r="AI158" i="19"/>
  <c r="AH158" i="19"/>
  <c r="AG158" i="19"/>
  <c r="AF158" i="19"/>
  <c r="AE158" i="19"/>
  <c r="AD158" i="19"/>
  <c r="AC158" i="19"/>
  <c r="AB158" i="19"/>
  <c r="AA158" i="19"/>
  <c r="Z158" i="19"/>
  <c r="Y158" i="19"/>
  <c r="X158" i="19"/>
  <c r="W158" i="19"/>
  <c r="V158" i="19"/>
  <c r="AO157" i="19"/>
  <c r="AN157" i="19"/>
  <c r="AM157" i="19"/>
  <c r="AL157" i="19"/>
  <c r="AK157" i="19"/>
  <c r="AJ157" i="19"/>
  <c r="AI157" i="19"/>
  <c r="AH157" i="19"/>
  <c r="AG157" i="19"/>
  <c r="AF157" i="19"/>
  <c r="AE157" i="19"/>
  <c r="AD157" i="19"/>
  <c r="AC157" i="19"/>
  <c r="AB157" i="19"/>
  <c r="AA157" i="19"/>
  <c r="Z157" i="19"/>
  <c r="Y157" i="19"/>
  <c r="X157" i="19"/>
  <c r="W157" i="19"/>
  <c r="V157" i="19"/>
  <c r="AO156" i="19"/>
  <c r="AN156" i="19"/>
  <c r="AM156" i="19"/>
  <c r="AL156" i="19"/>
  <c r="AK156" i="19"/>
  <c r="AJ156" i="19"/>
  <c r="AI156" i="19"/>
  <c r="AH156" i="19"/>
  <c r="AG156" i="19"/>
  <c r="AF156" i="19"/>
  <c r="AE156" i="19"/>
  <c r="AD156" i="19"/>
  <c r="AC156" i="19"/>
  <c r="AB156" i="19"/>
  <c r="AA156" i="19"/>
  <c r="Z156" i="19"/>
  <c r="Y156" i="19"/>
  <c r="X156" i="19"/>
  <c r="W156" i="19"/>
  <c r="V156" i="19"/>
  <c r="AO155" i="19"/>
  <c r="AN155" i="19"/>
  <c r="AM155" i="19"/>
  <c r="AL155" i="19"/>
  <c r="AK155" i="19"/>
  <c r="AJ155" i="19"/>
  <c r="AI155" i="19"/>
  <c r="AH155" i="19"/>
  <c r="AG155" i="19"/>
  <c r="AF155" i="19"/>
  <c r="AE155" i="19"/>
  <c r="AD155" i="19"/>
  <c r="AC155" i="19"/>
  <c r="AB155" i="19"/>
  <c r="AA155" i="19"/>
  <c r="Z155" i="19"/>
  <c r="Y155" i="19"/>
  <c r="X155" i="19"/>
  <c r="W155" i="19"/>
  <c r="V155" i="19"/>
  <c r="AO154" i="19"/>
  <c r="AN154" i="19"/>
  <c r="AM154" i="19"/>
  <c r="AL154" i="19"/>
  <c r="AK154" i="19"/>
  <c r="AJ154" i="19"/>
  <c r="AI154" i="19"/>
  <c r="AH154" i="19"/>
  <c r="AG154" i="19"/>
  <c r="AF154" i="19"/>
  <c r="AE154" i="19"/>
  <c r="AD154" i="19"/>
  <c r="AC154" i="19"/>
  <c r="AB154" i="19"/>
  <c r="AA154" i="19"/>
  <c r="Z154" i="19"/>
  <c r="Y154" i="19"/>
  <c r="X154" i="19"/>
  <c r="W154" i="19"/>
  <c r="V154" i="19"/>
  <c r="AO153" i="19"/>
  <c r="AN153" i="19"/>
  <c r="AM153" i="19"/>
  <c r="AL153" i="19"/>
  <c r="AK153" i="19"/>
  <c r="AJ153" i="19"/>
  <c r="AI153" i="19"/>
  <c r="AH153" i="19"/>
  <c r="AG153" i="19"/>
  <c r="AF153" i="19"/>
  <c r="AE153" i="19"/>
  <c r="AD153" i="19"/>
  <c r="AC153" i="19"/>
  <c r="AB153" i="19"/>
  <c r="AA153" i="19"/>
  <c r="Z153" i="19"/>
  <c r="Y153" i="19"/>
  <c r="X153" i="19"/>
  <c r="W153" i="19"/>
  <c r="V153" i="19"/>
  <c r="AO152" i="19"/>
  <c r="AN152" i="19"/>
  <c r="AM152" i="19"/>
  <c r="AL152" i="19"/>
  <c r="AK152" i="19"/>
  <c r="AJ152" i="19"/>
  <c r="AI152" i="19"/>
  <c r="AH152" i="19"/>
  <c r="AG152" i="19"/>
  <c r="AF152" i="19"/>
  <c r="AE152" i="19"/>
  <c r="AD152" i="19"/>
  <c r="AC152" i="19"/>
  <c r="AB152" i="19"/>
  <c r="AA152" i="19"/>
  <c r="Z152" i="19"/>
  <c r="Y152" i="19"/>
  <c r="X152" i="19"/>
  <c r="W152" i="19"/>
  <c r="V152" i="19"/>
  <c r="AO151" i="19"/>
  <c r="AN151" i="19"/>
  <c r="AM151" i="19"/>
  <c r="AL151" i="19"/>
  <c r="AK151" i="19"/>
  <c r="AJ151" i="19"/>
  <c r="AI151" i="19"/>
  <c r="AH151" i="19"/>
  <c r="AG151" i="19"/>
  <c r="AF151" i="19"/>
  <c r="AE151" i="19"/>
  <c r="AD151" i="19"/>
  <c r="AC151" i="19"/>
  <c r="AB151" i="19"/>
  <c r="AA151" i="19"/>
  <c r="Z151" i="19"/>
  <c r="Y151" i="19"/>
  <c r="X151" i="19"/>
  <c r="W151" i="19"/>
  <c r="V151" i="19"/>
  <c r="AO150" i="19"/>
  <c r="AN150" i="19"/>
  <c r="AM150" i="19"/>
  <c r="AL150" i="19"/>
  <c r="AK150" i="19"/>
  <c r="AJ150" i="19"/>
  <c r="AI150" i="19"/>
  <c r="AH150" i="19"/>
  <c r="AG150" i="19"/>
  <c r="AF150" i="19"/>
  <c r="AE150" i="19"/>
  <c r="AD150" i="19"/>
  <c r="AC150" i="19"/>
  <c r="AB150" i="19"/>
  <c r="AA150" i="19"/>
  <c r="Z150" i="19"/>
  <c r="Y150" i="19"/>
  <c r="X150" i="19"/>
  <c r="W150" i="19"/>
  <c r="V150" i="19"/>
  <c r="AO149" i="19"/>
  <c r="AN149" i="19"/>
  <c r="AM149" i="19"/>
  <c r="AL149" i="19"/>
  <c r="AK149" i="19"/>
  <c r="AJ149" i="19"/>
  <c r="AI149" i="19"/>
  <c r="AH149" i="19"/>
  <c r="AG149" i="19"/>
  <c r="AF149" i="19"/>
  <c r="AE149" i="19"/>
  <c r="AD149" i="19"/>
  <c r="AC149" i="19"/>
  <c r="AB149" i="19"/>
  <c r="AA149" i="19"/>
  <c r="Z149" i="19"/>
  <c r="Y149" i="19"/>
  <c r="X149" i="19"/>
  <c r="W149" i="19"/>
  <c r="V149" i="19"/>
  <c r="AO148" i="19"/>
  <c r="AN148" i="19"/>
  <c r="AM148" i="19"/>
  <c r="AL148" i="19"/>
  <c r="AK148" i="19"/>
  <c r="AJ148" i="19"/>
  <c r="AI148" i="19"/>
  <c r="AH148" i="19"/>
  <c r="AG148" i="19"/>
  <c r="AF148" i="19"/>
  <c r="AE148" i="19"/>
  <c r="AD148" i="19"/>
  <c r="AC148" i="19"/>
  <c r="AB148" i="19"/>
  <c r="AA148" i="19"/>
  <c r="Z148" i="19"/>
  <c r="Y148" i="19"/>
  <c r="X148" i="19"/>
  <c r="W148" i="19"/>
  <c r="V148" i="19"/>
  <c r="AO147" i="19"/>
  <c r="AN147" i="19"/>
  <c r="AM147" i="19"/>
  <c r="AL147" i="19"/>
  <c r="AK147" i="19"/>
  <c r="AJ147" i="19"/>
  <c r="AI147" i="19"/>
  <c r="AH147" i="19"/>
  <c r="AG147" i="19"/>
  <c r="AF147" i="19"/>
  <c r="AE147" i="19"/>
  <c r="AD147" i="19"/>
  <c r="AC147" i="19"/>
  <c r="AB147" i="19"/>
  <c r="AA147" i="19"/>
  <c r="Z147" i="19"/>
  <c r="Y147" i="19"/>
  <c r="X147" i="19"/>
  <c r="W147" i="19"/>
  <c r="V147" i="19"/>
  <c r="AO146" i="19"/>
  <c r="AN146" i="19"/>
  <c r="AM146" i="19"/>
  <c r="AL146" i="19"/>
  <c r="AK146" i="19"/>
  <c r="AJ146" i="19"/>
  <c r="AI146" i="19"/>
  <c r="AH146" i="19"/>
  <c r="AG146" i="19"/>
  <c r="AF146" i="19"/>
  <c r="AE146" i="19"/>
  <c r="AD146" i="19"/>
  <c r="AC146" i="19"/>
  <c r="AB146" i="19"/>
  <c r="AA146" i="19"/>
  <c r="Z146" i="19"/>
  <c r="Y146" i="19"/>
  <c r="X146" i="19"/>
  <c r="W146" i="19"/>
  <c r="V146" i="19"/>
  <c r="AO145" i="19"/>
  <c r="AN145" i="19"/>
  <c r="AM145" i="19"/>
  <c r="AL145" i="19"/>
  <c r="AK145" i="19"/>
  <c r="AJ145" i="19"/>
  <c r="AI145" i="19"/>
  <c r="AH145" i="19"/>
  <c r="AG145" i="19"/>
  <c r="AF145" i="19"/>
  <c r="AE145" i="19"/>
  <c r="AD145" i="19"/>
  <c r="AC145" i="19"/>
  <c r="AB145" i="19"/>
  <c r="AA145" i="19"/>
  <c r="Z145" i="19"/>
  <c r="Y145" i="19"/>
  <c r="X145" i="19"/>
  <c r="W145" i="19"/>
  <c r="V145" i="19"/>
  <c r="AO144" i="19"/>
  <c r="AN144" i="19"/>
  <c r="AM144" i="19"/>
  <c r="AL144" i="19"/>
  <c r="AK144" i="19"/>
  <c r="AJ144" i="19"/>
  <c r="AI144" i="19"/>
  <c r="AH144" i="19"/>
  <c r="AG144" i="19"/>
  <c r="AF144" i="19"/>
  <c r="AE144" i="19"/>
  <c r="AD144" i="19"/>
  <c r="AC144" i="19"/>
  <c r="AB144" i="19"/>
  <c r="AA144" i="19"/>
  <c r="Z144" i="19"/>
  <c r="Y144" i="19"/>
  <c r="X144" i="19"/>
  <c r="W144" i="19"/>
  <c r="V144" i="19"/>
  <c r="AO143" i="19"/>
  <c r="AN143" i="19"/>
  <c r="AM143" i="19"/>
  <c r="AL143" i="19"/>
  <c r="AK143" i="19"/>
  <c r="AJ143" i="19"/>
  <c r="AI143" i="19"/>
  <c r="AH143" i="19"/>
  <c r="AG143" i="19"/>
  <c r="AF143" i="19"/>
  <c r="AE143" i="19"/>
  <c r="AD143" i="19"/>
  <c r="AC143" i="19"/>
  <c r="AB143" i="19"/>
  <c r="AA143" i="19"/>
  <c r="Z143" i="19"/>
  <c r="Y143" i="19"/>
  <c r="X143" i="19"/>
  <c r="W143" i="19"/>
  <c r="V143" i="19"/>
  <c r="AO142" i="19"/>
  <c r="AN142" i="19"/>
  <c r="AM142" i="19"/>
  <c r="AL142" i="19"/>
  <c r="AK142" i="19"/>
  <c r="AJ142" i="19"/>
  <c r="AI142" i="19"/>
  <c r="AH142" i="19"/>
  <c r="AG142" i="19"/>
  <c r="AF142" i="19"/>
  <c r="AE142" i="19"/>
  <c r="AD142" i="19"/>
  <c r="AC142" i="19"/>
  <c r="AB142" i="19"/>
  <c r="AA142" i="19"/>
  <c r="Z142" i="19"/>
  <c r="Y142" i="19"/>
  <c r="X142" i="19"/>
  <c r="W142" i="19"/>
  <c r="V142" i="19"/>
  <c r="AO141" i="19"/>
  <c r="AN141" i="19"/>
  <c r="AM141" i="19"/>
  <c r="AL141" i="19"/>
  <c r="AK141" i="19"/>
  <c r="AJ141" i="19"/>
  <c r="AI141" i="19"/>
  <c r="AH141" i="19"/>
  <c r="AG141" i="19"/>
  <c r="AF141" i="19"/>
  <c r="AE141" i="19"/>
  <c r="AD141" i="19"/>
  <c r="AC141" i="19"/>
  <c r="AB141" i="19"/>
  <c r="AA141" i="19"/>
  <c r="Z141" i="19"/>
  <c r="Y141" i="19"/>
  <c r="X141" i="19"/>
  <c r="W141" i="19"/>
  <c r="V141" i="19"/>
  <c r="AO140" i="19"/>
  <c r="AN140" i="19"/>
  <c r="AM140" i="19"/>
  <c r="AL140" i="19"/>
  <c r="AK140" i="19"/>
  <c r="AJ140" i="19"/>
  <c r="AI140" i="19"/>
  <c r="AH140" i="19"/>
  <c r="AG140" i="19"/>
  <c r="AF140" i="19"/>
  <c r="AE140" i="19"/>
  <c r="AD140" i="19"/>
  <c r="AC140" i="19"/>
  <c r="AB140" i="19"/>
  <c r="AA140" i="19"/>
  <c r="Z140" i="19"/>
  <c r="Y140" i="19"/>
  <c r="X140" i="19"/>
  <c r="W140" i="19"/>
  <c r="V140" i="19"/>
  <c r="AO139" i="19"/>
  <c r="AN139" i="19"/>
  <c r="AM139" i="19"/>
  <c r="AL139" i="19"/>
  <c r="AK139" i="19"/>
  <c r="AJ139" i="19"/>
  <c r="AI139" i="19"/>
  <c r="AH139" i="19"/>
  <c r="AG139" i="19"/>
  <c r="AF139" i="19"/>
  <c r="AE139" i="19"/>
  <c r="AD139" i="19"/>
  <c r="AC139" i="19"/>
  <c r="AB139" i="19"/>
  <c r="AA139" i="19"/>
  <c r="Z139" i="19"/>
  <c r="Y139" i="19"/>
  <c r="X139" i="19"/>
  <c r="W139" i="19"/>
  <c r="V139" i="19"/>
  <c r="AO138" i="19"/>
  <c r="AN138" i="19"/>
  <c r="AM138" i="19"/>
  <c r="AL138" i="19"/>
  <c r="AK138" i="19"/>
  <c r="AJ138" i="19"/>
  <c r="AI138" i="19"/>
  <c r="AH138" i="19"/>
  <c r="AG138" i="19"/>
  <c r="AF138" i="19"/>
  <c r="AE138" i="19"/>
  <c r="AD138" i="19"/>
  <c r="AC138" i="19"/>
  <c r="AB138" i="19"/>
  <c r="AA138" i="19"/>
  <c r="Z138" i="19"/>
  <c r="Y138" i="19"/>
  <c r="X138" i="19"/>
  <c r="W138" i="19"/>
  <c r="V138" i="19"/>
  <c r="AO137" i="19"/>
  <c r="AN137" i="19"/>
  <c r="AM137" i="19"/>
  <c r="AL137" i="19"/>
  <c r="AK137" i="19"/>
  <c r="AJ137" i="19"/>
  <c r="AI137" i="19"/>
  <c r="AH137" i="19"/>
  <c r="AG137" i="19"/>
  <c r="AF137" i="19"/>
  <c r="AE137" i="19"/>
  <c r="AD137" i="19"/>
  <c r="AC137" i="19"/>
  <c r="AB137" i="19"/>
  <c r="AA137" i="19"/>
  <c r="Z137" i="19"/>
  <c r="Y137" i="19"/>
  <c r="X137" i="19"/>
  <c r="W137" i="19"/>
  <c r="V137" i="19"/>
  <c r="AO136" i="19"/>
  <c r="AN136" i="19"/>
  <c r="AM136" i="19"/>
  <c r="AL136" i="19"/>
  <c r="AK136" i="19"/>
  <c r="AJ136" i="19"/>
  <c r="AI136" i="19"/>
  <c r="AH136" i="19"/>
  <c r="AG136" i="19"/>
  <c r="AF136" i="19"/>
  <c r="AE136" i="19"/>
  <c r="AD136" i="19"/>
  <c r="AC136" i="19"/>
  <c r="AB136" i="19"/>
  <c r="AA136" i="19"/>
  <c r="Z136" i="19"/>
  <c r="Y136" i="19"/>
  <c r="X136" i="19"/>
  <c r="W136" i="19"/>
  <c r="V136" i="19"/>
  <c r="AO135" i="19"/>
  <c r="AN135" i="19"/>
  <c r="AM135" i="19"/>
  <c r="AL135" i="19"/>
  <c r="AK135" i="19"/>
  <c r="AJ135" i="19"/>
  <c r="AI135" i="19"/>
  <c r="AH135" i="19"/>
  <c r="AG135" i="19"/>
  <c r="AF135" i="19"/>
  <c r="AE135" i="19"/>
  <c r="AD135" i="19"/>
  <c r="AC135" i="19"/>
  <c r="AB135" i="19"/>
  <c r="AA135" i="19"/>
  <c r="Z135" i="19"/>
  <c r="Y135" i="19"/>
  <c r="X135" i="19"/>
  <c r="W135" i="19"/>
  <c r="V135" i="19"/>
  <c r="AO134" i="19"/>
  <c r="AN134" i="19"/>
  <c r="AM134" i="19"/>
  <c r="AL134" i="19"/>
  <c r="AK134" i="19"/>
  <c r="AJ134" i="19"/>
  <c r="AI134" i="19"/>
  <c r="AH134" i="19"/>
  <c r="AG134" i="19"/>
  <c r="AF134" i="19"/>
  <c r="AE134" i="19"/>
  <c r="AD134" i="19"/>
  <c r="AC134" i="19"/>
  <c r="AB134" i="19"/>
  <c r="AA134" i="19"/>
  <c r="Z134" i="19"/>
  <c r="Y134" i="19"/>
  <c r="X134" i="19"/>
  <c r="W134" i="19"/>
  <c r="V134" i="19"/>
  <c r="AO133" i="19"/>
  <c r="AN133" i="19"/>
  <c r="AM133" i="19"/>
  <c r="AL133" i="19"/>
  <c r="AK133" i="19"/>
  <c r="AJ133" i="19"/>
  <c r="AI133" i="19"/>
  <c r="AH133" i="19"/>
  <c r="AG133" i="19"/>
  <c r="AF133" i="19"/>
  <c r="AE133" i="19"/>
  <c r="AD133" i="19"/>
  <c r="AC133" i="19"/>
  <c r="AB133" i="19"/>
  <c r="AA133" i="19"/>
  <c r="Z133" i="19"/>
  <c r="Y133" i="19"/>
  <c r="X133" i="19"/>
  <c r="W133" i="19"/>
  <c r="V133" i="19"/>
  <c r="AO132" i="19"/>
  <c r="AN132" i="19"/>
  <c r="AM132" i="19"/>
  <c r="AL132" i="19"/>
  <c r="AK132" i="19"/>
  <c r="AJ132" i="19"/>
  <c r="AI132" i="19"/>
  <c r="AH132" i="19"/>
  <c r="AG132" i="19"/>
  <c r="AF132" i="19"/>
  <c r="AE132" i="19"/>
  <c r="AD132" i="19"/>
  <c r="AC132" i="19"/>
  <c r="AB132" i="19"/>
  <c r="AA132" i="19"/>
  <c r="Z132" i="19"/>
  <c r="Y132" i="19"/>
  <c r="X132" i="19"/>
  <c r="W132" i="19"/>
  <c r="V132" i="19"/>
  <c r="AO131" i="19"/>
  <c r="AN131" i="19"/>
  <c r="AM131" i="19"/>
  <c r="AL131" i="19"/>
  <c r="AK131" i="19"/>
  <c r="AJ131" i="19"/>
  <c r="AI131" i="19"/>
  <c r="AH131" i="19"/>
  <c r="AG131" i="19"/>
  <c r="AF131" i="19"/>
  <c r="AE131" i="19"/>
  <c r="AD131" i="19"/>
  <c r="AC131" i="19"/>
  <c r="AB131" i="19"/>
  <c r="AA131" i="19"/>
  <c r="Z131" i="19"/>
  <c r="Y131" i="19"/>
  <c r="X131" i="19"/>
  <c r="W131" i="19"/>
  <c r="V131" i="19"/>
  <c r="AO130" i="19"/>
  <c r="AN130" i="19"/>
  <c r="AM130" i="19"/>
  <c r="AL130" i="19"/>
  <c r="AK130" i="19"/>
  <c r="AJ130" i="19"/>
  <c r="AI130" i="19"/>
  <c r="AH130" i="19"/>
  <c r="AG130" i="19"/>
  <c r="AF130" i="19"/>
  <c r="AE130" i="19"/>
  <c r="AD130" i="19"/>
  <c r="AC130" i="19"/>
  <c r="AB130" i="19"/>
  <c r="AA130" i="19"/>
  <c r="Z130" i="19"/>
  <c r="Y130" i="19"/>
  <c r="X130" i="19"/>
  <c r="W130" i="19"/>
  <c r="V130" i="19"/>
  <c r="AO129" i="19"/>
  <c r="AN129" i="19"/>
  <c r="AM129" i="19"/>
  <c r="AL129" i="19"/>
  <c r="AK129" i="19"/>
  <c r="AJ129" i="19"/>
  <c r="AI129" i="19"/>
  <c r="AH129" i="19"/>
  <c r="AG129" i="19"/>
  <c r="AF129" i="19"/>
  <c r="AE129" i="19"/>
  <c r="AD129" i="19"/>
  <c r="AC129" i="19"/>
  <c r="AB129" i="19"/>
  <c r="AA129" i="19"/>
  <c r="Z129" i="19"/>
  <c r="Y129" i="19"/>
  <c r="X129" i="19"/>
  <c r="W129" i="19"/>
  <c r="V129" i="19"/>
  <c r="AO128" i="19"/>
  <c r="AN128" i="19"/>
  <c r="AM128" i="19"/>
  <c r="AL128" i="19"/>
  <c r="AK128" i="19"/>
  <c r="AJ128" i="19"/>
  <c r="AI128" i="19"/>
  <c r="AH128" i="19"/>
  <c r="AG128" i="19"/>
  <c r="AF128" i="19"/>
  <c r="AE128" i="19"/>
  <c r="AD128" i="19"/>
  <c r="AC128" i="19"/>
  <c r="AB128" i="19"/>
  <c r="AA128" i="19"/>
  <c r="Z128" i="19"/>
  <c r="Y128" i="19"/>
  <c r="X128" i="19"/>
  <c r="W128" i="19"/>
  <c r="V128" i="19"/>
  <c r="AO127" i="19"/>
  <c r="AN127" i="19"/>
  <c r="AM127" i="19"/>
  <c r="AL127" i="19"/>
  <c r="AK127" i="19"/>
  <c r="AJ127" i="19"/>
  <c r="AI127" i="19"/>
  <c r="AH127" i="19"/>
  <c r="AG127" i="19"/>
  <c r="AF127" i="19"/>
  <c r="AE127" i="19"/>
  <c r="AD127" i="19"/>
  <c r="AC127" i="19"/>
  <c r="AB127" i="19"/>
  <c r="AA127" i="19"/>
  <c r="Z127" i="19"/>
  <c r="Y127" i="19"/>
  <c r="X127" i="19"/>
  <c r="W127" i="19"/>
  <c r="V127" i="19"/>
  <c r="AO126" i="19"/>
  <c r="AN126" i="19"/>
  <c r="AM126" i="19"/>
  <c r="AL126" i="19"/>
  <c r="AK126" i="19"/>
  <c r="AJ126" i="19"/>
  <c r="AI126" i="19"/>
  <c r="AH126" i="19"/>
  <c r="AG126" i="19"/>
  <c r="AF126" i="19"/>
  <c r="AE126" i="19"/>
  <c r="AD126" i="19"/>
  <c r="AC126" i="19"/>
  <c r="AB126" i="19"/>
  <c r="AA126" i="19"/>
  <c r="Z126" i="19"/>
  <c r="Y126" i="19"/>
  <c r="X126" i="19"/>
  <c r="W126" i="19"/>
  <c r="V126" i="19"/>
  <c r="AO125" i="19"/>
  <c r="AN125" i="19"/>
  <c r="AM125" i="19"/>
  <c r="AL125" i="19"/>
  <c r="AK125" i="19"/>
  <c r="AJ125" i="19"/>
  <c r="AI125" i="19"/>
  <c r="AH125" i="19"/>
  <c r="AG125" i="19"/>
  <c r="AF125" i="19"/>
  <c r="AE125" i="19"/>
  <c r="AD125" i="19"/>
  <c r="AC125" i="19"/>
  <c r="AB125" i="19"/>
  <c r="AA125" i="19"/>
  <c r="Z125" i="19"/>
  <c r="Y125" i="19"/>
  <c r="X125" i="19"/>
  <c r="W125" i="19"/>
  <c r="V125" i="19"/>
  <c r="AO124" i="19"/>
  <c r="AN124" i="19"/>
  <c r="AM124" i="19"/>
  <c r="AL124" i="19"/>
  <c r="AK124" i="19"/>
  <c r="AJ124" i="19"/>
  <c r="AI124" i="19"/>
  <c r="AH124" i="19"/>
  <c r="AG124" i="19"/>
  <c r="AF124" i="19"/>
  <c r="AE124" i="19"/>
  <c r="AD124" i="19"/>
  <c r="AC124" i="19"/>
  <c r="AB124" i="19"/>
  <c r="AA124" i="19"/>
  <c r="Z124" i="19"/>
  <c r="Y124" i="19"/>
  <c r="X124" i="19"/>
  <c r="W124" i="19"/>
  <c r="V124" i="19"/>
  <c r="AO123" i="19"/>
  <c r="AN123" i="19"/>
  <c r="AM123" i="19"/>
  <c r="AL123" i="19"/>
  <c r="AK123" i="19"/>
  <c r="AJ123" i="19"/>
  <c r="AI123" i="19"/>
  <c r="AH123" i="19"/>
  <c r="AG123" i="19"/>
  <c r="AF123" i="19"/>
  <c r="AE123" i="19"/>
  <c r="AD123" i="19"/>
  <c r="AC123" i="19"/>
  <c r="AB123" i="19"/>
  <c r="AA123" i="19"/>
  <c r="Z123" i="19"/>
  <c r="Y123" i="19"/>
  <c r="X123" i="19"/>
  <c r="W123" i="19"/>
  <c r="V123" i="19"/>
  <c r="AO122" i="19"/>
  <c r="AN122" i="19"/>
  <c r="AM122" i="19"/>
  <c r="AL122" i="19"/>
  <c r="AK122" i="19"/>
  <c r="AJ122" i="19"/>
  <c r="AI122" i="19"/>
  <c r="AH122" i="19"/>
  <c r="AG122" i="19"/>
  <c r="AF122" i="19"/>
  <c r="AE122" i="19"/>
  <c r="AD122" i="19"/>
  <c r="AC122" i="19"/>
  <c r="AB122" i="19"/>
  <c r="AA122" i="19"/>
  <c r="Z122" i="19"/>
  <c r="Y122" i="19"/>
  <c r="X122" i="19"/>
  <c r="W122" i="19"/>
  <c r="V122" i="19"/>
  <c r="AO121" i="19"/>
  <c r="AN121" i="19"/>
  <c r="AM121" i="19"/>
  <c r="AL121" i="19"/>
  <c r="AK121" i="19"/>
  <c r="AJ121" i="19"/>
  <c r="AI121" i="19"/>
  <c r="AH121" i="19"/>
  <c r="AG121" i="19"/>
  <c r="AF121" i="19"/>
  <c r="AE121" i="19"/>
  <c r="AD121" i="19"/>
  <c r="AC121" i="19"/>
  <c r="AB121" i="19"/>
  <c r="AA121" i="19"/>
  <c r="Z121" i="19"/>
  <c r="Y121" i="19"/>
  <c r="X121" i="19"/>
  <c r="W121" i="19"/>
  <c r="V121" i="19"/>
  <c r="AO120" i="19"/>
  <c r="AN120" i="19"/>
  <c r="AM120" i="19"/>
  <c r="AL120" i="19"/>
  <c r="AK120" i="19"/>
  <c r="AJ120" i="19"/>
  <c r="AI120" i="19"/>
  <c r="AH120" i="19"/>
  <c r="AG120" i="19"/>
  <c r="AF120" i="19"/>
  <c r="AE120" i="19"/>
  <c r="AD120" i="19"/>
  <c r="AC120" i="19"/>
  <c r="AB120" i="19"/>
  <c r="AA120" i="19"/>
  <c r="Z120" i="19"/>
  <c r="Y120" i="19"/>
  <c r="X120" i="19"/>
  <c r="W120" i="19"/>
  <c r="V120" i="19"/>
  <c r="AO119" i="19"/>
  <c r="AN119" i="19"/>
  <c r="AM119" i="19"/>
  <c r="AL119" i="19"/>
  <c r="AK119" i="19"/>
  <c r="AJ119" i="19"/>
  <c r="AI119" i="19"/>
  <c r="AH119" i="19"/>
  <c r="AG119" i="19"/>
  <c r="AF119" i="19"/>
  <c r="AE119" i="19"/>
  <c r="AD119" i="19"/>
  <c r="AC119" i="19"/>
  <c r="AB119" i="19"/>
  <c r="AA119" i="19"/>
  <c r="Z119" i="19"/>
  <c r="Y119" i="19"/>
  <c r="X119" i="19"/>
  <c r="W119" i="19"/>
  <c r="V119" i="19"/>
  <c r="AO118" i="19"/>
  <c r="AN118" i="19"/>
  <c r="AM118" i="19"/>
  <c r="AL118" i="19"/>
  <c r="AK118" i="19"/>
  <c r="AJ118" i="19"/>
  <c r="AI118" i="19"/>
  <c r="AH118" i="19"/>
  <c r="AG118" i="19"/>
  <c r="AF118" i="19"/>
  <c r="AE118" i="19"/>
  <c r="AD118" i="19"/>
  <c r="AC118" i="19"/>
  <c r="AB118" i="19"/>
  <c r="AA118" i="19"/>
  <c r="Z118" i="19"/>
  <c r="Y118" i="19"/>
  <c r="X118" i="19"/>
  <c r="W118" i="19"/>
  <c r="V118" i="19"/>
  <c r="AO117" i="19"/>
  <c r="AN117" i="19"/>
  <c r="AM117" i="19"/>
  <c r="AL117" i="19"/>
  <c r="AK117" i="19"/>
  <c r="AJ117" i="19"/>
  <c r="AI117" i="19"/>
  <c r="AH117" i="19"/>
  <c r="AG117" i="19"/>
  <c r="AF117" i="19"/>
  <c r="AE117" i="19"/>
  <c r="AD117" i="19"/>
  <c r="AC117" i="19"/>
  <c r="AB117" i="19"/>
  <c r="AA117" i="19"/>
  <c r="Z117" i="19"/>
  <c r="Y117" i="19"/>
  <c r="X117" i="19"/>
  <c r="W117" i="19"/>
  <c r="V117" i="19"/>
  <c r="AO116" i="19"/>
  <c r="AN116" i="19"/>
  <c r="AM116" i="19"/>
  <c r="AL116" i="19"/>
  <c r="AK116" i="19"/>
  <c r="AJ116" i="19"/>
  <c r="AI116" i="19"/>
  <c r="AH116" i="19"/>
  <c r="AG116" i="19"/>
  <c r="AF116" i="19"/>
  <c r="AE116" i="19"/>
  <c r="AD116" i="19"/>
  <c r="AC116" i="19"/>
  <c r="AB116" i="19"/>
  <c r="AA116" i="19"/>
  <c r="Z116" i="19"/>
  <c r="Y116" i="19"/>
  <c r="X116" i="19"/>
  <c r="W116" i="19"/>
  <c r="V116" i="19"/>
  <c r="AO115" i="19"/>
  <c r="AN115" i="19"/>
  <c r="AM115" i="19"/>
  <c r="AL115" i="19"/>
  <c r="AK115" i="19"/>
  <c r="AJ115" i="19"/>
  <c r="AI115" i="19"/>
  <c r="AH115" i="19"/>
  <c r="AG115" i="19"/>
  <c r="AF115" i="19"/>
  <c r="AE115" i="19"/>
  <c r="AD115" i="19"/>
  <c r="AC115" i="19"/>
  <c r="AB115" i="19"/>
  <c r="AA115" i="19"/>
  <c r="Z115" i="19"/>
  <c r="Y115" i="19"/>
  <c r="X115" i="19"/>
  <c r="W115" i="19"/>
  <c r="V115" i="19"/>
  <c r="AO114" i="19"/>
  <c r="AN114" i="19"/>
  <c r="AM114" i="19"/>
  <c r="AL114" i="19"/>
  <c r="AK114" i="19"/>
  <c r="AJ114" i="19"/>
  <c r="AI114" i="19"/>
  <c r="AH114" i="19"/>
  <c r="AG114" i="19"/>
  <c r="AF114" i="19"/>
  <c r="AE114" i="19"/>
  <c r="AD114" i="19"/>
  <c r="AC114" i="19"/>
  <c r="AB114" i="19"/>
  <c r="AA114" i="19"/>
  <c r="Z114" i="19"/>
  <c r="Y114" i="19"/>
  <c r="X114" i="19"/>
  <c r="W114" i="19"/>
  <c r="V114" i="19"/>
  <c r="AO113" i="19"/>
  <c r="AN113" i="19"/>
  <c r="AM113" i="19"/>
  <c r="AL113" i="19"/>
  <c r="AK113" i="19"/>
  <c r="AJ113" i="19"/>
  <c r="AI113" i="19"/>
  <c r="AH113" i="19"/>
  <c r="AG113" i="19"/>
  <c r="AF113" i="19"/>
  <c r="AE113" i="19"/>
  <c r="AD113" i="19"/>
  <c r="AC113" i="19"/>
  <c r="AB113" i="19"/>
  <c r="AA113" i="19"/>
  <c r="Z113" i="19"/>
  <c r="Y113" i="19"/>
  <c r="X113" i="19"/>
  <c r="W113" i="19"/>
  <c r="V113" i="19"/>
  <c r="AO112" i="19"/>
  <c r="AN112" i="19"/>
  <c r="AM112" i="19"/>
  <c r="AL112" i="19"/>
  <c r="AK112" i="19"/>
  <c r="AJ112" i="19"/>
  <c r="AI112" i="19"/>
  <c r="AH112" i="19"/>
  <c r="AG112" i="19"/>
  <c r="AF112" i="19"/>
  <c r="AE112" i="19"/>
  <c r="AD112" i="19"/>
  <c r="AC112" i="19"/>
  <c r="AB112" i="19"/>
  <c r="AA112" i="19"/>
  <c r="Z112" i="19"/>
  <c r="Y112" i="19"/>
  <c r="X112" i="19"/>
  <c r="W112" i="19"/>
  <c r="V112" i="19"/>
  <c r="AO111" i="19"/>
  <c r="AN111" i="19"/>
  <c r="AM111" i="19"/>
  <c r="AL111" i="19"/>
  <c r="AK111" i="19"/>
  <c r="AJ111" i="19"/>
  <c r="AI111" i="19"/>
  <c r="AH111" i="19"/>
  <c r="AG111" i="19"/>
  <c r="AF111" i="19"/>
  <c r="AE111" i="19"/>
  <c r="AD111" i="19"/>
  <c r="AC111" i="19"/>
  <c r="AB111" i="19"/>
  <c r="AA111" i="19"/>
  <c r="Z111" i="19"/>
  <c r="Y111" i="19"/>
  <c r="X111" i="19"/>
  <c r="W111" i="19"/>
  <c r="V111" i="19"/>
  <c r="AO110" i="19"/>
  <c r="AN110" i="19"/>
  <c r="AM110" i="19"/>
  <c r="AL110" i="19"/>
  <c r="AK110" i="19"/>
  <c r="AJ110" i="19"/>
  <c r="AI110" i="19"/>
  <c r="AH110" i="19"/>
  <c r="AG110" i="19"/>
  <c r="AF110" i="19"/>
  <c r="AE110" i="19"/>
  <c r="AD110" i="19"/>
  <c r="AC110" i="19"/>
  <c r="AB110" i="19"/>
  <c r="AA110" i="19"/>
  <c r="Z110" i="19"/>
  <c r="Y110" i="19"/>
  <c r="X110" i="19"/>
  <c r="W110" i="19"/>
  <c r="V110" i="19"/>
  <c r="AO109" i="19"/>
  <c r="AN109" i="19"/>
  <c r="AM109" i="19"/>
  <c r="AL109" i="19"/>
  <c r="AK109" i="19"/>
  <c r="AJ109" i="19"/>
  <c r="AI109" i="19"/>
  <c r="AH109" i="19"/>
  <c r="AG109" i="19"/>
  <c r="AF109" i="19"/>
  <c r="AE109" i="19"/>
  <c r="AD109" i="19"/>
  <c r="AC109" i="19"/>
  <c r="AB109" i="19"/>
  <c r="AA109" i="19"/>
  <c r="Z109" i="19"/>
  <c r="Y109" i="19"/>
  <c r="X109" i="19"/>
  <c r="W109" i="19"/>
  <c r="V109" i="19"/>
  <c r="AO108" i="19"/>
  <c r="AN108" i="19"/>
  <c r="AM108" i="19"/>
  <c r="AL108" i="19"/>
  <c r="AK108" i="19"/>
  <c r="AJ108" i="19"/>
  <c r="AI108" i="19"/>
  <c r="AH108" i="19"/>
  <c r="AG108" i="19"/>
  <c r="AF108" i="19"/>
  <c r="AE108" i="19"/>
  <c r="AD108" i="19"/>
  <c r="AC108" i="19"/>
  <c r="AB108" i="19"/>
  <c r="AA108" i="19"/>
  <c r="Z108" i="19"/>
  <c r="Y108" i="19"/>
  <c r="X108" i="19"/>
  <c r="W108" i="19"/>
  <c r="V108" i="19"/>
  <c r="AO107" i="19"/>
  <c r="AN107" i="19"/>
  <c r="AM107" i="19"/>
  <c r="AL107" i="19"/>
  <c r="AK107" i="19"/>
  <c r="AJ107" i="19"/>
  <c r="AI107" i="19"/>
  <c r="AH107" i="19"/>
  <c r="AG107" i="19"/>
  <c r="AF107" i="19"/>
  <c r="AE107" i="19"/>
  <c r="AD107" i="19"/>
  <c r="AC107" i="19"/>
  <c r="AB107" i="19"/>
  <c r="AA107" i="19"/>
  <c r="Z107" i="19"/>
  <c r="Y107" i="19"/>
  <c r="X107" i="19"/>
  <c r="W107" i="19"/>
  <c r="V107" i="19"/>
  <c r="AO106" i="19"/>
  <c r="AN106" i="19"/>
  <c r="AM106" i="19"/>
  <c r="AL106" i="19"/>
  <c r="AK106" i="19"/>
  <c r="AJ106" i="19"/>
  <c r="AI106" i="19"/>
  <c r="AH106" i="19"/>
  <c r="AG106" i="19"/>
  <c r="AF106" i="19"/>
  <c r="AE106" i="19"/>
  <c r="AD106" i="19"/>
  <c r="AC106" i="19"/>
  <c r="AB106" i="19"/>
  <c r="AA106" i="19"/>
  <c r="Z106" i="19"/>
  <c r="Y106" i="19"/>
  <c r="X106" i="19"/>
  <c r="W106" i="19"/>
  <c r="V106" i="19"/>
  <c r="AO105" i="19"/>
  <c r="AN105" i="19"/>
  <c r="AM105" i="19"/>
  <c r="AL105" i="19"/>
  <c r="AK105" i="19"/>
  <c r="AJ105" i="19"/>
  <c r="AI105" i="19"/>
  <c r="AH105" i="19"/>
  <c r="AG105" i="19"/>
  <c r="AF105" i="19"/>
  <c r="AE105" i="19"/>
  <c r="AD105" i="19"/>
  <c r="AC105" i="19"/>
  <c r="AB105" i="19"/>
  <c r="AA105" i="19"/>
  <c r="Z105" i="19"/>
  <c r="Y105" i="19"/>
  <c r="X105" i="19"/>
  <c r="W105" i="19"/>
  <c r="V105" i="19"/>
  <c r="AO104" i="19"/>
  <c r="AN104" i="19"/>
  <c r="AM104" i="19"/>
  <c r="AL104" i="19"/>
  <c r="AK104" i="19"/>
  <c r="AJ104" i="19"/>
  <c r="AI104" i="19"/>
  <c r="AH104" i="19"/>
  <c r="AG104" i="19"/>
  <c r="AF104" i="19"/>
  <c r="AE104" i="19"/>
  <c r="AD104" i="19"/>
  <c r="AC104" i="19"/>
  <c r="AB104" i="19"/>
  <c r="AA104" i="19"/>
  <c r="Z104" i="19"/>
  <c r="Y104" i="19"/>
  <c r="X104" i="19"/>
  <c r="W104" i="19"/>
  <c r="V104" i="19"/>
  <c r="AO103" i="19"/>
  <c r="AN103" i="19"/>
  <c r="AM103" i="19"/>
  <c r="AL103" i="19"/>
  <c r="AK103" i="19"/>
  <c r="AJ103" i="19"/>
  <c r="AI103" i="19"/>
  <c r="AH103" i="19"/>
  <c r="AG103" i="19"/>
  <c r="AF103" i="19"/>
  <c r="AE103" i="19"/>
  <c r="AD103" i="19"/>
  <c r="AC103" i="19"/>
  <c r="AB103" i="19"/>
  <c r="AA103" i="19"/>
  <c r="Z103" i="19"/>
  <c r="Y103" i="19"/>
  <c r="X103" i="19"/>
  <c r="W103" i="19"/>
  <c r="V103" i="19"/>
  <c r="AO102" i="19"/>
  <c r="AN102" i="19"/>
  <c r="AM102" i="19"/>
  <c r="AL102" i="19"/>
  <c r="AK102" i="19"/>
  <c r="AJ102" i="19"/>
  <c r="AI102" i="19"/>
  <c r="AH102" i="19"/>
  <c r="AG102" i="19"/>
  <c r="AF102" i="19"/>
  <c r="AE102" i="19"/>
  <c r="AD102" i="19"/>
  <c r="AC102" i="19"/>
  <c r="AB102" i="19"/>
  <c r="AA102" i="19"/>
  <c r="Z102" i="19"/>
  <c r="Y102" i="19"/>
  <c r="X102" i="19"/>
  <c r="W102" i="19"/>
  <c r="V102" i="19"/>
  <c r="AO101" i="19"/>
  <c r="AN101" i="19"/>
  <c r="AM101" i="19"/>
  <c r="AL101" i="19"/>
  <c r="AK101" i="19"/>
  <c r="AJ101" i="19"/>
  <c r="AI101" i="19"/>
  <c r="AH101" i="19"/>
  <c r="AG101" i="19"/>
  <c r="AF101" i="19"/>
  <c r="AE101" i="19"/>
  <c r="AD101" i="19"/>
  <c r="AC101" i="19"/>
  <c r="AB101" i="19"/>
  <c r="AA101" i="19"/>
  <c r="Z101" i="19"/>
  <c r="Y101" i="19"/>
  <c r="X101" i="19"/>
  <c r="W101" i="19"/>
  <c r="V101" i="19"/>
  <c r="AO100" i="19"/>
  <c r="AN100" i="19"/>
  <c r="AM100" i="19"/>
  <c r="AL100" i="19"/>
  <c r="AK100" i="19"/>
  <c r="AJ100" i="19"/>
  <c r="AI100" i="19"/>
  <c r="AH100" i="19"/>
  <c r="AG100" i="19"/>
  <c r="AF100" i="19"/>
  <c r="AE100" i="19"/>
  <c r="AD100" i="19"/>
  <c r="AC100" i="19"/>
  <c r="AB100" i="19"/>
  <c r="AA100" i="19"/>
  <c r="Z100" i="19"/>
  <c r="Y100" i="19"/>
  <c r="X100" i="19"/>
  <c r="W100" i="19"/>
  <c r="V100" i="19"/>
  <c r="AD95" i="19"/>
  <c r="AB95" i="19"/>
  <c r="V95" i="19"/>
  <c r="AC94" i="19"/>
  <c r="Y94" i="19"/>
  <c r="Z93" i="19"/>
  <c r="V93" i="19"/>
  <c r="AC92" i="19"/>
  <c r="AB92" i="19"/>
  <c r="AD91" i="19"/>
  <c r="Z91" i="19"/>
  <c r="AC90" i="19"/>
  <c r="AB90" i="19"/>
  <c r="X90" i="19"/>
  <c r="AB89" i="19"/>
  <c r="Z89" i="19"/>
  <c r="V89" i="19"/>
  <c r="AC88" i="19"/>
  <c r="AB87" i="19"/>
  <c r="Z87" i="19"/>
  <c r="V87" i="19"/>
  <c r="Z82" i="19"/>
  <c r="Y82" i="19"/>
  <c r="X82" i="19"/>
  <c r="W82" i="19"/>
  <c r="V82" i="19"/>
  <c r="Z81" i="19"/>
  <c r="Y81" i="19"/>
  <c r="X81" i="19"/>
  <c r="W81" i="19"/>
  <c r="V81" i="19"/>
  <c r="Z80" i="19"/>
  <c r="Y80" i="19"/>
  <c r="X80" i="19"/>
  <c r="W80" i="19"/>
  <c r="V80" i="19"/>
  <c r="Z79" i="19"/>
  <c r="Y79" i="19"/>
  <c r="X79" i="19"/>
  <c r="W79" i="19"/>
  <c r="V79" i="19"/>
  <c r="Z78" i="19"/>
  <c r="Y78" i="19"/>
  <c r="X78" i="19"/>
  <c r="W78" i="19"/>
  <c r="V78" i="19"/>
  <c r="Z77" i="19"/>
  <c r="Y77" i="19"/>
  <c r="X77" i="19"/>
  <c r="W77" i="19"/>
  <c r="V77" i="19"/>
  <c r="Z76" i="19"/>
  <c r="Y76" i="19"/>
  <c r="X76" i="19"/>
  <c r="W76" i="19"/>
  <c r="V76" i="19"/>
  <c r="Z75" i="19"/>
  <c r="Y75" i="19"/>
  <c r="X75" i="19"/>
  <c r="W75" i="19"/>
  <c r="V75" i="19"/>
  <c r="Z74" i="19"/>
  <c r="Y74" i="19"/>
  <c r="X74" i="19"/>
  <c r="W74" i="19"/>
  <c r="V74" i="19"/>
  <c r="Z73" i="19"/>
  <c r="Y73" i="19"/>
  <c r="X73" i="19"/>
  <c r="W73" i="19"/>
  <c r="V73" i="19"/>
  <c r="AA68" i="19"/>
  <c r="Z68" i="19"/>
  <c r="Y68" i="19"/>
  <c r="X68" i="19"/>
  <c r="W68" i="19"/>
  <c r="V68" i="19"/>
  <c r="AA67" i="19"/>
  <c r="Z67" i="19"/>
  <c r="Y67" i="19"/>
  <c r="X67" i="19"/>
  <c r="W67" i="19"/>
  <c r="V67" i="19"/>
  <c r="Z66" i="19"/>
  <c r="Y66" i="19"/>
  <c r="X66" i="19"/>
  <c r="W66" i="19"/>
  <c r="V66" i="19"/>
  <c r="AA65" i="19"/>
  <c r="Z65" i="19"/>
  <c r="Y65" i="19"/>
  <c r="X65" i="19"/>
  <c r="W65" i="19"/>
  <c r="V65" i="19"/>
  <c r="AA64" i="19"/>
  <c r="Z64" i="19"/>
  <c r="Y64" i="19"/>
  <c r="X64" i="19"/>
  <c r="W64" i="19"/>
  <c r="V64" i="19"/>
  <c r="AA63" i="19"/>
  <c r="Z63" i="19"/>
  <c r="Y63" i="19"/>
  <c r="X63" i="19"/>
  <c r="W63" i="19"/>
  <c r="V63" i="19"/>
  <c r="AA62" i="19"/>
  <c r="Z62" i="19"/>
  <c r="Y62" i="19"/>
  <c r="X62" i="19"/>
  <c r="W62" i="19"/>
  <c r="V62" i="19"/>
  <c r="AA61" i="19"/>
  <c r="Z61" i="19"/>
  <c r="Y61" i="19"/>
  <c r="X61" i="19"/>
  <c r="W61" i="19"/>
  <c r="V61" i="19"/>
  <c r="AA60" i="19"/>
  <c r="Z60" i="19"/>
  <c r="Y60" i="19"/>
  <c r="X60" i="19"/>
  <c r="W60" i="19"/>
  <c r="V60" i="19"/>
  <c r="AA59" i="19"/>
  <c r="Z59" i="19"/>
  <c r="Y59" i="19"/>
  <c r="X59" i="19"/>
  <c r="W59" i="19"/>
  <c r="V59" i="19"/>
  <c r="AQ58" i="19"/>
  <c r="D40" i="19" s="1"/>
  <c r="AA58" i="19"/>
  <c r="Z58" i="19"/>
  <c r="Y58" i="19"/>
  <c r="X58" i="19"/>
  <c r="W58" i="19"/>
  <c r="V58" i="19"/>
  <c r="AA57" i="19"/>
  <c r="Z57" i="19"/>
  <c r="Y57" i="19"/>
  <c r="X57" i="19"/>
  <c r="W57" i="19"/>
  <c r="V57" i="19"/>
  <c r="B57" i="19"/>
  <c r="AA56" i="19"/>
  <c r="Z56" i="19"/>
  <c r="Y56" i="19"/>
  <c r="X56" i="19"/>
  <c r="W56" i="19"/>
  <c r="V56" i="19"/>
  <c r="B55" i="19"/>
  <c r="B49" i="19"/>
  <c r="AQ36" i="19" s="1"/>
  <c r="B48" i="19"/>
  <c r="AQ35" i="19" s="1"/>
  <c r="B46" i="19"/>
  <c r="AQ33" i="19" s="1"/>
  <c r="B45" i="19"/>
  <c r="AP44" i="19"/>
  <c r="B59" i="19" s="1"/>
  <c r="AP43" i="19"/>
  <c r="B58" i="19" s="1"/>
  <c r="AP42" i="19"/>
  <c r="X42" i="19"/>
  <c r="AP41" i="19"/>
  <c r="B56" i="19" s="1"/>
  <c r="X41" i="19"/>
  <c r="AP40" i="19"/>
  <c r="X40" i="19"/>
  <c r="E40" i="19"/>
  <c r="B40" i="19"/>
  <c r="X39" i="19"/>
  <c r="X38" i="19"/>
  <c r="X37" i="19"/>
  <c r="X36" i="19"/>
  <c r="X35" i="19"/>
  <c r="Q35" i="19"/>
  <c r="P35" i="19"/>
  <c r="E18" i="19" s="1"/>
  <c r="AC30" i="19" s="1"/>
  <c r="B35" i="19"/>
  <c r="X34" i="19"/>
  <c r="J34" i="19"/>
  <c r="D35" i="19" s="1"/>
  <c r="X33" i="19"/>
  <c r="AQ32" i="19"/>
  <c r="X32" i="19"/>
  <c r="AG31" i="19"/>
  <c r="X31" i="19"/>
  <c r="X30" i="19"/>
  <c r="X29" i="19"/>
  <c r="B29" i="19"/>
  <c r="X28" i="19"/>
  <c r="AQ27" i="19"/>
  <c r="B27" i="19"/>
  <c r="P25" i="19"/>
  <c r="P24" i="19"/>
  <c r="I24" i="19"/>
  <c r="G24" i="19"/>
  <c r="E24" i="19"/>
  <c r="C24" i="19"/>
  <c r="AC23" i="19"/>
  <c r="AB23" i="19"/>
  <c r="AA23" i="19"/>
  <c r="Z23" i="19"/>
  <c r="Y23" i="19"/>
  <c r="I23" i="19"/>
  <c r="G23" i="19"/>
  <c r="E23" i="19"/>
  <c r="C23" i="19"/>
  <c r="AD22" i="19"/>
  <c r="AB39" i="19" s="1"/>
  <c r="AB22" i="19"/>
  <c r="AA22" i="19"/>
  <c r="Z22" i="19"/>
  <c r="AC22" i="19" s="1"/>
  <c r="Y22" i="19"/>
  <c r="I22" i="19"/>
  <c r="G22" i="19"/>
  <c r="E22" i="19"/>
  <c r="C22" i="19"/>
  <c r="I21" i="19"/>
  <c r="G21" i="19"/>
  <c r="E21" i="19"/>
  <c r="C21" i="19"/>
  <c r="AQ20" i="19"/>
  <c r="AI20" i="19"/>
  <c r="I20" i="19"/>
  <c r="G20" i="19"/>
  <c r="AQ19" i="19"/>
  <c r="AI19" i="19"/>
  <c r="AQ18" i="19"/>
  <c r="AI18" i="19"/>
  <c r="AJ18" i="19" s="1"/>
  <c r="I18" i="19"/>
  <c r="AI17" i="19"/>
  <c r="AI16" i="19"/>
  <c r="AJ15" i="19"/>
  <c r="AI15" i="19"/>
  <c r="AQ14" i="19"/>
  <c r="AI14" i="19"/>
  <c r="I14" i="19"/>
  <c r="AQ13" i="19"/>
  <c r="AI13" i="19"/>
  <c r="AQ12" i="19"/>
  <c r="B44" i="19" s="1"/>
  <c r="AQ31" i="19" s="1"/>
  <c r="AI12" i="19"/>
  <c r="AJ12" i="19" s="1"/>
  <c r="AI11" i="19"/>
  <c r="AC11" i="19"/>
  <c r="AB11" i="19"/>
  <c r="AA11" i="19"/>
  <c r="Z11" i="19"/>
  <c r="Y11" i="19"/>
  <c r="AI10" i="19"/>
  <c r="AC10" i="19"/>
  <c r="AB10" i="19"/>
  <c r="AA10" i="19"/>
  <c r="Z10" i="19"/>
  <c r="Y10" i="19"/>
  <c r="AJ9" i="19"/>
  <c r="AI9" i="19"/>
  <c r="AC9" i="19"/>
  <c r="AB9" i="19"/>
  <c r="AA9" i="19"/>
  <c r="Z9" i="19"/>
  <c r="Y9" i="19"/>
  <c r="AQ8" i="19"/>
  <c r="AB8" i="19"/>
  <c r="AA8" i="19"/>
  <c r="Z8" i="19"/>
  <c r="AC8" i="19" s="1"/>
  <c r="AD8" i="19" s="1"/>
  <c r="AB36" i="19" s="1"/>
  <c r="Y8" i="19"/>
  <c r="AQ7" i="19"/>
  <c r="AQ6" i="19"/>
  <c r="B41" i="19" s="1"/>
  <c r="AQ28" i="19" s="1"/>
  <c r="AO179" i="18"/>
  <c r="AN179" i="18"/>
  <c r="AM179" i="18"/>
  <c r="AL179" i="18"/>
  <c r="AK179" i="18"/>
  <c r="AJ179" i="18"/>
  <c r="AI179" i="18"/>
  <c r="AH179" i="18"/>
  <c r="AG179" i="18"/>
  <c r="AF179" i="18"/>
  <c r="AE179" i="18"/>
  <c r="AD179" i="18"/>
  <c r="AC179" i="18"/>
  <c r="AB179" i="18"/>
  <c r="AA179" i="18"/>
  <c r="Z179" i="18"/>
  <c r="Y179" i="18"/>
  <c r="X179" i="18"/>
  <c r="W179" i="18"/>
  <c r="V179" i="18"/>
  <c r="AO178" i="18"/>
  <c r="AN178" i="18"/>
  <c r="AM178" i="18"/>
  <c r="AL178" i="18"/>
  <c r="AK178" i="18"/>
  <c r="AJ178" i="18"/>
  <c r="AI178" i="18"/>
  <c r="AH178" i="18"/>
  <c r="AG178" i="18"/>
  <c r="AF178" i="18"/>
  <c r="AE178" i="18"/>
  <c r="AD178" i="18"/>
  <c r="AC178" i="18"/>
  <c r="AB178" i="18"/>
  <c r="AA178" i="18"/>
  <c r="Z178" i="18"/>
  <c r="Y178" i="18"/>
  <c r="X178" i="18"/>
  <c r="W178" i="18"/>
  <c r="V178" i="18"/>
  <c r="AO177" i="18"/>
  <c r="AN177" i="18"/>
  <c r="AM177" i="18"/>
  <c r="AL177" i="18"/>
  <c r="AK177" i="18"/>
  <c r="AJ177" i="18"/>
  <c r="AI177" i="18"/>
  <c r="AH177" i="18"/>
  <c r="AG177" i="18"/>
  <c r="AF177" i="18"/>
  <c r="AE177" i="18"/>
  <c r="AD177" i="18"/>
  <c r="AC177" i="18"/>
  <c r="AB177" i="18"/>
  <c r="AA177" i="18"/>
  <c r="Z177" i="18"/>
  <c r="Y177" i="18"/>
  <c r="X177" i="18"/>
  <c r="W177" i="18"/>
  <c r="V177" i="18"/>
  <c r="AO176" i="18"/>
  <c r="AN176" i="18"/>
  <c r="AM176" i="18"/>
  <c r="AL176" i="18"/>
  <c r="AK176" i="18"/>
  <c r="AJ176" i="18"/>
  <c r="AI176" i="18"/>
  <c r="AH176" i="18"/>
  <c r="AG176" i="18"/>
  <c r="AF176" i="18"/>
  <c r="AE176" i="18"/>
  <c r="AD176" i="18"/>
  <c r="AC176" i="18"/>
  <c r="AB176" i="18"/>
  <c r="AA176" i="18"/>
  <c r="Z176" i="18"/>
  <c r="Y176" i="18"/>
  <c r="X176" i="18"/>
  <c r="W176" i="18"/>
  <c r="V176" i="18"/>
  <c r="AO175" i="18"/>
  <c r="AN175" i="18"/>
  <c r="AM175" i="18"/>
  <c r="AL175" i="18"/>
  <c r="AK175" i="18"/>
  <c r="AJ175" i="18"/>
  <c r="AI175" i="18"/>
  <c r="AH175" i="18"/>
  <c r="AG175" i="18"/>
  <c r="AF175" i="18"/>
  <c r="AE175" i="18"/>
  <c r="AD175" i="18"/>
  <c r="AC175" i="18"/>
  <c r="AB175" i="18"/>
  <c r="AA175" i="18"/>
  <c r="Z175" i="18"/>
  <c r="Y175" i="18"/>
  <c r="X175" i="18"/>
  <c r="W175" i="18"/>
  <c r="V175" i="18"/>
  <c r="AO174" i="18"/>
  <c r="AN174" i="18"/>
  <c r="AM174" i="18"/>
  <c r="AL174" i="18"/>
  <c r="AK174" i="18"/>
  <c r="AJ174" i="18"/>
  <c r="AI174" i="18"/>
  <c r="AH174" i="18"/>
  <c r="AG174" i="18"/>
  <c r="AF174" i="18"/>
  <c r="AE174" i="18"/>
  <c r="AD174" i="18"/>
  <c r="AC174" i="18"/>
  <c r="AB174" i="18"/>
  <c r="AA174" i="18"/>
  <c r="Z174" i="18"/>
  <c r="Y174" i="18"/>
  <c r="X174" i="18"/>
  <c r="W174" i="18"/>
  <c r="V174" i="18"/>
  <c r="AO173" i="18"/>
  <c r="AN173" i="18"/>
  <c r="AM173" i="18"/>
  <c r="AL173" i="18"/>
  <c r="AK173" i="18"/>
  <c r="AJ173" i="18"/>
  <c r="AI173" i="18"/>
  <c r="AH173" i="18"/>
  <c r="AG173" i="18"/>
  <c r="AF173" i="18"/>
  <c r="AE173" i="18"/>
  <c r="AD173" i="18"/>
  <c r="AC173" i="18"/>
  <c r="AB173" i="18"/>
  <c r="AA173" i="18"/>
  <c r="Z173" i="18"/>
  <c r="Y173" i="18"/>
  <c r="X173" i="18"/>
  <c r="W173" i="18"/>
  <c r="V173" i="18"/>
  <c r="AO172" i="18"/>
  <c r="AN172" i="18"/>
  <c r="AM172" i="18"/>
  <c r="AL172" i="18"/>
  <c r="AK172" i="18"/>
  <c r="AJ172" i="18"/>
  <c r="AI172" i="18"/>
  <c r="AH172" i="18"/>
  <c r="AG172" i="18"/>
  <c r="AF172" i="18"/>
  <c r="AE172" i="18"/>
  <c r="AD172" i="18"/>
  <c r="AC172" i="18"/>
  <c r="AB172" i="18"/>
  <c r="AA172" i="18"/>
  <c r="Z172" i="18"/>
  <c r="Y172" i="18"/>
  <c r="X172" i="18"/>
  <c r="W172" i="18"/>
  <c r="V172" i="18"/>
  <c r="AO171" i="18"/>
  <c r="AN171" i="18"/>
  <c r="AM171" i="18"/>
  <c r="AL171" i="18"/>
  <c r="AK171" i="18"/>
  <c r="AJ171" i="18"/>
  <c r="AI171" i="18"/>
  <c r="AH171" i="18"/>
  <c r="AG171" i="18"/>
  <c r="AF171" i="18"/>
  <c r="AE171" i="18"/>
  <c r="AD171" i="18"/>
  <c r="AC171" i="18"/>
  <c r="AB171" i="18"/>
  <c r="AA171" i="18"/>
  <c r="Z171" i="18"/>
  <c r="Y171" i="18"/>
  <c r="X171" i="18"/>
  <c r="W171" i="18"/>
  <c r="V171" i="18"/>
  <c r="AO170" i="18"/>
  <c r="AN170" i="18"/>
  <c r="AM170" i="18"/>
  <c r="AL170" i="18"/>
  <c r="AK170" i="18"/>
  <c r="AJ170" i="18"/>
  <c r="AI170" i="18"/>
  <c r="AH170" i="18"/>
  <c r="AG170" i="18"/>
  <c r="AF170" i="18"/>
  <c r="AE170" i="18"/>
  <c r="AD170" i="18"/>
  <c r="AC170" i="18"/>
  <c r="AB170" i="18"/>
  <c r="AA170" i="18"/>
  <c r="Z170" i="18"/>
  <c r="Y170" i="18"/>
  <c r="X170" i="18"/>
  <c r="W170" i="18"/>
  <c r="V170" i="18"/>
  <c r="AO169" i="18"/>
  <c r="AN169" i="18"/>
  <c r="AM169" i="18"/>
  <c r="AL169" i="18"/>
  <c r="AK169" i="18"/>
  <c r="AJ169" i="18"/>
  <c r="AI169" i="18"/>
  <c r="AH169" i="18"/>
  <c r="AG169" i="18"/>
  <c r="AF169" i="18"/>
  <c r="AE169" i="18"/>
  <c r="AD169" i="18"/>
  <c r="AC169" i="18"/>
  <c r="AB169" i="18"/>
  <c r="AA169" i="18"/>
  <c r="Z169" i="18"/>
  <c r="Y169" i="18"/>
  <c r="X169" i="18"/>
  <c r="W169" i="18"/>
  <c r="V169" i="18"/>
  <c r="AO168" i="18"/>
  <c r="AN168" i="18"/>
  <c r="AM168" i="18"/>
  <c r="AL168" i="18"/>
  <c r="X95" i="18" s="1"/>
  <c r="AK168" i="18"/>
  <c r="AJ168" i="18"/>
  <c r="AI168" i="18"/>
  <c r="AH168" i="18"/>
  <c r="AG168" i="18"/>
  <c r="AF168" i="18"/>
  <c r="AE168" i="18"/>
  <c r="AD168" i="18"/>
  <c r="AD95" i="18" s="1"/>
  <c r="AC168" i="18"/>
  <c r="AB168" i="18"/>
  <c r="AB95" i="18" s="1"/>
  <c r="AA168" i="18"/>
  <c r="AA95" i="18" s="1"/>
  <c r="Z168" i="18"/>
  <c r="Z95" i="18" s="1"/>
  <c r="Y168" i="18"/>
  <c r="Y95" i="18" s="1"/>
  <c r="X168" i="18"/>
  <c r="W168" i="18"/>
  <c r="V168" i="18"/>
  <c r="V95" i="18" s="1"/>
  <c r="AO167" i="18"/>
  <c r="AN167" i="18"/>
  <c r="AM167" i="18"/>
  <c r="AL167" i="18"/>
  <c r="AK167" i="18"/>
  <c r="AJ167" i="18"/>
  <c r="AI167" i="18"/>
  <c r="AH167" i="18"/>
  <c r="AG167" i="18"/>
  <c r="AF167" i="18"/>
  <c r="AE167" i="18"/>
  <c r="AD167" i="18"/>
  <c r="AD94" i="18" s="1"/>
  <c r="AC167" i="18"/>
  <c r="AC94" i="18" s="1"/>
  <c r="AB167" i="18"/>
  <c r="AB94" i="18" s="1"/>
  <c r="AA167" i="18"/>
  <c r="AA94" i="18" s="1"/>
  <c r="Z167" i="18"/>
  <c r="Z94" i="18" s="1"/>
  <c r="Y167" i="18"/>
  <c r="Y94" i="18" s="1"/>
  <c r="X167" i="18"/>
  <c r="W167" i="18"/>
  <c r="W94" i="18" s="1"/>
  <c r="V167" i="18"/>
  <c r="AO166" i="18"/>
  <c r="AN166" i="18"/>
  <c r="AM166" i="18"/>
  <c r="AL166" i="18"/>
  <c r="X93" i="18" s="1"/>
  <c r="AK166" i="18"/>
  <c r="AJ166" i="18"/>
  <c r="AI166" i="18"/>
  <c r="AH166" i="18"/>
  <c r="AG166" i="18"/>
  <c r="AF166" i="18"/>
  <c r="AE166" i="18"/>
  <c r="AD166" i="18"/>
  <c r="AD93" i="18" s="1"/>
  <c r="AC166" i="18"/>
  <c r="AB166" i="18"/>
  <c r="AA166" i="18"/>
  <c r="AA93" i="18" s="1"/>
  <c r="Z166" i="18"/>
  <c r="Z93" i="18" s="1"/>
  <c r="Y166" i="18"/>
  <c r="Y93" i="18" s="1"/>
  <c r="X166" i="18"/>
  <c r="W166" i="18"/>
  <c r="W93" i="18" s="1"/>
  <c r="V166" i="18"/>
  <c r="AO165" i="18"/>
  <c r="AN165" i="18"/>
  <c r="AM165" i="18"/>
  <c r="AL165" i="18"/>
  <c r="X92" i="18" s="1"/>
  <c r="AK165" i="18"/>
  <c r="AJ165" i="18"/>
  <c r="AI165" i="18"/>
  <c r="AH165" i="18"/>
  <c r="AG165" i="18"/>
  <c r="AF165" i="18"/>
  <c r="AE165" i="18"/>
  <c r="AD165" i="18"/>
  <c r="AC165" i="18"/>
  <c r="AC92" i="18" s="1"/>
  <c r="AB165" i="18"/>
  <c r="AB92" i="18" s="1"/>
  <c r="AA165" i="18"/>
  <c r="AA92" i="18" s="1"/>
  <c r="Z165" i="18"/>
  <c r="Z92" i="18" s="1"/>
  <c r="Y165" i="18"/>
  <c r="Y92" i="18" s="1"/>
  <c r="X165" i="18"/>
  <c r="W165" i="18"/>
  <c r="V165" i="18"/>
  <c r="V92" i="18" s="1"/>
  <c r="AO164" i="18"/>
  <c r="AN164" i="18"/>
  <c r="AM164" i="18"/>
  <c r="AL164" i="18"/>
  <c r="X91" i="18" s="1"/>
  <c r="AK164" i="18"/>
  <c r="AJ164" i="18"/>
  <c r="AI164" i="18"/>
  <c r="AH164" i="18"/>
  <c r="AG164" i="18"/>
  <c r="AF164" i="18"/>
  <c r="AE164" i="18"/>
  <c r="AD164" i="18"/>
  <c r="AD91" i="18" s="1"/>
  <c r="AC164" i="18"/>
  <c r="AC91" i="18" s="1"/>
  <c r="AB164" i="18"/>
  <c r="AB91" i="18" s="1"/>
  <c r="AA164" i="18"/>
  <c r="AA91" i="18" s="1"/>
  <c r="Z164" i="18"/>
  <c r="Z91" i="18" s="1"/>
  <c r="Y164" i="18"/>
  <c r="Y91" i="18" s="1"/>
  <c r="X164" i="18"/>
  <c r="W164" i="18"/>
  <c r="W91" i="18" s="1"/>
  <c r="V164" i="18"/>
  <c r="V91" i="18" s="1"/>
  <c r="AO163" i="18"/>
  <c r="AN163" i="18"/>
  <c r="AM163" i="18"/>
  <c r="AL163" i="18"/>
  <c r="X90" i="18" s="1"/>
  <c r="AK163" i="18"/>
  <c r="AJ163" i="18"/>
  <c r="AI163" i="18"/>
  <c r="AH163" i="18"/>
  <c r="AG163" i="18"/>
  <c r="AF163" i="18"/>
  <c r="AE163" i="18"/>
  <c r="AD163" i="18"/>
  <c r="AC163" i="18"/>
  <c r="AB163" i="18"/>
  <c r="AA163" i="18"/>
  <c r="Z163" i="18"/>
  <c r="Z90" i="18" s="1"/>
  <c r="Y163" i="18"/>
  <c r="Y90" i="18" s="1"/>
  <c r="X163" i="18"/>
  <c r="W163" i="18"/>
  <c r="V163" i="18"/>
  <c r="AO162" i="18"/>
  <c r="AN162" i="18"/>
  <c r="AM162" i="18"/>
  <c r="AL162" i="18"/>
  <c r="X89" i="18" s="1"/>
  <c r="AK162" i="18"/>
  <c r="AJ162" i="18"/>
  <c r="AI162" i="18"/>
  <c r="AH162" i="18"/>
  <c r="AG162" i="18"/>
  <c r="AF162" i="18"/>
  <c r="AE162" i="18"/>
  <c r="AD162" i="18"/>
  <c r="AD89" i="18" s="1"/>
  <c r="AC162" i="18"/>
  <c r="AC89" i="18" s="1"/>
  <c r="AB162" i="18"/>
  <c r="AB89" i="18" s="1"/>
  <c r="AA162" i="18"/>
  <c r="Z162" i="18"/>
  <c r="Z89" i="18" s="1"/>
  <c r="Y162" i="18"/>
  <c r="Y89" i="18" s="1"/>
  <c r="X162" i="18"/>
  <c r="W162" i="18"/>
  <c r="W89" i="18" s="1"/>
  <c r="V162" i="18"/>
  <c r="V89" i="18" s="1"/>
  <c r="AO161" i="18"/>
  <c r="AN161" i="18"/>
  <c r="AM161" i="18"/>
  <c r="AL161" i="18"/>
  <c r="AK161" i="18"/>
  <c r="AJ161" i="18"/>
  <c r="AI161" i="18"/>
  <c r="AH161" i="18"/>
  <c r="AG161" i="18"/>
  <c r="AF161" i="18"/>
  <c r="AE161" i="18"/>
  <c r="AD161" i="18"/>
  <c r="AD88" i="18" s="1"/>
  <c r="AC161" i="18"/>
  <c r="AC88" i="18" s="1"/>
  <c r="AB161" i="18"/>
  <c r="AA161" i="18"/>
  <c r="Z161" i="18"/>
  <c r="Y161" i="18"/>
  <c r="Y88" i="18" s="1"/>
  <c r="X161" i="18"/>
  <c r="W161" i="18"/>
  <c r="W88" i="18" s="1"/>
  <c r="V161" i="18"/>
  <c r="V88" i="18" s="1"/>
  <c r="AO160" i="18"/>
  <c r="AN160" i="18"/>
  <c r="AM160" i="18"/>
  <c r="AL160" i="18"/>
  <c r="X87" i="18" s="1"/>
  <c r="AK160" i="18"/>
  <c r="AJ160" i="18"/>
  <c r="AI160" i="18"/>
  <c r="AH160" i="18"/>
  <c r="AG160" i="18"/>
  <c r="AF160" i="18"/>
  <c r="AE160" i="18"/>
  <c r="AD160" i="18"/>
  <c r="AD87" i="18" s="1"/>
  <c r="AC160" i="18"/>
  <c r="AB160" i="18"/>
  <c r="AB87" i="18" s="1"/>
  <c r="AA160" i="18"/>
  <c r="AA87" i="18" s="1"/>
  <c r="Z160" i="18"/>
  <c r="Z87" i="18" s="1"/>
  <c r="Y160" i="18"/>
  <c r="Y87" i="18" s="1"/>
  <c r="X160" i="18"/>
  <c r="W160" i="18"/>
  <c r="W87" i="18" s="1"/>
  <c r="V160" i="18"/>
  <c r="AO159" i="18"/>
  <c r="AN159" i="18"/>
  <c r="AM159" i="18"/>
  <c r="AL159" i="18"/>
  <c r="AK159" i="18"/>
  <c r="AJ159" i="18"/>
  <c r="AI159" i="18"/>
  <c r="AH159" i="18"/>
  <c r="AG159" i="18"/>
  <c r="AF159" i="18"/>
  <c r="AE159" i="18"/>
  <c r="AD159" i="18"/>
  <c r="AC159" i="18"/>
  <c r="AB159" i="18"/>
  <c r="AA159" i="18"/>
  <c r="Z159" i="18"/>
  <c r="Y159" i="18"/>
  <c r="X159" i="18"/>
  <c r="W159" i="18"/>
  <c r="V159" i="18"/>
  <c r="AO158" i="18"/>
  <c r="AN158" i="18"/>
  <c r="AM158" i="18"/>
  <c r="AL158" i="18"/>
  <c r="AK158" i="18"/>
  <c r="AJ158" i="18"/>
  <c r="AI158" i="18"/>
  <c r="AH158" i="18"/>
  <c r="AG158" i="18"/>
  <c r="AF158" i="18"/>
  <c r="AE158" i="18"/>
  <c r="AD158" i="18"/>
  <c r="AC158" i="18"/>
  <c r="AB158" i="18"/>
  <c r="AA158" i="18"/>
  <c r="Z158" i="18"/>
  <c r="Y158" i="18"/>
  <c r="X158" i="18"/>
  <c r="W158" i="18"/>
  <c r="V158" i="18"/>
  <c r="AO157" i="18"/>
  <c r="AN157" i="18"/>
  <c r="AM157" i="18"/>
  <c r="AL157" i="18"/>
  <c r="AK157" i="18"/>
  <c r="AJ157" i="18"/>
  <c r="AI157" i="18"/>
  <c r="AH157" i="18"/>
  <c r="AG157" i="18"/>
  <c r="AF157" i="18"/>
  <c r="AE157" i="18"/>
  <c r="AD157" i="18"/>
  <c r="AC157" i="18"/>
  <c r="AB157" i="18"/>
  <c r="AA157" i="18"/>
  <c r="Z157" i="18"/>
  <c r="Y157" i="18"/>
  <c r="X157" i="18"/>
  <c r="W157" i="18"/>
  <c r="V157" i="18"/>
  <c r="AO156" i="18"/>
  <c r="AN156" i="18"/>
  <c r="AM156" i="18"/>
  <c r="AL156" i="18"/>
  <c r="AK156" i="18"/>
  <c r="AJ156" i="18"/>
  <c r="AI156" i="18"/>
  <c r="AH156" i="18"/>
  <c r="AG156" i="18"/>
  <c r="AF156" i="18"/>
  <c r="AE156" i="18"/>
  <c r="AD156" i="18"/>
  <c r="AC156" i="18"/>
  <c r="AB156" i="18"/>
  <c r="AA156" i="18"/>
  <c r="Z156" i="18"/>
  <c r="Y156" i="18"/>
  <c r="X156" i="18"/>
  <c r="W156" i="18"/>
  <c r="V156" i="18"/>
  <c r="AO155" i="18"/>
  <c r="AN155" i="18"/>
  <c r="AM155" i="18"/>
  <c r="AL155" i="18"/>
  <c r="AK155" i="18"/>
  <c r="AJ155" i="18"/>
  <c r="AI155" i="18"/>
  <c r="AH155" i="18"/>
  <c r="AG155" i="18"/>
  <c r="AF155" i="18"/>
  <c r="AE155" i="18"/>
  <c r="AD155" i="18"/>
  <c r="AC155" i="18"/>
  <c r="AB155" i="18"/>
  <c r="AA155" i="18"/>
  <c r="Z155" i="18"/>
  <c r="Y155" i="18"/>
  <c r="X155" i="18"/>
  <c r="W155" i="18"/>
  <c r="V155" i="18"/>
  <c r="AO154" i="18"/>
  <c r="AN154" i="18"/>
  <c r="AM154" i="18"/>
  <c r="AL154" i="18"/>
  <c r="AK154" i="18"/>
  <c r="AJ154" i="18"/>
  <c r="AI154" i="18"/>
  <c r="AH154" i="18"/>
  <c r="AG154" i="18"/>
  <c r="AF154" i="18"/>
  <c r="AE154" i="18"/>
  <c r="AD154" i="18"/>
  <c r="AC154" i="18"/>
  <c r="AB154" i="18"/>
  <c r="AA154" i="18"/>
  <c r="Z154" i="18"/>
  <c r="Y154" i="18"/>
  <c r="X154" i="18"/>
  <c r="W154" i="18"/>
  <c r="V154" i="18"/>
  <c r="AO153" i="18"/>
  <c r="AN153" i="18"/>
  <c r="AM153" i="18"/>
  <c r="AL153" i="18"/>
  <c r="AK153" i="18"/>
  <c r="AJ153" i="18"/>
  <c r="AI153" i="18"/>
  <c r="AH153" i="18"/>
  <c r="AG153" i="18"/>
  <c r="AF153" i="18"/>
  <c r="AE153" i="18"/>
  <c r="AD153" i="18"/>
  <c r="AC153" i="18"/>
  <c r="AB153" i="18"/>
  <c r="AA153" i="18"/>
  <c r="Z153" i="18"/>
  <c r="Y153" i="18"/>
  <c r="X153" i="18"/>
  <c r="W153" i="18"/>
  <c r="V153" i="18"/>
  <c r="AO152" i="18"/>
  <c r="AN152" i="18"/>
  <c r="AM152" i="18"/>
  <c r="AL152" i="18"/>
  <c r="AK152" i="18"/>
  <c r="AJ152" i="18"/>
  <c r="AI152" i="18"/>
  <c r="AH152" i="18"/>
  <c r="AG152" i="18"/>
  <c r="AF152" i="18"/>
  <c r="AE152" i="18"/>
  <c r="AD152" i="18"/>
  <c r="AC152" i="18"/>
  <c r="AB152" i="18"/>
  <c r="AA152" i="18"/>
  <c r="Z152" i="18"/>
  <c r="Y152" i="18"/>
  <c r="X152" i="18"/>
  <c r="W152" i="18"/>
  <c r="V152" i="18"/>
  <c r="AO151" i="18"/>
  <c r="AN151" i="18"/>
  <c r="AM151" i="18"/>
  <c r="AL151" i="18"/>
  <c r="AK151" i="18"/>
  <c r="AJ151" i="18"/>
  <c r="AI151" i="18"/>
  <c r="AH151" i="18"/>
  <c r="AG151" i="18"/>
  <c r="AF151" i="18"/>
  <c r="AE151" i="18"/>
  <c r="AD151" i="18"/>
  <c r="AC151" i="18"/>
  <c r="AB151" i="18"/>
  <c r="AA151" i="18"/>
  <c r="Z151" i="18"/>
  <c r="Y151" i="18"/>
  <c r="X151" i="18"/>
  <c r="W151" i="18"/>
  <c r="V151" i="18"/>
  <c r="AO150" i="18"/>
  <c r="AN150" i="18"/>
  <c r="AM150" i="18"/>
  <c r="AL150" i="18"/>
  <c r="AK150" i="18"/>
  <c r="AJ150" i="18"/>
  <c r="AI150" i="18"/>
  <c r="AH150" i="18"/>
  <c r="AG150" i="18"/>
  <c r="AF150" i="18"/>
  <c r="AE150" i="18"/>
  <c r="AD150" i="18"/>
  <c r="AC150" i="18"/>
  <c r="AB150" i="18"/>
  <c r="AA150" i="18"/>
  <c r="Z150" i="18"/>
  <c r="Y150" i="18"/>
  <c r="X150" i="18"/>
  <c r="W150" i="18"/>
  <c r="V150" i="18"/>
  <c r="AO149" i="18"/>
  <c r="AN149" i="18"/>
  <c r="AM149" i="18"/>
  <c r="AL149" i="18"/>
  <c r="AK149" i="18"/>
  <c r="AJ149" i="18"/>
  <c r="AI149" i="18"/>
  <c r="AH149" i="18"/>
  <c r="AG149" i="18"/>
  <c r="AF149" i="18"/>
  <c r="AE149" i="18"/>
  <c r="AD149" i="18"/>
  <c r="AC149" i="18"/>
  <c r="AB149" i="18"/>
  <c r="AA149" i="18"/>
  <c r="Z149" i="18"/>
  <c r="Y149" i="18"/>
  <c r="X149" i="18"/>
  <c r="W149" i="18"/>
  <c r="V149" i="18"/>
  <c r="AO148" i="18"/>
  <c r="AN148" i="18"/>
  <c r="AM148" i="18"/>
  <c r="AL148" i="18"/>
  <c r="AK148" i="18"/>
  <c r="AJ148" i="18"/>
  <c r="AI148" i="18"/>
  <c r="AH148" i="18"/>
  <c r="AG148" i="18"/>
  <c r="AF148" i="18"/>
  <c r="AE148" i="18"/>
  <c r="AD148" i="18"/>
  <c r="AC148" i="18"/>
  <c r="AB148" i="18"/>
  <c r="AA148" i="18"/>
  <c r="Z148" i="18"/>
  <c r="Y148" i="18"/>
  <c r="X148" i="18"/>
  <c r="W148" i="18"/>
  <c r="V148" i="18"/>
  <c r="AO147" i="18"/>
  <c r="AN147" i="18"/>
  <c r="AM147" i="18"/>
  <c r="AL147" i="18"/>
  <c r="AK147" i="18"/>
  <c r="AJ147" i="18"/>
  <c r="AI147" i="18"/>
  <c r="AH147" i="18"/>
  <c r="AG147" i="18"/>
  <c r="AF147" i="18"/>
  <c r="AE147" i="18"/>
  <c r="AD147" i="18"/>
  <c r="AC147" i="18"/>
  <c r="AB147" i="18"/>
  <c r="AA147" i="18"/>
  <c r="Z147" i="18"/>
  <c r="Y147" i="18"/>
  <c r="X147" i="18"/>
  <c r="W147" i="18"/>
  <c r="V147" i="18"/>
  <c r="AO146" i="18"/>
  <c r="AN146" i="18"/>
  <c r="AM146" i="18"/>
  <c r="AL146" i="18"/>
  <c r="AK146" i="18"/>
  <c r="AJ146" i="18"/>
  <c r="AI146" i="18"/>
  <c r="AH146" i="18"/>
  <c r="AG146" i="18"/>
  <c r="AF146" i="18"/>
  <c r="AE146" i="18"/>
  <c r="AD146" i="18"/>
  <c r="AC146" i="18"/>
  <c r="AB146" i="18"/>
  <c r="AA146" i="18"/>
  <c r="Z146" i="18"/>
  <c r="Y146" i="18"/>
  <c r="X146" i="18"/>
  <c r="W146" i="18"/>
  <c r="V146" i="18"/>
  <c r="AO145" i="18"/>
  <c r="AN145" i="18"/>
  <c r="AM145" i="18"/>
  <c r="AL145" i="18"/>
  <c r="AK145" i="18"/>
  <c r="AJ145" i="18"/>
  <c r="AI145" i="18"/>
  <c r="AH145" i="18"/>
  <c r="AG145" i="18"/>
  <c r="AF145" i="18"/>
  <c r="AE145" i="18"/>
  <c r="AD145" i="18"/>
  <c r="AC145" i="18"/>
  <c r="AB145" i="18"/>
  <c r="AA145" i="18"/>
  <c r="Z145" i="18"/>
  <c r="Y145" i="18"/>
  <c r="X145" i="18"/>
  <c r="W145" i="18"/>
  <c r="V145" i="18"/>
  <c r="AO144" i="18"/>
  <c r="AN144" i="18"/>
  <c r="AM144" i="18"/>
  <c r="AL144" i="18"/>
  <c r="AK144" i="18"/>
  <c r="AJ144" i="18"/>
  <c r="AI144" i="18"/>
  <c r="AH144" i="18"/>
  <c r="AG144" i="18"/>
  <c r="AF144" i="18"/>
  <c r="AE144" i="18"/>
  <c r="AD144" i="18"/>
  <c r="AC144" i="18"/>
  <c r="AB144" i="18"/>
  <c r="AA144" i="18"/>
  <c r="Z144" i="18"/>
  <c r="Y144" i="18"/>
  <c r="X144" i="18"/>
  <c r="W144" i="18"/>
  <c r="V144" i="18"/>
  <c r="AO143" i="18"/>
  <c r="AN143" i="18"/>
  <c r="AM143" i="18"/>
  <c r="AL143" i="18"/>
  <c r="AK143" i="18"/>
  <c r="AJ143" i="18"/>
  <c r="AI143" i="18"/>
  <c r="AH143" i="18"/>
  <c r="AG143" i="18"/>
  <c r="AF143" i="18"/>
  <c r="AE143" i="18"/>
  <c r="AD143" i="18"/>
  <c r="AC143" i="18"/>
  <c r="AB143" i="18"/>
  <c r="AA143" i="18"/>
  <c r="Z143" i="18"/>
  <c r="Y143" i="18"/>
  <c r="X143" i="18"/>
  <c r="W143" i="18"/>
  <c r="V143" i="18"/>
  <c r="AO142" i="18"/>
  <c r="AN142" i="18"/>
  <c r="AM142" i="18"/>
  <c r="AL142" i="18"/>
  <c r="AK142" i="18"/>
  <c r="AJ142" i="18"/>
  <c r="AI142" i="18"/>
  <c r="AH142" i="18"/>
  <c r="AG142" i="18"/>
  <c r="AF142" i="18"/>
  <c r="AE142" i="18"/>
  <c r="AD142" i="18"/>
  <c r="AC142" i="18"/>
  <c r="AB142" i="18"/>
  <c r="AA142" i="18"/>
  <c r="Z142" i="18"/>
  <c r="Y142" i="18"/>
  <c r="X142" i="18"/>
  <c r="W142" i="18"/>
  <c r="V142" i="18"/>
  <c r="AO141" i="18"/>
  <c r="AN141" i="18"/>
  <c r="AM141" i="18"/>
  <c r="AL141" i="18"/>
  <c r="AK141" i="18"/>
  <c r="AJ141" i="18"/>
  <c r="AI141" i="18"/>
  <c r="AH141" i="18"/>
  <c r="AG141" i="18"/>
  <c r="AF141" i="18"/>
  <c r="AE141" i="18"/>
  <c r="AD141" i="18"/>
  <c r="AC141" i="18"/>
  <c r="AB141" i="18"/>
  <c r="AA141" i="18"/>
  <c r="Z141" i="18"/>
  <c r="Y141" i="18"/>
  <c r="X141" i="18"/>
  <c r="W141" i="18"/>
  <c r="V141" i="18"/>
  <c r="AO140" i="18"/>
  <c r="AN140" i="18"/>
  <c r="AM140" i="18"/>
  <c r="AL140" i="18"/>
  <c r="AK140" i="18"/>
  <c r="AJ140" i="18"/>
  <c r="AI140" i="18"/>
  <c r="AH140" i="18"/>
  <c r="AG140" i="18"/>
  <c r="AF140" i="18"/>
  <c r="AE140" i="18"/>
  <c r="AD140" i="18"/>
  <c r="AC140" i="18"/>
  <c r="AB140" i="18"/>
  <c r="AA140" i="18"/>
  <c r="Z140" i="18"/>
  <c r="Y140" i="18"/>
  <c r="X140" i="18"/>
  <c r="W140" i="18"/>
  <c r="V140" i="18"/>
  <c r="AO139" i="18"/>
  <c r="AN139" i="18"/>
  <c r="AM139" i="18"/>
  <c r="AL139" i="18"/>
  <c r="AK139" i="18"/>
  <c r="AJ139" i="18"/>
  <c r="AI139" i="18"/>
  <c r="AH139" i="18"/>
  <c r="AG139" i="18"/>
  <c r="AF139" i="18"/>
  <c r="AE139" i="18"/>
  <c r="AD139" i="18"/>
  <c r="AC139" i="18"/>
  <c r="AB139" i="18"/>
  <c r="AA139" i="18"/>
  <c r="Z139" i="18"/>
  <c r="Y139" i="18"/>
  <c r="X139" i="18"/>
  <c r="W139" i="18"/>
  <c r="V139" i="18"/>
  <c r="AO138" i="18"/>
  <c r="AN138" i="18"/>
  <c r="AM138" i="18"/>
  <c r="AL138" i="18"/>
  <c r="AK138" i="18"/>
  <c r="AJ138" i="18"/>
  <c r="AI138" i="18"/>
  <c r="AH138" i="18"/>
  <c r="AG138" i="18"/>
  <c r="AF138" i="18"/>
  <c r="AE138" i="18"/>
  <c r="AD138" i="18"/>
  <c r="AC138" i="18"/>
  <c r="AB138" i="18"/>
  <c r="AA138" i="18"/>
  <c r="Z138" i="18"/>
  <c r="Y138" i="18"/>
  <c r="X138" i="18"/>
  <c r="W138" i="18"/>
  <c r="V138" i="18"/>
  <c r="AO137" i="18"/>
  <c r="AN137" i="18"/>
  <c r="AM137" i="18"/>
  <c r="AL137" i="18"/>
  <c r="AK137" i="18"/>
  <c r="AJ137" i="18"/>
  <c r="AI137" i="18"/>
  <c r="AH137" i="18"/>
  <c r="AG137" i="18"/>
  <c r="AF137" i="18"/>
  <c r="AE137" i="18"/>
  <c r="AD137" i="18"/>
  <c r="AC137" i="18"/>
  <c r="AB137" i="18"/>
  <c r="AA137" i="18"/>
  <c r="Z137" i="18"/>
  <c r="Y137" i="18"/>
  <c r="X137" i="18"/>
  <c r="W137" i="18"/>
  <c r="V137" i="18"/>
  <c r="AO136" i="18"/>
  <c r="AN136" i="18"/>
  <c r="AM136" i="18"/>
  <c r="AL136" i="18"/>
  <c r="AK136" i="18"/>
  <c r="AJ136" i="18"/>
  <c r="AI136" i="18"/>
  <c r="AH136" i="18"/>
  <c r="AG136" i="18"/>
  <c r="AF136" i="18"/>
  <c r="AE136" i="18"/>
  <c r="AD136" i="18"/>
  <c r="AC136" i="18"/>
  <c r="AB136" i="18"/>
  <c r="AA136" i="18"/>
  <c r="Z136" i="18"/>
  <c r="Y136" i="18"/>
  <c r="X136" i="18"/>
  <c r="W136" i="18"/>
  <c r="V136" i="18"/>
  <c r="AO135" i="18"/>
  <c r="AN135" i="18"/>
  <c r="AM135" i="18"/>
  <c r="AL135" i="18"/>
  <c r="AK135" i="18"/>
  <c r="AJ135" i="18"/>
  <c r="AI135" i="18"/>
  <c r="AH135" i="18"/>
  <c r="AG135" i="18"/>
  <c r="AF135" i="18"/>
  <c r="AE135" i="18"/>
  <c r="AD135" i="18"/>
  <c r="AC135" i="18"/>
  <c r="AB135" i="18"/>
  <c r="AA135" i="18"/>
  <c r="Z135" i="18"/>
  <c r="Y135" i="18"/>
  <c r="X135" i="18"/>
  <c r="W135" i="18"/>
  <c r="V135" i="18"/>
  <c r="AO134" i="18"/>
  <c r="AN134" i="18"/>
  <c r="AM134" i="18"/>
  <c r="AL134" i="18"/>
  <c r="AK134" i="18"/>
  <c r="AJ134" i="18"/>
  <c r="AI134" i="18"/>
  <c r="AH134" i="18"/>
  <c r="AG134" i="18"/>
  <c r="AF134" i="18"/>
  <c r="AE134" i="18"/>
  <c r="AD134" i="18"/>
  <c r="AC134" i="18"/>
  <c r="AB134" i="18"/>
  <c r="AA134" i="18"/>
  <c r="Z134" i="18"/>
  <c r="Y134" i="18"/>
  <c r="X134" i="18"/>
  <c r="W134" i="18"/>
  <c r="V134" i="18"/>
  <c r="AO133" i="18"/>
  <c r="AN133" i="18"/>
  <c r="AM133" i="18"/>
  <c r="AL133" i="18"/>
  <c r="AK133" i="18"/>
  <c r="AJ133" i="18"/>
  <c r="AI133" i="18"/>
  <c r="AH133" i="18"/>
  <c r="AG133" i="18"/>
  <c r="AF133" i="18"/>
  <c r="AE133" i="18"/>
  <c r="AD133" i="18"/>
  <c r="AC133" i="18"/>
  <c r="AB133" i="18"/>
  <c r="AA133" i="18"/>
  <c r="Z133" i="18"/>
  <c r="Y133" i="18"/>
  <c r="X133" i="18"/>
  <c r="W133" i="18"/>
  <c r="V133" i="18"/>
  <c r="AO132" i="18"/>
  <c r="AN132" i="18"/>
  <c r="AM132" i="18"/>
  <c r="AL132" i="18"/>
  <c r="AK132" i="18"/>
  <c r="AJ132" i="18"/>
  <c r="AI132" i="18"/>
  <c r="AH132" i="18"/>
  <c r="AG132" i="18"/>
  <c r="AF132" i="18"/>
  <c r="AE132" i="18"/>
  <c r="AD132" i="18"/>
  <c r="AC132" i="18"/>
  <c r="AB132" i="18"/>
  <c r="AA132" i="18"/>
  <c r="Z132" i="18"/>
  <c r="Y132" i="18"/>
  <c r="X132" i="18"/>
  <c r="W132" i="18"/>
  <c r="V132" i="18"/>
  <c r="AO131" i="18"/>
  <c r="AN131" i="18"/>
  <c r="AM131" i="18"/>
  <c r="AL131" i="18"/>
  <c r="AK131" i="18"/>
  <c r="AJ131" i="18"/>
  <c r="AI131" i="18"/>
  <c r="AH131" i="18"/>
  <c r="AG131" i="18"/>
  <c r="AF131" i="18"/>
  <c r="AE131" i="18"/>
  <c r="AD131" i="18"/>
  <c r="AC131" i="18"/>
  <c r="AB131" i="18"/>
  <c r="AA131" i="18"/>
  <c r="Z131" i="18"/>
  <c r="Y131" i="18"/>
  <c r="X131" i="18"/>
  <c r="W131" i="18"/>
  <c r="V131" i="18"/>
  <c r="AO130" i="18"/>
  <c r="AN130" i="18"/>
  <c r="AM130" i="18"/>
  <c r="AL130" i="18"/>
  <c r="AK130" i="18"/>
  <c r="AJ130" i="18"/>
  <c r="AI130" i="18"/>
  <c r="AH130" i="18"/>
  <c r="AG130" i="18"/>
  <c r="AF130" i="18"/>
  <c r="AE130" i="18"/>
  <c r="AD130" i="18"/>
  <c r="AC130" i="18"/>
  <c r="AB130" i="18"/>
  <c r="AA130" i="18"/>
  <c r="Z130" i="18"/>
  <c r="Y130" i="18"/>
  <c r="X130" i="18"/>
  <c r="W130" i="18"/>
  <c r="V130" i="18"/>
  <c r="AO129" i="18"/>
  <c r="AN129" i="18"/>
  <c r="AM129" i="18"/>
  <c r="AL129" i="18"/>
  <c r="AK129" i="18"/>
  <c r="AJ129" i="18"/>
  <c r="AI129" i="18"/>
  <c r="AH129" i="18"/>
  <c r="AG129" i="18"/>
  <c r="AF129" i="18"/>
  <c r="AE129" i="18"/>
  <c r="AD129" i="18"/>
  <c r="AC129" i="18"/>
  <c r="AB129" i="18"/>
  <c r="AA129" i="18"/>
  <c r="Z129" i="18"/>
  <c r="Y129" i="18"/>
  <c r="X129" i="18"/>
  <c r="W129" i="18"/>
  <c r="V129" i="18"/>
  <c r="AO128" i="18"/>
  <c r="AN128" i="18"/>
  <c r="AM128" i="18"/>
  <c r="AL128" i="18"/>
  <c r="AK128" i="18"/>
  <c r="AJ128" i="18"/>
  <c r="AI128" i="18"/>
  <c r="AH128" i="18"/>
  <c r="AG128" i="18"/>
  <c r="AF128" i="18"/>
  <c r="AE128" i="18"/>
  <c r="AD128" i="18"/>
  <c r="AC128" i="18"/>
  <c r="AB128" i="18"/>
  <c r="AA128" i="18"/>
  <c r="Z128" i="18"/>
  <c r="Y128" i="18"/>
  <c r="X128" i="18"/>
  <c r="W128" i="18"/>
  <c r="V128" i="18"/>
  <c r="AO127" i="18"/>
  <c r="AN127" i="18"/>
  <c r="AM127" i="18"/>
  <c r="AL127" i="18"/>
  <c r="AK127" i="18"/>
  <c r="AJ127" i="18"/>
  <c r="AI127" i="18"/>
  <c r="AH127" i="18"/>
  <c r="AG127" i="18"/>
  <c r="AF127" i="18"/>
  <c r="AE127" i="18"/>
  <c r="AD127" i="18"/>
  <c r="AC127" i="18"/>
  <c r="AB127" i="18"/>
  <c r="AA127" i="18"/>
  <c r="Z127" i="18"/>
  <c r="Y127" i="18"/>
  <c r="X127" i="18"/>
  <c r="W127" i="18"/>
  <c r="V127" i="18"/>
  <c r="AO126" i="18"/>
  <c r="AN126" i="18"/>
  <c r="AM126" i="18"/>
  <c r="AL126" i="18"/>
  <c r="AK126" i="18"/>
  <c r="AJ126" i="18"/>
  <c r="AI126" i="18"/>
  <c r="AH126" i="18"/>
  <c r="AG126" i="18"/>
  <c r="AF126" i="18"/>
  <c r="AE126" i="18"/>
  <c r="AD126" i="18"/>
  <c r="AC126" i="18"/>
  <c r="AB126" i="18"/>
  <c r="AA126" i="18"/>
  <c r="Z126" i="18"/>
  <c r="Y126" i="18"/>
  <c r="X126" i="18"/>
  <c r="W126" i="18"/>
  <c r="V126" i="18"/>
  <c r="AO125" i="18"/>
  <c r="AN125" i="18"/>
  <c r="AM125" i="18"/>
  <c r="AL125" i="18"/>
  <c r="AK125" i="18"/>
  <c r="AJ125" i="18"/>
  <c r="AI125" i="18"/>
  <c r="AH125" i="18"/>
  <c r="AG125" i="18"/>
  <c r="AF125" i="18"/>
  <c r="AE125" i="18"/>
  <c r="AD125" i="18"/>
  <c r="AC125" i="18"/>
  <c r="AB125" i="18"/>
  <c r="AA125" i="18"/>
  <c r="Z125" i="18"/>
  <c r="Y125" i="18"/>
  <c r="X125" i="18"/>
  <c r="W125" i="18"/>
  <c r="V125" i="18"/>
  <c r="AO124" i="18"/>
  <c r="AN124" i="18"/>
  <c r="AM124" i="18"/>
  <c r="AL124" i="18"/>
  <c r="AK124" i="18"/>
  <c r="AJ124" i="18"/>
  <c r="AI124" i="18"/>
  <c r="AH124" i="18"/>
  <c r="AG124" i="18"/>
  <c r="AF124" i="18"/>
  <c r="AE124" i="18"/>
  <c r="AD124" i="18"/>
  <c r="AC124" i="18"/>
  <c r="AB124" i="18"/>
  <c r="AA124" i="18"/>
  <c r="Z124" i="18"/>
  <c r="Y124" i="18"/>
  <c r="X124" i="18"/>
  <c r="W124" i="18"/>
  <c r="V124" i="18"/>
  <c r="AO123" i="18"/>
  <c r="AN123" i="18"/>
  <c r="AM123" i="18"/>
  <c r="AL123" i="18"/>
  <c r="AK123" i="18"/>
  <c r="AJ123" i="18"/>
  <c r="AI123" i="18"/>
  <c r="AH123" i="18"/>
  <c r="AG123" i="18"/>
  <c r="AF123" i="18"/>
  <c r="AE123" i="18"/>
  <c r="AD123" i="18"/>
  <c r="AC123" i="18"/>
  <c r="AB123" i="18"/>
  <c r="AA123" i="18"/>
  <c r="Z123" i="18"/>
  <c r="Y123" i="18"/>
  <c r="X123" i="18"/>
  <c r="W123" i="18"/>
  <c r="V123" i="18"/>
  <c r="AO122" i="18"/>
  <c r="AN122" i="18"/>
  <c r="AM122" i="18"/>
  <c r="AL122" i="18"/>
  <c r="AK122" i="18"/>
  <c r="AJ122" i="18"/>
  <c r="AI122" i="18"/>
  <c r="AH122" i="18"/>
  <c r="AG122" i="18"/>
  <c r="AF122" i="18"/>
  <c r="AE122" i="18"/>
  <c r="AD122" i="18"/>
  <c r="AC122" i="18"/>
  <c r="AB122" i="18"/>
  <c r="AA122" i="18"/>
  <c r="Z122" i="18"/>
  <c r="Y122" i="18"/>
  <c r="X122" i="18"/>
  <c r="W122" i="18"/>
  <c r="V122" i="18"/>
  <c r="AO121" i="18"/>
  <c r="AN121" i="18"/>
  <c r="AM121" i="18"/>
  <c r="AL121" i="18"/>
  <c r="AK121" i="18"/>
  <c r="AJ121" i="18"/>
  <c r="AI121" i="18"/>
  <c r="AH121" i="18"/>
  <c r="AG121" i="18"/>
  <c r="AF121" i="18"/>
  <c r="AE121" i="18"/>
  <c r="AD121" i="18"/>
  <c r="AC121" i="18"/>
  <c r="AB121" i="18"/>
  <c r="AA121" i="18"/>
  <c r="Z121" i="18"/>
  <c r="Y121" i="18"/>
  <c r="X121" i="18"/>
  <c r="W121" i="18"/>
  <c r="V121" i="18"/>
  <c r="AO120" i="18"/>
  <c r="AN120" i="18"/>
  <c r="AM120" i="18"/>
  <c r="AL120" i="18"/>
  <c r="AK120" i="18"/>
  <c r="AJ120" i="18"/>
  <c r="AI120" i="18"/>
  <c r="AH120" i="18"/>
  <c r="AG120" i="18"/>
  <c r="AF120" i="18"/>
  <c r="AE120" i="18"/>
  <c r="AD120" i="18"/>
  <c r="AC120" i="18"/>
  <c r="AB120" i="18"/>
  <c r="AA120" i="18"/>
  <c r="Z120" i="18"/>
  <c r="Y120" i="18"/>
  <c r="X120" i="18"/>
  <c r="W120" i="18"/>
  <c r="V120" i="18"/>
  <c r="AO119" i="18"/>
  <c r="AN119" i="18"/>
  <c r="AM119" i="18"/>
  <c r="AL119" i="18"/>
  <c r="AK119" i="18"/>
  <c r="AJ119" i="18"/>
  <c r="AI119" i="18"/>
  <c r="AH119" i="18"/>
  <c r="AG119" i="18"/>
  <c r="AF119" i="18"/>
  <c r="AE119" i="18"/>
  <c r="AD119" i="18"/>
  <c r="AC119" i="18"/>
  <c r="AB119" i="18"/>
  <c r="AA119" i="18"/>
  <c r="Z119" i="18"/>
  <c r="Y119" i="18"/>
  <c r="X119" i="18"/>
  <c r="W119" i="18"/>
  <c r="V119" i="18"/>
  <c r="AO118" i="18"/>
  <c r="AN118" i="18"/>
  <c r="AM118" i="18"/>
  <c r="AL118" i="18"/>
  <c r="AK118" i="18"/>
  <c r="AJ118" i="18"/>
  <c r="AI118" i="18"/>
  <c r="AH118" i="18"/>
  <c r="AG118" i="18"/>
  <c r="AF118" i="18"/>
  <c r="AE118" i="18"/>
  <c r="AD118" i="18"/>
  <c r="AC118" i="18"/>
  <c r="AB118" i="18"/>
  <c r="AA118" i="18"/>
  <c r="Z118" i="18"/>
  <c r="Y118" i="18"/>
  <c r="X118" i="18"/>
  <c r="W118" i="18"/>
  <c r="V118" i="18"/>
  <c r="AO117" i="18"/>
  <c r="AN117" i="18"/>
  <c r="AM117" i="18"/>
  <c r="AL117" i="18"/>
  <c r="AK117" i="18"/>
  <c r="AJ117" i="18"/>
  <c r="AI117" i="18"/>
  <c r="AH117" i="18"/>
  <c r="AG117" i="18"/>
  <c r="AF117" i="18"/>
  <c r="AE117" i="18"/>
  <c r="AD117" i="18"/>
  <c r="AC117" i="18"/>
  <c r="AB117" i="18"/>
  <c r="AA117" i="18"/>
  <c r="Z117" i="18"/>
  <c r="Y117" i="18"/>
  <c r="X117" i="18"/>
  <c r="W117" i="18"/>
  <c r="V117" i="18"/>
  <c r="AO116" i="18"/>
  <c r="AN116" i="18"/>
  <c r="AM116" i="18"/>
  <c r="AL116" i="18"/>
  <c r="AK116" i="18"/>
  <c r="AJ116" i="18"/>
  <c r="AI116" i="18"/>
  <c r="AH116" i="18"/>
  <c r="AG116" i="18"/>
  <c r="AF116" i="18"/>
  <c r="AE116" i="18"/>
  <c r="AD116" i="18"/>
  <c r="AC116" i="18"/>
  <c r="AB116" i="18"/>
  <c r="AA116" i="18"/>
  <c r="Z116" i="18"/>
  <c r="Y116" i="18"/>
  <c r="X116" i="18"/>
  <c r="W116" i="18"/>
  <c r="V116" i="18"/>
  <c r="AO115" i="18"/>
  <c r="AN115" i="18"/>
  <c r="AM115" i="18"/>
  <c r="AL115" i="18"/>
  <c r="AK115" i="18"/>
  <c r="AJ115" i="18"/>
  <c r="AI115" i="18"/>
  <c r="AH115" i="18"/>
  <c r="AG115" i="18"/>
  <c r="AF115" i="18"/>
  <c r="AE115" i="18"/>
  <c r="AD115" i="18"/>
  <c r="AC115" i="18"/>
  <c r="AB115" i="18"/>
  <c r="AA115" i="18"/>
  <c r="Z115" i="18"/>
  <c r="Y115" i="18"/>
  <c r="X115" i="18"/>
  <c r="W115" i="18"/>
  <c r="V115" i="18"/>
  <c r="AO114" i="18"/>
  <c r="AN114" i="18"/>
  <c r="AM114" i="18"/>
  <c r="AL114" i="18"/>
  <c r="AK114" i="18"/>
  <c r="AJ114" i="18"/>
  <c r="AI114" i="18"/>
  <c r="AH114" i="18"/>
  <c r="AG114" i="18"/>
  <c r="AF114" i="18"/>
  <c r="AE114" i="18"/>
  <c r="AD114" i="18"/>
  <c r="AC114" i="18"/>
  <c r="AB114" i="18"/>
  <c r="AA114" i="18"/>
  <c r="Z114" i="18"/>
  <c r="Y114" i="18"/>
  <c r="X114" i="18"/>
  <c r="W114" i="18"/>
  <c r="V114" i="18"/>
  <c r="AO113" i="18"/>
  <c r="AN113" i="18"/>
  <c r="AM113" i="18"/>
  <c r="AL113" i="18"/>
  <c r="AK113" i="18"/>
  <c r="AJ113" i="18"/>
  <c r="AI113" i="18"/>
  <c r="AH113" i="18"/>
  <c r="AG113" i="18"/>
  <c r="AF113" i="18"/>
  <c r="AE113" i="18"/>
  <c r="AD113" i="18"/>
  <c r="AC113" i="18"/>
  <c r="AB113" i="18"/>
  <c r="AA113" i="18"/>
  <c r="Z113" i="18"/>
  <c r="Y113" i="18"/>
  <c r="X113" i="18"/>
  <c r="W113" i="18"/>
  <c r="V113" i="18"/>
  <c r="AO112" i="18"/>
  <c r="AN112" i="18"/>
  <c r="AM112" i="18"/>
  <c r="AL112" i="18"/>
  <c r="AK112" i="18"/>
  <c r="AJ112" i="18"/>
  <c r="AI112" i="18"/>
  <c r="AH112" i="18"/>
  <c r="AG112" i="18"/>
  <c r="AF112" i="18"/>
  <c r="AE112" i="18"/>
  <c r="AD112" i="18"/>
  <c r="AC112" i="18"/>
  <c r="AB112" i="18"/>
  <c r="AA112" i="18"/>
  <c r="Z112" i="18"/>
  <c r="Y112" i="18"/>
  <c r="X112" i="18"/>
  <c r="W112" i="18"/>
  <c r="V112" i="18"/>
  <c r="AO111" i="18"/>
  <c r="AN111" i="18"/>
  <c r="AM111" i="18"/>
  <c r="AL111" i="18"/>
  <c r="AK111" i="18"/>
  <c r="AJ111" i="18"/>
  <c r="AI111" i="18"/>
  <c r="AH111" i="18"/>
  <c r="AG111" i="18"/>
  <c r="AF111" i="18"/>
  <c r="AE111" i="18"/>
  <c r="AD111" i="18"/>
  <c r="AC111" i="18"/>
  <c r="AB111" i="18"/>
  <c r="AA111" i="18"/>
  <c r="Z111" i="18"/>
  <c r="Y111" i="18"/>
  <c r="X111" i="18"/>
  <c r="W111" i="18"/>
  <c r="V111" i="18"/>
  <c r="AO110" i="18"/>
  <c r="AN110" i="18"/>
  <c r="AM110" i="18"/>
  <c r="AL110" i="18"/>
  <c r="AK110" i="18"/>
  <c r="AJ110" i="18"/>
  <c r="AI110" i="18"/>
  <c r="AH110" i="18"/>
  <c r="AG110" i="18"/>
  <c r="AF110" i="18"/>
  <c r="AE110" i="18"/>
  <c r="AD110" i="18"/>
  <c r="AC110" i="18"/>
  <c r="AB110" i="18"/>
  <c r="AA110" i="18"/>
  <c r="Z110" i="18"/>
  <c r="Y110" i="18"/>
  <c r="X110" i="18"/>
  <c r="W110" i="18"/>
  <c r="V110" i="18"/>
  <c r="AO109" i="18"/>
  <c r="AN109" i="18"/>
  <c r="AM109" i="18"/>
  <c r="AL109" i="18"/>
  <c r="AK109" i="18"/>
  <c r="AJ109" i="18"/>
  <c r="AI109" i="18"/>
  <c r="AH109" i="18"/>
  <c r="AG109" i="18"/>
  <c r="AF109" i="18"/>
  <c r="AE109" i="18"/>
  <c r="AD109" i="18"/>
  <c r="AC109" i="18"/>
  <c r="AB109" i="18"/>
  <c r="AA109" i="18"/>
  <c r="Z109" i="18"/>
  <c r="Y109" i="18"/>
  <c r="X109" i="18"/>
  <c r="W109" i="18"/>
  <c r="V109" i="18"/>
  <c r="AO108" i="18"/>
  <c r="AN108" i="18"/>
  <c r="AM108" i="18"/>
  <c r="AL108" i="18"/>
  <c r="AK108" i="18"/>
  <c r="AJ108" i="18"/>
  <c r="AI108" i="18"/>
  <c r="AH108" i="18"/>
  <c r="AG108" i="18"/>
  <c r="AF108" i="18"/>
  <c r="AE108" i="18"/>
  <c r="AD108" i="18"/>
  <c r="AC108" i="18"/>
  <c r="AB108" i="18"/>
  <c r="AA108" i="18"/>
  <c r="Z108" i="18"/>
  <c r="Y108" i="18"/>
  <c r="X108" i="18"/>
  <c r="W108" i="18"/>
  <c r="V108" i="18"/>
  <c r="AO107" i="18"/>
  <c r="AN107" i="18"/>
  <c r="AM107" i="18"/>
  <c r="AL107" i="18"/>
  <c r="AK107" i="18"/>
  <c r="AJ107" i="18"/>
  <c r="AI107" i="18"/>
  <c r="AH107" i="18"/>
  <c r="AG107" i="18"/>
  <c r="AF107" i="18"/>
  <c r="AE107" i="18"/>
  <c r="AD107" i="18"/>
  <c r="AC107" i="18"/>
  <c r="AB107" i="18"/>
  <c r="AA107" i="18"/>
  <c r="Z107" i="18"/>
  <c r="Y107" i="18"/>
  <c r="X107" i="18"/>
  <c r="W107" i="18"/>
  <c r="V107" i="18"/>
  <c r="AO106" i="18"/>
  <c r="AN106" i="18"/>
  <c r="AM106" i="18"/>
  <c r="AL106" i="18"/>
  <c r="AK106" i="18"/>
  <c r="AJ106" i="18"/>
  <c r="AI106" i="18"/>
  <c r="AH106" i="18"/>
  <c r="AG106" i="18"/>
  <c r="AF106" i="18"/>
  <c r="AE106" i="18"/>
  <c r="AD106" i="18"/>
  <c r="AC106" i="18"/>
  <c r="AB106" i="18"/>
  <c r="AA106" i="18"/>
  <c r="Z106" i="18"/>
  <c r="Y106" i="18"/>
  <c r="X106" i="18"/>
  <c r="W106" i="18"/>
  <c r="V106" i="18"/>
  <c r="AO105" i="18"/>
  <c r="AN105" i="18"/>
  <c r="AM105" i="18"/>
  <c r="AL105" i="18"/>
  <c r="AK105" i="18"/>
  <c r="AJ105" i="18"/>
  <c r="AI105" i="18"/>
  <c r="AH105" i="18"/>
  <c r="AG105" i="18"/>
  <c r="AF105" i="18"/>
  <c r="AE105" i="18"/>
  <c r="AD105" i="18"/>
  <c r="AC105" i="18"/>
  <c r="AB105" i="18"/>
  <c r="AA105" i="18"/>
  <c r="Z105" i="18"/>
  <c r="Y105" i="18"/>
  <c r="X105" i="18"/>
  <c r="W105" i="18"/>
  <c r="V105" i="18"/>
  <c r="AO104" i="18"/>
  <c r="AN104" i="18"/>
  <c r="AM104" i="18"/>
  <c r="AL104" i="18"/>
  <c r="AK104" i="18"/>
  <c r="AJ104" i="18"/>
  <c r="AI104" i="18"/>
  <c r="AH104" i="18"/>
  <c r="AG104" i="18"/>
  <c r="AF104" i="18"/>
  <c r="AE104" i="18"/>
  <c r="AD104" i="18"/>
  <c r="AC104" i="18"/>
  <c r="AB104" i="18"/>
  <c r="AA104" i="18"/>
  <c r="Z104" i="18"/>
  <c r="Y104" i="18"/>
  <c r="X104" i="18"/>
  <c r="W104" i="18"/>
  <c r="V104" i="18"/>
  <c r="AO103" i="18"/>
  <c r="AN103" i="18"/>
  <c r="AM103" i="18"/>
  <c r="AL103" i="18"/>
  <c r="AK103" i="18"/>
  <c r="AJ103" i="18"/>
  <c r="AI103" i="18"/>
  <c r="AH103" i="18"/>
  <c r="AG103" i="18"/>
  <c r="AF103" i="18"/>
  <c r="AE103" i="18"/>
  <c r="AD103" i="18"/>
  <c r="AC103" i="18"/>
  <c r="AB103" i="18"/>
  <c r="AA103" i="18"/>
  <c r="Z103" i="18"/>
  <c r="Y103" i="18"/>
  <c r="X103" i="18"/>
  <c r="W103" i="18"/>
  <c r="V103" i="18"/>
  <c r="AO102" i="18"/>
  <c r="AN102" i="18"/>
  <c r="AM102" i="18"/>
  <c r="AL102" i="18"/>
  <c r="AK102" i="18"/>
  <c r="AJ102" i="18"/>
  <c r="AI102" i="18"/>
  <c r="AH102" i="18"/>
  <c r="AG102" i="18"/>
  <c r="AF102" i="18"/>
  <c r="AE102" i="18"/>
  <c r="AD102" i="18"/>
  <c r="AC102" i="18"/>
  <c r="AB102" i="18"/>
  <c r="AA102" i="18"/>
  <c r="Z102" i="18"/>
  <c r="Y102" i="18"/>
  <c r="X102" i="18"/>
  <c r="W102" i="18"/>
  <c r="V102" i="18"/>
  <c r="AO101" i="18"/>
  <c r="AN101" i="18"/>
  <c r="AM101" i="18"/>
  <c r="AL101" i="18"/>
  <c r="AK101" i="18"/>
  <c r="AJ101" i="18"/>
  <c r="AI101" i="18"/>
  <c r="AH101" i="18"/>
  <c r="AG101" i="18"/>
  <c r="AF101" i="18"/>
  <c r="AE101" i="18"/>
  <c r="AD101" i="18"/>
  <c r="AC101" i="18"/>
  <c r="AB101" i="18"/>
  <c r="AA101" i="18"/>
  <c r="Z101" i="18"/>
  <c r="Y101" i="18"/>
  <c r="X101" i="18"/>
  <c r="W101" i="18"/>
  <c r="V101" i="18"/>
  <c r="AO100" i="18"/>
  <c r="AN100" i="18"/>
  <c r="AM100" i="18"/>
  <c r="AL100" i="18"/>
  <c r="AK100" i="18"/>
  <c r="AJ100" i="18"/>
  <c r="AI100" i="18"/>
  <c r="AH100" i="18"/>
  <c r="AG100" i="18"/>
  <c r="AF100" i="18"/>
  <c r="AE100" i="18"/>
  <c r="AD100" i="18"/>
  <c r="AC100" i="18"/>
  <c r="AB100" i="18"/>
  <c r="AA100" i="18"/>
  <c r="Z100" i="18"/>
  <c r="Y100" i="18"/>
  <c r="X100" i="18"/>
  <c r="W100" i="18"/>
  <c r="V100" i="18"/>
  <c r="AC95" i="18"/>
  <c r="W95" i="18"/>
  <c r="X94" i="18"/>
  <c r="V94" i="18"/>
  <c r="AC93" i="18"/>
  <c r="AB93" i="18"/>
  <c r="V93" i="18"/>
  <c r="AD92" i="18"/>
  <c r="W92" i="18"/>
  <c r="AD90" i="18"/>
  <c r="AC90" i="18"/>
  <c r="AB90" i="18"/>
  <c r="AA90" i="18"/>
  <c r="W90" i="18"/>
  <c r="V90" i="18"/>
  <c r="AA89" i="18"/>
  <c r="AB88" i="18"/>
  <c r="AA88" i="18"/>
  <c r="Z88" i="18"/>
  <c r="X88" i="18"/>
  <c r="AC87" i="18"/>
  <c r="V87" i="18"/>
  <c r="Z82" i="18"/>
  <c r="Y82" i="18"/>
  <c r="X82" i="18"/>
  <c r="W82" i="18"/>
  <c r="V82" i="18"/>
  <c r="Z81" i="18"/>
  <c r="Y81" i="18"/>
  <c r="X81" i="18"/>
  <c r="W81" i="18"/>
  <c r="V81" i="18"/>
  <c r="Z80" i="18"/>
  <c r="Y80" i="18"/>
  <c r="X80" i="18"/>
  <c r="W80" i="18"/>
  <c r="V80" i="18"/>
  <c r="Z79" i="18"/>
  <c r="Y79" i="18"/>
  <c r="X79" i="18"/>
  <c r="W79" i="18"/>
  <c r="V79" i="18"/>
  <c r="Z78" i="18"/>
  <c r="Y78" i="18"/>
  <c r="X78" i="18"/>
  <c r="W78" i="18"/>
  <c r="V78" i="18"/>
  <c r="Z77" i="18"/>
  <c r="Y77" i="18"/>
  <c r="X77" i="18"/>
  <c r="W77" i="18"/>
  <c r="V77" i="18"/>
  <c r="Z76" i="18"/>
  <c r="Y76" i="18"/>
  <c r="X76" i="18"/>
  <c r="W76" i="18"/>
  <c r="V76" i="18"/>
  <c r="Z75" i="18"/>
  <c r="Y75" i="18"/>
  <c r="X75" i="18"/>
  <c r="W75" i="18"/>
  <c r="V75" i="18"/>
  <c r="Z74" i="18"/>
  <c r="Y74" i="18"/>
  <c r="X74" i="18"/>
  <c r="W74" i="18"/>
  <c r="V74" i="18"/>
  <c r="Z73" i="18"/>
  <c r="Y73" i="18"/>
  <c r="X73" i="18"/>
  <c r="W73" i="18"/>
  <c r="V73" i="18"/>
  <c r="AA68" i="18"/>
  <c r="Z68" i="18"/>
  <c r="Y68" i="18"/>
  <c r="X68" i="18"/>
  <c r="W68" i="18"/>
  <c r="V68" i="18"/>
  <c r="AA67" i="18"/>
  <c r="Z67" i="18"/>
  <c r="Y67" i="18"/>
  <c r="X67" i="18"/>
  <c r="W67" i="18"/>
  <c r="V67" i="18"/>
  <c r="Z66" i="18"/>
  <c r="Y66" i="18"/>
  <c r="X66" i="18"/>
  <c r="W66" i="18"/>
  <c r="V66" i="18"/>
  <c r="AA65" i="18"/>
  <c r="Z65" i="18"/>
  <c r="Y65" i="18"/>
  <c r="X65" i="18"/>
  <c r="W65" i="18"/>
  <c r="V65" i="18"/>
  <c r="AA64" i="18"/>
  <c r="Z64" i="18"/>
  <c r="Y64" i="18"/>
  <c r="X64" i="18"/>
  <c r="W64" i="18"/>
  <c r="V64" i="18"/>
  <c r="AA63" i="18"/>
  <c r="Z63" i="18"/>
  <c r="Y63" i="18"/>
  <c r="X63" i="18"/>
  <c r="W63" i="18"/>
  <c r="V63" i="18"/>
  <c r="AA62" i="18"/>
  <c r="Z62" i="18"/>
  <c r="Y62" i="18"/>
  <c r="X62" i="18"/>
  <c r="W62" i="18"/>
  <c r="V62" i="18"/>
  <c r="AA61" i="18"/>
  <c r="Z61" i="18"/>
  <c r="Y61" i="18"/>
  <c r="X61" i="18"/>
  <c r="W61" i="18"/>
  <c r="V61" i="18"/>
  <c r="AA60" i="18"/>
  <c r="Z60" i="18"/>
  <c r="Y60" i="18"/>
  <c r="X60" i="18"/>
  <c r="W60" i="18"/>
  <c r="V60" i="18"/>
  <c r="AA59" i="18"/>
  <c r="Z59" i="18"/>
  <c r="Y59" i="18"/>
  <c r="X59" i="18"/>
  <c r="W59" i="18"/>
  <c r="V59" i="18"/>
  <c r="AQ58" i="18"/>
  <c r="AA58" i="18"/>
  <c r="Z58" i="18"/>
  <c r="Y58" i="18"/>
  <c r="X58" i="18"/>
  <c r="W58" i="18"/>
  <c r="V58" i="18"/>
  <c r="AA57" i="18"/>
  <c r="Z57" i="18"/>
  <c r="Y57" i="18"/>
  <c r="X57" i="18"/>
  <c r="W57" i="18"/>
  <c r="V57" i="18"/>
  <c r="B57" i="18"/>
  <c r="AA56" i="18"/>
  <c r="Z56" i="18"/>
  <c r="Y56" i="18"/>
  <c r="X56" i="18"/>
  <c r="W56" i="18"/>
  <c r="V56" i="18"/>
  <c r="B55" i="18"/>
  <c r="B48" i="18"/>
  <c r="AQ35" i="18" s="1"/>
  <c r="AP44" i="18"/>
  <c r="B59" i="18" s="1"/>
  <c r="AP43" i="18"/>
  <c r="B58" i="18" s="1"/>
  <c r="AP42" i="18"/>
  <c r="X42" i="18"/>
  <c r="AP41" i="18"/>
  <c r="B56" i="18" s="1"/>
  <c r="X41" i="18"/>
  <c r="AP40" i="18"/>
  <c r="X40" i="18"/>
  <c r="E40" i="18"/>
  <c r="D40" i="18"/>
  <c r="B40" i="18"/>
  <c r="X39" i="18"/>
  <c r="X38" i="18"/>
  <c r="X37" i="18"/>
  <c r="X36" i="18"/>
  <c r="X35" i="18"/>
  <c r="Q35" i="18"/>
  <c r="P35" i="18"/>
  <c r="E18" i="18" s="1"/>
  <c r="B35" i="18"/>
  <c r="X34" i="18"/>
  <c r="J34" i="18"/>
  <c r="D35" i="18" s="1"/>
  <c r="X33" i="18"/>
  <c r="X32" i="18"/>
  <c r="AG31" i="18"/>
  <c r="X31" i="18"/>
  <c r="X30" i="18"/>
  <c r="X29" i="18"/>
  <c r="B29" i="18"/>
  <c r="X28" i="18"/>
  <c r="AQ27" i="18"/>
  <c r="B27" i="18"/>
  <c r="P25" i="18"/>
  <c r="P24" i="18" s="1"/>
  <c r="G24" i="18"/>
  <c r="E24" i="18"/>
  <c r="C24" i="18"/>
  <c r="AB23" i="18"/>
  <c r="AA23" i="18"/>
  <c r="Z23" i="18"/>
  <c r="AC23" i="18" s="1"/>
  <c r="Y23" i="18"/>
  <c r="I23" i="18"/>
  <c r="G23" i="18"/>
  <c r="E23" i="18"/>
  <c r="C23" i="18"/>
  <c r="AB22" i="18"/>
  <c r="AA22" i="18"/>
  <c r="Z22" i="18"/>
  <c r="AC22" i="18" s="1"/>
  <c r="AD22" i="18" s="1"/>
  <c r="AB39" i="18" s="1"/>
  <c r="Y22" i="18"/>
  <c r="I22" i="18"/>
  <c r="G22" i="18"/>
  <c r="E22" i="18"/>
  <c r="C22" i="18"/>
  <c r="I21" i="18"/>
  <c r="G21" i="18"/>
  <c r="E21" i="18"/>
  <c r="C21" i="18"/>
  <c r="AQ20" i="18"/>
  <c r="AI20" i="18"/>
  <c r="I20" i="18"/>
  <c r="AQ19" i="18"/>
  <c r="AI19" i="18"/>
  <c r="AQ18" i="18"/>
  <c r="B47" i="18" s="1"/>
  <c r="AQ34" i="18" s="1"/>
  <c r="AJ18" i="18"/>
  <c r="AI18" i="18"/>
  <c r="I18" i="18"/>
  <c r="AI17" i="18"/>
  <c r="AI16" i="18"/>
  <c r="AJ15" i="18"/>
  <c r="AI15" i="18"/>
  <c r="AQ14" i="18"/>
  <c r="B46" i="18" s="1"/>
  <c r="AQ33" i="18" s="1"/>
  <c r="AI14" i="18"/>
  <c r="I14" i="18"/>
  <c r="AQ13" i="18"/>
  <c r="AI13" i="18"/>
  <c r="AQ12" i="18"/>
  <c r="B44" i="18" s="1"/>
  <c r="AQ31" i="18" s="1"/>
  <c r="AJ12" i="18"/>
  <c r="AI12" i="18"/>
  <c r="AI11" i="18"/>
  <c r="AC11" i="18"/>
  <c r="AB11" i="18"/>
  <c r="AA11" i="18"/>
  <c r="Z11" i="18"/>
  <c r="Y11" i="18"/>
  <c r="AI10" i="18"/>
  <c r="AB10" i="18"/>
  <c r="AA10" i="18"/>
  <c r="Z10" i="18"/>
  <c r="AC10" i="18" s="1"/>
  <c r="Y10" i="18"/>
  <c r="AJ9" i="18"/>
  <c r="AI9" i="18"/>
  <c r="AB9" i="18"/>
  <c r="AA9" i="18"/>
  <c r="Z9" i="18"/>
  <c r="AC9" i="18" s="1"/>
  <c r="Y9" i="18"/>
  <c r="AQ8" i="18"/>
  <c r="B43" i="18" s="1"/>
  <c r="AQ30" i="18" s="1"/>
  <c r="AB8" i="18"/>
  <c r="AA8" i="18"/>
  <c r="Z8" i="18"/>
  <c r="AC8" i="18" s="1"/>
  <c r="AD8" i="18" s="1"/>
  <c r="AB36" i="18" s="1"/>
  <c r="Y8" i="18"/>
  <c r="AQ7" i="18"/>
  <c r="B42" i="18" s="1"/>
  <c r="AQ29" i="18" s="1"/>
  <c r="AQ6" i="18"/>
  <c r="B41" i="18" s="1"/>
  <c r="AQ28" i="18" s="1"/>
  <c r="AO179" i="17"/>
  <c r="AN179" i="17"/>
  <c r="AM179" i="17"/>
  <c r="AL179" i="17"/>
  <c r="AK179" i="17"/>
  <c r="AJ179" i="17"/>
  <c r="AI179" i="17"/>
  <c r="AH179" i="17"/>
  <c r="AG179" i="17"/>
  <c r="AF179" i="17"/>
  <c r="AE179" i="17"/>
  <c r="AD179" i="17"/>
  <c r="AC179" i="17"/>
  <c r="AB179" i="17"/>
  <c r="AA179" i="17"/>
  <c r="Z179" i="17"/>
  <c r="Y179" i="17"/>
  <c r="X179" i="17"/>
  <c r="W179" i="17"/>
  <c r="V179" i="17"/>
  <c r="AO178" i="17"/>
  <c r="AN178" i="17"/>
  <c r="AM178" i="17"/>
  <c r="AL178" i="17"/>
  <c r="AK178" i="17"/>
  <c r="AJ178" i="17"/>
  <c r="AI178" i="17"/>
  <c r="AH178" i="17"/>
  <c r="AG178" i="17"/>
  <c r="AF178" i="17"/>
  <c r="AE178" i="17"/>
  <c r="AD178" i="17"/>
  <c r="AC178" i="17"/>
  <c r="AB178" i="17"/>
  <c r="AA178" i="17"/>
  <c r="Z178" i="17"/>
  <c r="Y178" i="17"/>
  <c r="X178" i="17"/>
  <c r="W178" i="17"/>
  <c r="V178" i="17"/>
  <c r="AO177" i="17"/>
  <c r="AN177" i="17"/>
  <c r="AM177" i="17"/>
  <c r="AL177" i="17"/>
  <c r="AK177" i="17"/>
  <c r="AJ177" i="17"/>
  <c r="AI177" i="17"/>
  <c r="AH177" i="17"/>
  <c r="AG177" i="17"/>
  <c r="AF177" i="17"/>
  <c r="AE177" i="17"/>
  <c r="AD177" i="17"/>
  <c r="AC177" i="17"/>
  <c r="AB177" i="17"/>
  <c r="AA177" i="17"/>
  <c r="Z177" i="17"/>
  <c r="Y177" i="17"/>
  <c r="X177" i="17"/>
  <c r="W177" i="17"/>
  <c r="V177" i="17"/>
  <c r="AO176" i="17"/>
  <c r="AN176" i="17"/>
  <c r="AM176" i="17"/>
  <c r="AL176" i="17"/>
  <c r="AK176" i="17"/>
  <c r="AJ176" i="17"/>
  <c r="AI176" i="17"/>
  <c r="AH176" i="17"/>
  <c r="AG176" i="17"/>
  <c r="AF176" i="17"/>
  <c r="AE176" i="17"/>
  <c r="AD176" i="17"/>
  <c r="AC176" i="17"/>
  <c r="AB176" i="17"/>
  <c r="AA176" i="17"/>
  <c r="Z176" i="17"/>
  <c r="Y176" i="17"/>
  <c r="X176" i="17"/>
  <c r="W176" i="17"/>
  <c r="V176" i="17"/>
  <c r="AO175" i="17"/>
  <c r="AN175" i="17"/>
  <c r="AM175" i="17"/>
  <c r="AL175" i="17"/>
  <c r="AK175" i="17"/>
  <c r="AJ175" i="17"/>
  <c r="AI175" i="17"/>
  <c r="AH175" i="17"/>
  <c r="AG175" i="17"/>
  <c r="AF175" i="17"/>
  <c r="AE175" i="17"/>
  <c r="AD175" i="17"/>
  <c r="AC175" i="17"/>
  <c r="AB175" i="17"/>
  <c r="AA175" i="17"/>
  <c r="Z175" i="17"/>
  <c r="Y175" i="17"/>
  <c r="X175" i="17"/>
  <c r="W175" i="17"/>
  <c r="V175" i="17"/>
  <c r="AO174" i="17"/>
  <c r="AN174" i="17"/>
  <c r="AM174" i="17"/>
  <c r="AL174" i="17"/>
  <c r="AK174" i="17"/>
  <c r="AJ174" i="17"/>
  <c r="AI174" i="17"/>
  <c r="AH174" i="17"/>
  <c r="AG174" i="17"/>
  <c r="AF174" i="17"/>
  <c r="AE174" i="17"/>
  <c r="AD174" i="17"/>
  <c r="AC174" i="17"/>
  <c r="AB174" i="17"/>
  <c r="AA174" i="17"/>
  <c r="Z174" i="17"/>
  <c r="Y174" i="17"/>
  <c r="X174" i="17"/>
  <c r="W174" i="17"/>
  <c r="V174" i="17"/>
  <c r="AO173" i="17"/>
  <c r="AN173" i="17"/>
  <c r="AM173" i="17"/>
  <c r="AL173" i="17"/>
  <c r="AK173" i="17"/>
  <c r="AJ173" i="17"/>
  <c r="AI173" i="17"/>
  <c r="AH173" i="17"/>
  <c r="AG173" i="17"/>
  <c r="AF173" i="17"/>
  <c r="AE173" i="17"/>
  <c r="AD173" i="17"/>
  <c r="AC173" i="17"/>
  <c r="AB173" i="17"/>
  <c r="AA173" i="17"/>
  <c r="Z173" i="17"/>
  <c r="Y173" i="17"/>
  <c r="X173" i="17"/>
  <c r="W173" i="17"/>
  <c r="V173" i="17"/>
  <c r="AO172" i="17"/>
  <c r="AN172" i="17"/>
  <c r="AM172" i="17"/>
  <c r="AL172" i="17"/>
  <c r="AK172" i="17"/>
  <c r="AJ172" i="17"/>
  <c r="AI172" i="17"/>
  <c r="AH172" i="17"/>
  <c r="AG172" i="17"/>
  <c r="AF172" i="17"/>
  <c r="AE172" i="17"/>
  <c r="AD172" i="17"/>
  <c r="AC172" i="17"/>
  <c r="AB172" i="17"/>
  <c r="AA172" i="17"/>
  <c r="Z172" i="17"/>
  <c r="Y172" i="17"/>
  <c r="X172" i="17"/>
  <c r="W172" i="17"/>
  <c r="V172" i="17"/>
  <c r="AO171" i="17"/>
  <c r="AN171" i="17"/>
  <c r="AM171" i="17"/>
  <c r="AL171" i="17"/>
  <c r="AK171" i="17"/>
  <c r="AJ171" i="17"/>
  <c r="AI171" i="17"/>
  <c r="AH171" i="17"/>
  <c r="AG171" i="17"/>
  <c r="AF171" i="17"/>
  <c r="AE171" i="17"/>
  <c r="AD171" i="17"/>
  <c r="AC171" i="17"/>
  <c r="AB171" i="17"/>
  <c r="AA171" i="17"/>
  <c r="Z171" i="17"/>
  <c r="Y171" i="17"/>
  <c r="X171" i="17"/>
  <c r="W171" i="17"/>
  <c r="V171" i="17"/>
  <c r="AO170" i="17"/>
  <c r="AN170" i="17"/>
  <c r="AM170" i="17"/>
  <c r="AL170" i="17"/>
  <c r="AK170" i="17"/>
  <c r="AJ170" i="17"/>
  <c r="AI170" i="17"/>
  <c r="AH170" i="17"/>
  <c r="AG170" i="17"/>
  <c r="AF170" i="17"/>
  <c r="AE170" i="17"/>
  <c r="AD170" i="17"/>
  <c r="AC170" i="17"/>
  <c r="AB170" i="17"/>
  <c r="AA170" i="17"/>
  <c r="Z170" i="17"/>
  <c r="Y170" i="17"/>
  <c r="X170" i="17"/>
  <c r="W170" i="17"/>
  <c r="V170" i="17"/>
  <c r="AO169" i="17"/>
  <c r="AN169" i="17"/>
  <c r="AM169" i="17"/>
  <c r="AL169" i="17"/>
  <c r="AK169" i="17"/>
  <c r="AJ169" i="17"/>
  <c r="AI169" i="17"/>
  <c r="AH169" i="17"/>
  <c r="AG169" i="17"/>
  <c r="AF169" i="17"/>
  <c r="AE169" i="17"/>
  <c r="AD169" i="17"/>
  <c r="AC169" i="17"/>
  <c r="AB169" i="17"/>
  <c r="AA169" i="17"/>
  <c r="Z169" i="17"/>
  <c r="Y169" i="17"/>
  <c r="X169" i="17"/>
  <c r="W169" i="17"/>
  <c r="V169" i="17"/>
  <c r="AO168" i="17"/>
  <c r="AN168" i="17"/>
  <c r="AM168" i="17"/>
  <c r="AL168" i="17"/>
  <c r="X95" i="17" s="1"/>
  <c r="AK168" i="17"/>
  <c r="AJ168" i="17"/>
  <c r="AI168" i="17"/>
  <c r="AH168" i="17"/>
  <c r="AG168" i="17"/>
  <c r="AF168" i="17"/>
  <c r="AE168" i="17"/>
  <c r="AD168" i="17"/>
  <c r="AD95" i="17" s="1"/>
  <c r="AC168" i="17"/>
  <c r="AC95" i="17" s="1"/>
  <c r="AB168" i="17"/>
  <c r="AB95" i="17" s="1"/>
  <c r="AA168" i="17"/>
  <c r="AA95" i="17" s="1"/>
  <c r="Z168" i="17"/>
  <c r="Z95" i="17" s="1"/>
  <c r="Y168" i="17"/>
  <c r="Y95" i="17" s="1"/>
  <c r="X168" i="17"/>
  <c r="W168" i="17"/>
  <c r="W95" i="17" s="1"/>
  <c r="V168" i="17"/>
  <c r="V95" i="17" s="1"/>
  <c r="AO167" i="17"/>
  <c r="AN167" i="17"/>
  <c r="AM167" i="17"/>
  <c r="AL167" i="17"/>
  <c r="X94" i="17" s="1"/>
  <c r="AK167" i="17"/>
  <c r="AJ167" i="17"/>
  <c r="AI167" i="17"/>
  <c r="AH167" i="17"/>
  <c r="AG167" i="17"/>
  <c r="AF167" i="17"/>
  <c r="AE167" i="17"/>
  <c r="AD167" i="17"/>
  <c r="AD94" i="17" s="1"/>
  <c r="AC167" i="17"/>
  <c r="AB167" i="17"/>
  <c r="AB94" i="17" s="1"/>
  <c r="AA167" i="17"/>
  <c r="Z167" i="17"/>
  <c r="Z94" i="17" s="1"/>
  <c r="Y167" i="17"/>
  <c r="X167" i="17"/>
  <c r="W167" i="17"/>
  <c r="W94" i="17" s="1"/>
  <c r="V167" i="17"/>
  <c r="V94" i="17" s="1"/>
  <c r="AO166" i="17"/>
  <c r="AN166" i="17"/>
  <c r="AM166" i="17"/>
  <c r="AL166" i="17"/>
  <c r="X93" i="17" s="1"/>
  <c r="AK166" i="17"/>
  <c r="AJ166" i="17"/>
  <c r="AI166" i="17"/>
  <c r="AH166" i="17"/>
  <c r="AG166" i="17"/>
  <c r="AF166" i="17"/>
  <c r="AE166" i="17"/>
  <c r="AD166" i="17"/>
  <c r="AD93" i="17" s="1"/>
  <c r="AC166" i="17"/>
  <c r="AB166" i="17"/>
  <c r="AB93" i="17" s="1"/>
  <c r="AA166" i="17"/>
  <c r="AA93" i="17" s="1"/>
  <c r="Z166" i="17"/>
  <c r="Z93" i="17" s="1"/>
  <c r="Y166" i="17"/>
  <c r="Y93" i="17" s="1"/>
  <c r="X166" i="17"/>
  <c r="W166" i="17"/>
  <c r="W93" i="17" s="1"/>
  <c r="V166" i="17"/>
  <c r="V93" i="17" s="1"/>
  <c r="AO165" i="17"/>
  <c r="AN165" i="17"/>
  <c r="AM165" i="17"/>
  <c r="AL165" i="17"/>
  <c r="X92" i="17" s="1"/>
  <c r="AK165" i="17"/>
  <c r="AJ165" i="17"/>
  <c r="AI165" i="17"/>
  <c r="AH165" i="17"/>
  <c r="AG165" i="17"/>
  <c r="AF165" i="17"/>
  <c r="AE165" i="17"/>
  <c r="AD165" i="17"/>
  <c r="AD92" i="17" s="1"/>
  <c r="AC165" i="17"/>
  <c r="AC92" i="17" s="1"/>
  <c r="AB165" i="17"/>
  <c r="AB92" i="17" s="1"/>
  <c r="AA165" i="17"/>
  <c r="AA92" i="17" s="1"/>
  <c r="Z165" i="17"/>
  <c r="Z92" i="17" s="1"/>
  <c r="Y165" i="17"/>
  <c r="Y92" i="17" s="1"/>
  <c r="X165" i="17"/>
  <c r="W165" i="17"/>
  <c r="W92" i="17" s="1"/>
  <c r="V165" i="17"/>
  <c r="V92" i="17" s="1"/>
  <c r="AO164" i="17"/>
  <c r="AN164" i="17"/>
  <c r="AM164" i="17"/>
  <c r="AL164" i="17"/>
  <c r="X91" i="17" s="1"/>
  <c r="AK164" i="17"/>
  <c r="AJ164" i="17"/>
  <c r="AI164" i="17"/>
  <c r="AH164" i="17"/>
  <c r="AG164" i="17"/>
  <c r="AF164" i="17"/>
  <c r="AE164" i="17"/>
  <c r="AD164" i="17"/>
  <c r="AD91" i="17" s="1"/>
  <c r="AC164" i="17"/>
  <c r="AC91" i="17" s="1"/>
  <c r="AB164" i="17"/>
  <c r="AB91" i="17" s="1"/>
  <c r="AA164" i="17"/>
  <c r="AA91" i="17" s="1"/>
  <c r="Z164" i="17"/>
  <c r="Z91" i="17" s="1"/>
  <c r="Y164" i="17"/>
  <c r="Y91" i="17" s="1"/>
  <c r="X164" i="17"/>
  <c r="W164" i="17"/>
  <c r="W91" i="17" s="1"/>
  <c r="V164" i="17"/>
  <c r="V91" i="17" s="1"/>
  <c r="AO163" i="17"/>
  <c r="AN163" i="17"/>
  <c r="AM163" i="17"/>
  <c r="AL163" i="17"/>
  <c r="X90" i="17" s="1"/>
  <c r="AK163" i="17"/>
  <c r="AJ163" i="17"/>
  <c r="AI163" i="17"/>
  <c r="AH163" i="17"/>
  <c r="AG163" i="17"/>
  <c r="AF163" i="17"/>
  <c r="AE163" i="17"/>
  <c r="AD163" i="17"/>
  <c r="AD90" i="17" s="1"/>
  <c r="AC163" i="17"/>
  <c r="AB163" i="17"/>
  <c r="AA163" i="17"/>
  <c r="AA90" i="17" s="1"/>
  <c r="Z163" i="17"/>
  <c r="Z90" i="17" s="1"/>
  <c r="Y163" i="17"/>
  <c r="Y90" i="17" s="1"/>
  <c r="X163" i="17"/>
  <c r="W163" i="17"/>
  <c r="W90" i="17" s="1"/>
  <c r="V163" i="17"/>
  <c r="V90" i="17" s="1"/>
  <c r="AO162" i="17"/>
  <c r="AN162" i="17"/>
  <c r="AM162" i="17"/>
  <c r="AL162" i="17"/>
  <c r="X89" i="17" s="1"/>
  <c r="AK162" i="17"/>
  <c r="AJ162" i="17"/>
  <c r="AI162" i="17"/>
  <c r="AH162" i="17"/>
  <c r="AG162" i="17"/>
  <c r="AF162" i="17"/>
  <c r="AE162" i="17"/>
  <c r="AD162" i="17"/>
  <c r="AD89" i="17" s="1"/>
  <c r="AC162" i="17"/>
  <c r="AC89" i="17" s="1"/>
  <c r="AB162" i="17"/>
  <c r="AB89" i="17" s="1"/>
  <c r="AA162" i="17"/>
  <c r="AA89" i="17" s="1"/>
  <c r="Z162" i="17"/>
  <c r="Z89" i="17" s="1"/>
  <c r="Y162" i="17"/>
  <c r="X162" i="17"/>
  <c r="W162" i="17"/>
  <c r="W89" i="17" s="1"/>
  <c r="V162" i="17"/>
  <c r="V89" i="17" s="1"/>
  <c r="AO161" i="17"/>
  <c r="AN161" i="17"/>
  <c r="AM161" i="17"/>
  <c r="AL161" i="17"/>
  <c r="X88" i="17" s="1"/>
  <c r="AK161" i="17"/>
  <c r="AJ161" i="17"/>
  <c r="AI161" i="17"/>
  <c r="AH161" i="17"/>
  <c r="AG161" i="17"/>
  <c r="AF161" i="17"/>
  <c r="AE161" i="17"/>
  <c r="AD161" i="17"/>
  <c r="AD88" i="17" s="1"/>
  <c r="AC161" i="17"/>
  <c r="AC88" i="17" s="1"/>
  <c r="AB161" i="17"/>
  <c r="AB88" i="17" s="1"/>
  <c r="AA161" i="17"/>
  <c r="AA88" i="17" s="1"/>
  <c r="Z161" i="17"/>
  <c r="Z88" i="17" s="1"/>
  <c r="Y161" i="17"/>
  <c r="Y88" i="17" s="1"/>
  <c r="X161" i="17"/>
  <c r="W161" i="17"/>
  <c r="W88" i="17" s="1"/>
  <c r="V161" i="17"/>
  <c r="V88" i="17" s="1"/>
  <c r="AO160" i="17"/>
  <c r="AN160" i="17"/>
  <c r="AM160" i="17"/>
  <c r="AL160" i="17"/>
  <c r="X87" i="17" s="1"/>
  <c r="AK160" i="17"/>
  <c r="AJ160" i="17"/>
  <c r="AI160" i="17"/>
  <c r="AH160" i="17"/>
  <c r="AG160" i="17"/>
  <c r="AF160" i="17"/>
  <c r="AE160" i="17"/>
  <c r="AD160" i="17"/>
  <c r="AD87" i="17" s="1"/>
  <c r="AC160" i="17"/>
  <c r="AC87" i="17" s="1"/>
  <c r="AB160" i="17"/>
  <c r="AB87" i="17" s="1"/>
  <c r="AA160" i="17"/>
  <c r="Z160" i="17"/>
  <c r="Z87" i="17" s="1"/>
  <c r="Y160" i="17"/>
  <c r="X160" i="17"/>
  <c r="W160" i="17"/>
  <c r="W87" i="17" s="1"/>
  <c r="V160" i="17"/>
  <c r="V87" i="17" s="1"/>
  <c r="AO159" i="17"/>
  <c r="AN159" i="17"/>
  <c r="AM159" i="17"/>
  <c r="AL159" i="17"/>
  <c r="AK159" i="17"/>
  <c r="AJ159" i="17"/>
  <c r="AI159" i="17"/>
  <c r="AH159" i="17"/>
  <c r="AG159" i="17"/>
  <c r="AF159" i="17"/>
  <c r="AE159" i="17"/>
  <c r="AD159" i="17"/>
  <c r="AC159" i="17"/>
  <c r="AB159" i="17"/>
  <c r="AA159" i="17"/>
  <c r="Z159" i="17"/>
  <c r="Y159" i="17"/>
  <c r="X159" i="17"/>
  <c r="W159" i="17"/>
  <c r="V159" i="17"/>
  <c r="AO158" i="17"/>
  <c r="AN158" i="17"/>
  <c r="AM158" i="17"/>
  <c r="AL158" i="17"/>
  <c r="AK158" i="17"/>
  <c r="AJ158" i="17"/>
  <c r="AI158" i="17"/>
  <c r="AH158" i="17"/>
  <c r="AG158" i="17"/>
  <c r="AF158" i="17"/>
  <c r="AE158" i="17"/>
  <c r="AD158" i="17"/>
  <c r="AC158" i="17"/>
  <c r="AB158" i="17"/>
  <c r="AA158" i="17"/>
  <c r="Z158" i="17"/>
  <c r="Y158" i="17"/>
  <c r="X158" i="17"/>
  <c r="W158" i="17"/>
  <c r="V158" i="17"/>
  <c r="AO157" i="17"/>
  <c r="AN157" i="17"/>
  <c r="AM157" i="17"/>
  <c r="AL157" i="17"/>
  <c r="AK157" i="17"/>
  <c r="AJ157" i="17"/>
  <c r="AI157" i="17"/>
  <c r="AH157" i="17"/>
  <c r="AG157" i="17"/>
  <c r="AF157" i="17"/>
  <c r="AE157" i="17"/>
  <c r="AD157" i="17"/>
  <c r="AC157" i="17"/>
  <c r="AB157" i="17"/>
  <c r="AA157" i="17"/>
  <c r="Z157" i="17"/>
  <c r="Y157" i="17"/>
  <c r="X157" i="17"/>
  <c r="W157" i="17"/>
  <c r="V157" i="17"/>
  <c r="AO156" i="17"/>
  <c r="AN156" i="17"/>
  <c r="AM156" i="17"/>
  <c r="AL156" i="17"/>
  <c r="AK156" i="17"/>
  <c r="AJ156" i="17"/>
  <c r="AI156" i="17"/>
  <c r="AH156" i="17"/>
  <c r="AG156" i="17"/>
  <c r="AF156" i="17"/>
  <c r="AE156" i="17"/>
  <c r="AD156" i="17"/>
  <c r="AC156" i="17"/>
  <c r="AB156" i="17"/>
  <c r="AA156" i="17"/>
  <c r="Z156" i="17"/>
  <c r="Y156" i="17"/>
  <c r="X156" i="17"/>
  <c r="W156" i="17"/>
  <c r="V156" i="17"/>
  <c r="AO155" i="17"/>
  <c r="AN155" i="17"/>
  <c r="AM155" i="17"/>
  <c r="AL155" i="17"/>
  <c r="AK155" i="17"/>
  <c r="AJ155" i="17"/>
  <c r="AI155" i="17"/>
  <c r="AH155" i="17"/>
  <c r="AG155" i="17"/>
  <c r="AF155" i="17"/>
  <c r="AE155" i="17"/>
  <c r="AD155" i="17"/>
  <c r="AC155" i="17"/>
  <c r="AB155" i="17"/>
  <c r="AA155" i="17"/>
  <c r="Z155" i="17"/>
  <c r="Y155" i="17"/>
  <c r="X155" i="17"/>
  <c r="W155" i="17"/>
  <c r="V155" i="17"/>
  <c r="AO154" i="17"/>
  <c r="AN154" i="17"/>
  <c r="AM154" i="17"/>
  <c r="AL154" i="17"/>
  <c r="AK154" i="17"/>
  <c r="AJ154" i="17"/>
  <c r="AI154" i="17"/>
  <c r="AH154" i="17"/>
  <c r="AG154" i="17"/>
  <c r="AF154" i="17"/>
  <c r="AE154" i="17"/>
  <c r="AD154" i="17"/>
  <c r="AC154" i="17"/>
  <c r="AB154" i="17"/>
  <c r="AA154" i="17"/>
  <c r="Z154" i="17"/>
  <c r="Y154" i="17"/>
  <c r="X154" i="17"/>
  <c r="W154" i="17"/>
  <c r="V154" i="17"/>
  <c r="AO153" i="17"/>
  <c r="AN153" i="17"/>
  <c r="AM153" i="17"/>
  <c r="AL153" i="17"/>
  <c r="AK153" i="17"/>
  <c r="AJ153" i="17"/>
  <c r="AI153" i="17"/>
  <c r="AH153" i="17"/>
  <c r="AG153" i="17"/>
  <c r="AF153" i="17"/>
  <c r="AE153" i="17"/>
  <c r="AD153" i="17"/>
  <c r="AC153" i="17"/>
  <c r="AB153" i="17"/>
  <c r="AA153" i="17"/>
  <c r="Z153" i="17"/>
  <c r="Y153" i="17"/>
  <c r="X153" i="17"/>
  <c r="W153" i="17"/>
  <c r="V153" i="17"/>
  <c r="AO152" i="17"/>
  <c r="AN152" i="17"/>
  <c r="AM152" i="17"/>
  <c r="AL152" i="17"/>
  <c r="AK152" i="17"/>
  <c r="AJ152" i="17"/>
  <c r="AI152" i="17"/>
  <c r="AH152" i="17"/>
  <c r="AG152" i="17"/>
  <c r="AF152" i="17"/>
  <c r="AE152" i="17"/>
  <c r="AD152" i="17"/>
  <c r="AC152" i="17"/>
  <c r="AB152" i="17"/>
  <c r="AA152" i="17"/>
  <c r="Z152" i="17"/>
  <c r="Y152" i="17"/>
  <c r="X152" i="17"/>
  <c r="W152" i="17"/>
  <c r="V152" i="17"/>
  <c r="AO151" i="17"/>
  <c r="AN151" i="17"/>
  <c r="AM151" i="17"/>
  <c r="AL151" i="17"/>
  <c r="AK151" i="17"/>
  <c r="AJ151" i="17"/>
  <c r="AI151" i="17"/>
  <c r="AH151" i="17"/>
  <c r="AG151" i="17"/>
  <c r="AF151" i="17"/>
  <c r="AE151" i="17"/>
  <c r="AD151" i="17"/>
  <c r="AC151" i="17"/>
  <c r="AB151" i="17"/>
  <c r="AA151" i="17"/>
  <c r="Z151" i="17"/>
  <c r="Y151" i="17"/>
  <c r="X151" i="17"/>
  <c r="W151" i="17"/>
  <c r="V151" i="17"/>
  <c r="AO150" i="17"/>
  <c r="AN150" i="17"/>
  <c r="AM150" i="17"/>
  <c r="AL150" i="17"/>
  <c r="AK150" i="17"/>
  <c r="AJ150" i="17"/>
  <c r="AI150" i="17"/>
  <c r="AH150" i="17"/>
  <c r="AG150" i="17"/>
  <c r="AF150" i="17"/>
  <c r="AE150" i="17"/>
  <c r="AD150" i="17"/>
  <c r="AC150" i="17"/>
  <c r="AB150" i="17"/>
  <c r="AA150" i="17"/>
  <c r="Z150" i="17"/>
  <c r="Y150" i="17"/>
  <c r="X150" i="17"/>
  <c r="W150" i="17"/>
  <c r="V150" i="17"/>
  <c r="AO149" i="17"/>
  <c r="AN149" i="17"/>
  <c r="AM149" i="17"/>
  <c r="AL149" i="17"/>
  <c r="AK149" i="17"/>
  <c r="AJ149" i="17"/>
  <c r="AI149" i="17"/>
  <c r="AH149" i="17"/>
  <c r="AG149" i="17"/>
  <c r="AF149" i="17"/>
  <c r="AE149" i="17"/>
  <c r="AD149" i="17"/>
  <c r="AC149" i="17"/>
  <c r="AB149" i="17"/>
  <c r="AA149" i="17"/>
  <c r="Z149" i="17"/>
  <c r="Y149" i="17"/>
  <c r="X149" i="17"/>
  <c r="W149" i="17"/>
  <c r="V149" i="17"/>
  <c r="AO148" i="17"/>
  <c r="AN148" i="17"/>
  <c r="AM148" i="17"/>
  <c r="AL148" i="17"/>
  <c r="AK148" i="17"/>
  <c r="AJ148" i="17"/>
  <c r="AI148" i="17"/>
  <c r="AH148" i="17"/>
  <c r="AG148" i="17"/>
  <c r="AF148" i="17"/>
  <c r="AE148" i="17"/>
  <c r="AD148" i="17"/>
  <c r="AC148" i="17"/>
  <c r="AB148" i="17"/>
  <c r="AA148" i="17"/>
  <c r="Z148" i="17"/>
  <c r="Y148" i="17"/>
  <c r="X148" i="17"/>
  <c r="W148" i="17"/>
  <c r="V148" i="17"/>
  <c r="AO147" i="17"/>
  <c r="AN147" i="17"/>
  <c r="AM147" i="17"/>
  <c r="AL147" i="17"/>
  <c r="AK147" i="17"/>
  <c r="AJ147" i="17"/>
  <c r="AI147" i="17"/>
  <c r="AH147" i="17"/>
  <c r="AG147" i="17"/>
  <c r="AF147" i="17"/>
  <c r="AE147" i="17"/>
  <c r="AD147" i="17"/>
  <c r="AC147" i="17"/>
  <c r="AB147" i="17"/>
  <c r="AA147" i="17"/>
  <c r="Z147" i="17"/>
  <c r="Y147" i="17"/>
  <c r="X147" i="17"/>
  <c r="W147" i="17"/>
  <c r="V147" i="17"/>
  <c r="AO146" i="17"/>
  <c r="AN146" i="17"/>
  <c r="AM146" i="17"/>
  <c r="AL146" i="17"/>
  <c r="AK146" i="17"/>
  <c r="AJ146" i="17"/>
  <c r="AI146" i="17"/>
  <c r="AH146" i="17"/>
  <c r="AG146" i="17"/>
  <c r="AF146" i="17"/>
  <c r="AE146" i="17"/>
  <c r="AD146" i="17"/>
  <c r="AC146" i="17"/>
  <c r="AB146" i="17"/>
  <c r="AA146" i="17"/>
  <c r="Z146" i="17"/>
  <c r="Y146" i="17"/>
  <c r="X146" i="17"/>
  <c r="W146" i="17"/>
  <c r="V146" i="17"/>
  <c r="AO145" i="17"/>
  <c r="AN145" i="17"/>
  <c r="AM145" i="17"/>
  <c r="AL145" i="17"/>
  <c r="AK145" i="17"/>
  <c r="AJ145" i="17"/>
  <c r="AI145" i="17"/>
  <c r="AH145" i="17"/>
  <c r="AG145" i="17"/>
  <c r="AF145" i="17"/>
  <c r="AE145" i="17"/>
  <c r="AD145" i="17"/>
  <c r="AC145" i="17"/>
  <c r="AB145" i="17"/>
  <c r="AA145" i="17"/>
  <c r="Z145" i="17"/>
  <c r="Y145" i="17"/>
  <c r="X145" i="17"/>
  <c r="W145" i="17"/>
  <c r="V145" i="17"/>
  <c r="AO144" i="17"/>
  <c r="AN144" i="17"/>
  <c r="AM144" i="17"/>
  <c r="AL144" i="17"/>
  <c r="AK144" i="17"/>
  <c r="AJ144" i="17"/>
  <c r="AI144" i="17"/>
  <c r="AH144" i="17"/>
  <c r="AG144" i="17"/>
  <c r="AF144" i="17"/>
  <c r="AE144" i="17"/>
  <c r="AD144" i="17"/>
  <c r="AC144" i="17"/>
  <c r="AB144" i="17"/>
  <c r="AA144" i="17"/>
  <c r="Z144" i="17"/>
  <c r="Y144" i="17"/>
  <c r="X144" i="17"/>
  <c r="W144" i="17"/>
  <c r="V144" i="17"/>
  <c r="AO143" i="17"/>
  <c r="AN143" i="17"/>
  <c r="AM143" i="17"/>
  <c r="AL143" i="17"/>
  <c r="AK143" i="17"/>
  <c r="AJ143" i="17"/>
  <c r="AI143" i="17"/>
  <c r="AH143" i="17"/>
  <c r="AG143" i="17"/>
  <c r="AF143" i="17"/>
  <c r="AE143" i="17"/>
  <c r="AD143" i="17"/>
  <c r="AC143" i="17"/>
  <c r="AB143" i="17"/>
  <c r="AA143" i="17"/>
  <c r="Z143" i="17"/>
  <c r="Y143" i="17"/>
  <c r="X143" i="17"/>
  <c r="W143" i="17"/>
  <c r="V143" i="17"/>
  <c r="AO142" i="17"/>
  <c r="AN142" i="17"/>
  <c r="AM142" i="17"/>
  <c r="AL142" i="17"/>
  <c r="AK142" i="17"/>
  <c r="AJ142" i="17"/>
  <c r="AI142" i="17"/>
  <c r="AH142" i="17"/>
  <c r="AG142" i="17"/>
  <c r="AF142" i="17"/>
  <c r="AE142" i="17"/>
  <c r="AD142" i="17"/>
  <c r="AC142" i="17"/>
  <c r="AB142" i="17"/>
  <c r="AA142" i="17"/>
  <c r="Z142" i="17"/>
  <c r="Y142" i="17"/>
  <c r="X142" i="17"/>
  <c r="W142" i="17"/>
  <c r="V142" i="17"/>
  <c r="AO141" i="17"/>
  <c r="AN141" i="17"/>
  <c r="AM141" i="17"/>
  <c r="AL141" i="17"/>
  <c r="AK141" i="17"/>
  <c r="AJ141" i="17"/>
  <c r="AI141" i="17"/>
  <c r="AH141" i="17"/>
  <c r="AG141" i="17"/>
  <c r="AF141" i="17"/>
  <c r="AE141" i="17"/>
  <c r="AD141" i="17"/>
  <c r="AC141" i="17"/>
  <c r="AB141" i="17"/>
  <c r="AA141" i="17"/>
  <c r="Z141" i="17"/>
  <c r="Y141" i="17"/>
  <c r="X141" i="17"/>
  <c r="W141" i="17"/>
  <c r="V141" i="17"/>
  <c r="AO140" i="17"/>
  <c r="AN140" i="17"/>
  <c r="AM140" i="17"/>
  <c r="AL140" i="17"/>
  <c r="AK140" i="17"/>
  <c r="AJ140" i="17"/>
  <c r="AI140" i="17"/>
  <c r="AH140" i="17"/>
  <c r="AG140" i="17"/>
  <c r="AF140" i="17"/>
  <c r="AE140" i="17"/>
  <c r="AD140" i="17"/>
  <c r="AC140" i="17"/>
  <c r="AB140" i="17"/>
  <c r="AA140" i="17"/>
  <c r="Z140" i="17"/>
  <c r="Y140" i="17"/>
  <c r="X140" i="17"/>
  <c r="W140" i="17"/>
  <c r="V140" i="17"/>
  <c r="AO139" i="17"/>
  <c r="AN139" i="17"/>
  <c r="AM139" i="17"/>
  <c r="AL139" i="17"/>
  <c r="AK139" i="17"/>
  <c r="AJ139" i="17"/>
  <c r="AI139" i="17"/>
  <c r="AH139" i="17"/>
  <c r="AG139" i="17"/>
  <c r="AF139" i="17"/>
  <c r="AE139" i="17"/>
  <c r="AD139" i="17"/>
  <c r="AC139" i="17"/>
  <c r="AB139" i="17"/>
  <c r="AA139" i="17"/>
  <c r="Z139" i="17"/>
  <c r="Y139" i="17"/>
  <c r="X139" i="17"/>
  <c r="W139" i="17"/>
  <c r="V139" i="17"/>
  <c r="AO138" i="17"/>
  <c r="AN138" i="17"/>
  <c r="AM138" i="17"/>
  <c r="AL138" i="17"/>
  <c r="AK138" i="17"/>
  <c r="AJ138" i="17"/>
  <c r="AI138" i="17"/>
  <c r="AH138" i="17"/>
  <c r="AG138" i="17"/>
  <c r="AF138" i="17"/>
  <c r="AE138" i="17"/>
  <c r="AD138" i="17"/>
  <c r="AC138" i="17"/>
  <c r="AB138" i="17"/>
  <c r="AA138" i="17"/>
  <c r="Z138" i="17"/>
  <c r="Y138" i="17"/>
  <c r="X138" i="17"/>
  <c r="W138" i="17"/>
  <c r="V138" i="17"/>
  <c r="AO137" i="17"/>
  <c r="AN137" i="17"/>
  <c r="AM137" i="17"/>
  <c r="AL137" i="17"/>
  <c r="AK137" i="17"/>
  <c r="AJ137" i="17"/>
  <c r="AI137" i="17"/>
  <c r="AH137" i="17"/>
  <c r="AG137" i="17"/>
  <c r="AF137" i="17"/>
  <c r="AE137" i="17"/>
  <c r="AD137" i="17"/>
  <c r="AC137" i="17"/>
  <c r="AB137" i="17"/>
  <c r="AA137" i="17"/>
  <c r="Z137" i="17"/>
  <c r="Y137" i="17"/>
  <c r="X137" i="17"/>
  <c r="W137" i="17"/>
  <c r="V137" i="17"/>
  <c r="AO136" i="17"/>
  <c r="AN136" i="17"/>
  <c r="AM136" i="17"/>
  <c r="AL136" i="17"/>
  <c r="AK136" i="17"/>
  <c r="AJ136" i="17"/>
  <c r="AI136" i="17"/>
  <c r="AH136" i="17"/>
  <c r="AG136" i="17"/>
  <c r="AF136" i="17"/>
  <c r="AE136" i="17"/>
  <c r="AD136" i="17"/>
  <c r="AC136" i="17"/>
  <c r="AB136" i="17"/>
  <c r="AA136" i="17"/>
  <c r="Z136" i="17"/>
  <c r="Y136" i="17"/>
  <c r="X136" i="17"/>
  <c r="W136" i="17"/>
  <c r="V136" i="17"/>
  <c r="AO135" i="17"/>
  <c r="AN135" i="17"/>
  <c r="AM135" i="17"/>
  <c r="AL135" i="17"/>
  <c r="AK135" i="17"/>
  <c r="AJ135" i="17"/>
  <c r="AI135" i="17"/>
  <c r="AH135" i="17"/>
  <c r="AG135" i="17"/>
  <c r="AF135" i="17"/>
  <c r="AE135" i="17"/>
  <c r="AD135" i="17"/>
  <c r="AC135" i="17"/>
  <c r="AB135" i="17"/>
  <c r="AA135" i="17"/>
  <c r="Z135" i="17"/>
  <c r="Y135" i="17"/>
  <c r="X135" i="17"/>
  <c r="W135" i="17"/>
  <c r="V135" i="17"/>
  <c r="AO134" i="17"/>
  <c r="AN134" i="17"/>
  <c r="AM134" i="17"/>
  <c r="AL134" i="17"/>
  <c r="AK134" i="17"/>
  <c r="AJ134" i="17"/>
  <c r="AI134" i="17"/>
  <c r="AH134" i="17"/>
  <c r="AG134" i="17"/>
  <c r="AF134" i="17"/>
  <c r="AE134" i="17"/>
  <c r="AD134" i="17"/>
  <c r="AC134" i="17"/>
  <c r="AB134" i="17"/>
  <c r="AA134" i="17"/>
  <c r="Z134" i="17"/>
  <c r="Y134" i="17"/>
  <c r="X134" i="17"/>
  <c r="W134" i="17"/>
  <c r="V134" i="17"/>
  <c r="AO133" i="17"/>
  <c r="AN133" i="17"/>
  <c r="AM133" i="17"/>
  <c r="AL133" i="17"/>
  <c r="AK133" i="17"/>
  <c r="AJ133" i="17"/>
  <c r="AI133" i="17"/>
  <c r="AH133" i="17"/>
  <c r="AG133" i="17"/>
  <c r="AF133" i="17"/>
  <c r="AE133" i="17"/>
  <c r="AD133" i="17"/>
  <c r="AC133" i="17"/>
  <c r="AB133" i="17"/>
  <c r="AA133" i="17"/>
  <c r="Z133" i="17"/>
  <c r="Y133" i="17"/>
  <c r="X133" i="17"/>
  <c r="W133" i="17"/>
  <c r="V133" i="17"/>
  <c r="AO132" i="17"/>
  <c r="AN132" i="17"/>
  <c r="AM132" i="17"/>
  <c r="AL132" i="17"/>
  <c r="AK132" i="17"/>
  <c r="AJ132" i="17"/>
  <c r="AI132" i="17"/>
  <c r="AH132" i="17"/>
  <c r="AG132" i="17"/>
  <c r="AF132" i="17"/>
  <c r="AE132" i="17"/>
  <c r="AD132" i="17"/>
  <c r="AC132" i="17"/>
  <c r="AB132" i="17"/>
  <c r="AA132" i="17"/>
  <c r="Z132" i="17"/>
  <c r="Y132" i="17"/>
  <c r="X132" i="17"/>
  <c r="W132" i="17"/>
  <c r="V132" i="17"/>
  <c r="AO131" i="17"/>
  <c r="AN131" i="17"/>
  <c r="AM131" i="17"/>
  <c r="AL131" i="17"/>
  <c r="AK131" i="17"/>
  <c r="AJ131" i="17"/>
  <c r="AI131" i="17"/>
  <c r="AH131" i="17"/>
  <c r="AG131" i="17"/>
  <c r="AF131" i="17"/>
  <c r="AE131" i="17"/>
  <c r="AD131" i="17"/>
  <c r="AC131" i="17"/>
  <c r="AB131" i="17"/>
  <c r="AA131" i="17"/>
  <c r="Z131" i="17"/>
  <c r="Y131" i="17"/>
  <c r="X131" i="17"/>
  <c r="W131" i="17"/>
  <c r="V131" i="17"/>
  <c r="AO130" i="17"/>
  <c r="AN130" i="17"/>
  <c r="AM130" i="17"/>
  <c r="AL130" i="17"/>
  <c r="AK130" i="17"/>
  <c r="AJ130" i="17"/>
  <c r="AI130" i="17"/>
  <c r="AH130" i="17"/>
  <c r="AG130" i="17"/>
  <c r="AF130" i="17"/>
  <c r="AE130" i="17"/>
  <c r="AD130" i="17"/>
  <c r="AC130" i="17"/>
  <c r="AB130" i="17"/>
  <c r="AA130" i="17"/>
  <c r="Z130" i="17"/>
  <c r="Y130" i="17"/>
  <c r="X130" i="17"/>
  <c r="W130" i="17"/>
  <c r="V130" i="17"/>
  <c r="AO129" i="17"/>
  <c r="AN129" i="17"/>
  <c r="AM129" i="17"/>
  <c r="AL129" i="17"/>
  <c r="AK129" i="17"/>
  <c r="AJ129" i="17"/>
  <c r="AI129" i="17"/>
  <c r="AH129" i="17"/>
  <c r="AG129" i="17"/>
  <c r="AF129" i="17"/>
  <c r="AE129" i="17"/>
  <c r="AD129" i="17"/>
  <c r="AC129" i="17"/>
  <c r="AB129" i="17"/>
  <c r="AA129" i="17"/>
  <c r="Z129" i="17"/>
  <c r="Y129" i="17"/>
  <c r="X129" i="17"/>
  <c r="W129" i="17"/>
  <c r="V129" i="17"/>
  <c r="AO128" i="17"/>
  <c r="AN128" i="17"/>
  <c r="AM128" i="17"/>
  <c r="AL128" i="17"/>
  <c r="AK128" i="17"/>
  <c r="AJ128" i="17"/>
  <c r="AI128" i="17"/>
  <c r="AH128" i="17"/>
  <c r="AG128" i="17"/>
  <c r="AF128" i="17"/>
  <c r="AE128" i="17"/>
  <c r="AD128" i="17"/>
  <c r="AC128" i="17"/>
  <c r="AB128" i="17"/>
  <c r="AA128" i="17"/>
  <c r="Z128" i="17"/>
  <c r="Y128" i="17"/>
  <c r="X128" i="17"/>
  <c r="W128" i="17"/>
  <c r="V128" i="17"/>
  <c r="AO127" i="17"/>
  <c r="AN127" i="17"/>
  <c r="AM127" i="17"/>
  <c r="AL127" i="17"/>
  <c r="AK127" i="17"/>
  <c r="AJ127" i="17"/>
  <c r="AI127" i="17"/>
  <c r="AH127" i="17"/>
  <c r="AG127" i="17"/>
  <c r="AF127" i="17"/>
  <c r="AE127" i="17"/>
  <c r="AD127" i="17"/>
  <c r="AC127" i="17"/>
  <c r="AB127" i="17"/>
  <c r="AA127" i="17"/>
  <c r="Z127" i="17"/>
  <c r="Y127" i="17"/>
  <c r="X127" i="17"/>
  <c r="W127" i="17"/>
  <c r="V127" i="17"/>
  <c r="AO126" i="17"/>
  <c r="AN126" i="17"/>
  <c r="AM126" i="17"/>
  <c r="AL126" i="17"/>
  <c r="AK126" i="17"/>
  <c r="AJ126" i="17"/>
  <c r="AI126" i="17"/>
  <c r="AH126" i="17"/>
  <c r="AG126" i="17"/>
  <c r="AF126" i="17"/>
  <c r="AE126" i="17"/>
  <c r="AD126" i="17"/>
  <c r="AC126" i="17"/>
  <c r="AB126" i="17"/>
  <c r="AA126" i="17"/>
  <c r="Z126" i="17"/>
  <c r="Y126" i="17"/>
  <c r="X126" i="17"/>
  <c r="W126" i="17"/>
  <c r="V126" i="17"/>
  <c r="AO125" i="17"/>
  <c r="AN125" i="17"/>
  <c r="AM125" i="17"/>
  <c r="AL125" i="17"/>
  <c r="AK125" i="17"/>
  <c r="AJ125" i="17"/>
  <c r="AI125" i="17"/>
  <c r="AH125" i="17"/>
  <c r="AG125" i="17"/>
  <c r="AF125" i="17"/>
  <c r="AE125" i="17"/>
  <c r="AD125" i="17"/>
  <c r="AC125" i="17"/>
  <c r="AB125" i="17"/>
  <c r="AA125" i="17"/>
  <c r="Z125" i="17"/>
  <c r="Y125" i="17"/>
  <c r="X125" i="17"/>
  <c r="W125" i="17"/>
  <c r="V125" i="17"/>
  <c r="AO124" i="17"/>
  <c r="AN124" i="17"/>
  <c r="AM124" i="17"/>
  <c r="AL124" i="17"/>
  <c r="AK124" i="17"/>
  <c r="AJ124" i="17"/>
  <c r="AI124" i="17"/>
  <c r="AH124" i="17"/>
  <c r="AG124" i="17"/>
  <c r="AF124" i="17"/>
  <c r="AE124" i="17"/>
  <c r="AD124" i="17"/>
  <c r="AC124" i="17"/>
  <c r="AB124" i="17"/>
  <c r="AA124" i="17"/>
  <c r="Z124" i="17"/>
  <c r="Y124" i="17"/>
  <c r="X124" i="17"/>
  <c r="W124" i="17"/>
  <c r="V124" i="17"/>
  <c r="AO123" i="17"/>
  <c r="AN123" i="17"/>
  <c r="AM123" i="17"/>
  <c r="AL123" i="17"/>
  <c r="AK123" i="17"/>
  <c r="AJ123" i="17"/>
  <c r="AI123" i="17"/>
  <c r="AH123" i="17"/>
  <c r="AG123" i="17"/>
  <c r="AF123" i="17"/>
  <c r="AE123" i="17"/>
  <c r="AD123" i="17"/>
  <c r="AC123" i="17"/>
  <c r="AB123" i="17"/>
  <c r="AA123" i="17"/>
  <c r="Z123" i="17"/>
  <c r="Y123" i="17"/>
  <c r="X123" i="17"/>
  <c r="W123" i="17"/>
  <c r="V123" i="17"/>
  <c r="AO122" i="17"/>
  <c r="AN122" i="17"/>
  <c r="AM122" i="17"/>
  <c r="AL122" i="17"/>
  <c r="AK122" i="17"/>
  <c r="AJ122" i="17"/>
  <c r="AI122" i="17"/>
  <c r="AH122" i="17"/>
  <c r="AG122" i="17"/>
  <c r="AF122" i="17"/>
  <c r="AE122" i="17"/>
  <c r="AD122" i="17"/>
  <c r="AC122" i="17"/>
  <c r="AB122" i="17"/>
  <c r="AA122" i="17"/>
  <c r="Z122" i="17"/>
  <c r="Y122" i="17"/>
  <c r="X122" i="17"/>
  <c r="W122" i="17"/>
  <c r="V122" i="17"/>
  <c r="AO121" i="17"/>
  <c r="AN121" i="17"/>
  <c r="AM121" i="17"/>
  <c r="AL121" i="17"/>
  <c r="AK121" i="17"/>
  <c r="AJ121" i="17"/>
  <c r="AI121" i="17"/>
  <c r="AH121" i="17"/>
  <c r="AG121" i="17"/>
  <c r="AF121" i="17"/>
  <c r="AE121" i="17"/>
  <c r="AD121" i="17"/>
  <c r="AC121" i="17"/>
  <c r="AB121" i="17"/>
  <c r="AA121" i="17"/>
  <c r="Z121" i="17"/>
  <c r="Y121" i="17"/>
  <c r="X121" i="17"/>
  <c r="W121" i="17"/>
  <c r="V121" i="17"/>
  <c r="AO120" i="17"/>
  <c r="AN120" i="17"/>
  <c r="AM120" i="17"/>
  <c r="AL120" i="17"/>
  <c r="AK120" i="17"/>
  <c r="AJ120" i="17"/>
  <c r="AI120" i="17"/>
  <c r="AH120" i="17"/>
  <c r="AG120" i="17"/>
  <c r="AF120" i="17"/>
  <c r="AE120" i="17"/>
  <c r="AD120" i="17"/>
  <c r="AC120" i="17"/>
  <c r="AB120" i="17"/>
  <c r="AA120" i="17"/>
  <c r="Z120" i="17"/>
  <c r="Y120" i="17"/>
  <c r="X120" i="17"/>
  <c r="W120" i="17"/>
  <c r="V120" i="17"/>
  <c r="AO119" i="17"/>
  <c r="AN119" i="17"/>
  <c r="AM119" i="17"/>
  <c r="AL119" i="17"/>
  <c r="AK119" i="17"/>
  <c r="AJ119" i="17"/>
  <c r="AI119" i="17"/>
  <c r="AH119" i="17"/>
  <c r="AG119" i="17"/>
  <c r="AF119" i="17"/>
  <c r="AE119" i="17"/>
  <c r="AD119" i="17"/>
  <c r="AC119" i="17"/>
  <c r="AB119" i="17"/>
  <c r="AA119" i="17"/>
  <c r="Z119" i="17"/>
  <c r="Y119" i="17"/>
  <c r="X119" i="17"/>
  <c r="W119" i="17"/>
  <c r="V119" i="17"/>
  <c r="AO118" i="17"/>
  <c r="AN118" i="17"/>
  <c r="AM118" i="17"/>
  <c r="AL118" i="17"/>
  <c r="AK118" i="17"/>
  <c r="AJ118" i="17"/>
  <c r="AI118" i="17"/>
  <c r="AH118" i="17"/>
  <c r="AG118" i="17"/>
  <c r="AF118" i="17"/>
  <c r="AE118" i="17"/>
  <c r="AD118" i="17"/>
  <c r="AC118" i="17"/>
  <c r="AB118" i="17"/>
  <c r="AA118" i="17"/>
  <c r="Z118" i="17"/>
  <c r="Y118" i="17"/>
  <c r="X118" i="17"/>
  <c r="W118" i="17"/>
  <c r="V118" i="17"/>
  <c r="AO117" i="17"/>
  <c r="AN117" i="17"/>
  <c r="AM117" i="17"/>
  <c r="AL117" i="17"/>
  <c r="AK117" i="17"/>
  <c r="AJ117" i="17"/>
  <c r="AI117" i="17"/>
  <c r="AH117" i="17"/>
  <c r="AG117" i="17"/>
  <c r="AF117" i="17"/>
  <c r="AE117" i="17"/>
  <c r="AD117" i="17"/>
  <c r="AC117" i="17"/>
  <c r="AB117" i="17"/>
  <c r="AA117" i="17"/>
  <c r="Z117" i="17"/>
  <c r="Y117" i="17"/>
  <c r="X117" i="17"/>
  <c r="W117" i="17"/>
  <c r="V117" i="17"/>
  <c r="AO116" i="17"/>
  <c r="AN116" i="17"/>
  <c r="AM116" i="17"/>
  <c r="AL116" i="17"/>
  <c r="AK116" i="17"/>
  <c r="AJ116" i="17"/>
  <c r="AI116" i="17"/>
  <c r="AH116" i="17"/>
  <c r="AG116" i="17"/>
  <c r="AF116" i="17"/>
  <c r="AE116" i="17"/>
  <c r="AD116" i="17"/>
  <c r="AC116" i="17"/>
  <c r="AB116" i="17"/>
  <c r="AA116" i="17"/>
  <c r="Z116" i="17"/>
  <c r="Y116" i="17"/>
  <c r="X116" i="17"/>
  <c r="W116" i="17"/>
  <c r="V116" i="17"/>
  <c r="AO115" i="17"/>
  <c r="AN115" i="17"/>
  <c r="AM115" i="17"/>
  <c r="AL115" i="17"/>
  <c r="AK115" i="17"/>
  <c r="AJ115" i="17"/>
  <c r="AI115" i="17"/>
  <c r="AH115" i="17"/>
  <c r="AG115" i="17"/>
  <c r="AF115" i="17"/>
  <c r="AE115" i="17"/>
  <c r="AD115" i="17"/>
  <c r="AC115" i="17"/>
  <c r="AB115" i="17"/>
  <c r="AA115" i="17"/>
  <c r="Z115" i="17"/>
  <c r="Y115" i="17"/>
  <c r="X115" i="17"/>
  <c r="W115" i="17"/>
  <c r="V115" i="17"/>
  <c r="AO114" i="17"/>
  <c r="AN114" i="17"/>
  <c r="AM114" i="17"/>
  <c r="AL114" i="17"/>
  <c r="AK114" i="17"/>
  <c r="AJ114" i="17"/>
  <c r="AI114" i="17"/>
  <c r="AH114" i="17"/>
  <c r="AG114" i="17"/>
  <c r="AF114" i="17"/>
  <c r="AE114" i="17"/>
  <c r="AD114" i="17"/>
  <c r="AC114" i="17"/>
  <c r="AB114" i="17"/>
  <c r="AA114" i="17"/>
  <c r="Z114" i="17"/>
  <c r="Y114" i="17"/>
  <c r="X114" i="17"/>
  <c r="W114" i="17"/>
  <c r="V114" i="17"/>
  <c r="AO113" i="17"/>
  <c r="AN113" i="17"/>
  <c r="AM113" i="17"/>
  <c r="AL113" i="17"/>
  <c r="AK113" i="17"/>
  <c r="AJ113" i="17"/>
  <c r="AI113" i="17"/>
  <c r="AH113" i="17"/>
  <c r="AG113" i="17"/>
  <c r="AF113" i="17"/>
  <c r="AE113" i="17"/>
  <c r="AD113" i="17"/>
  <c r="AC113" i="17"/>
  <c r="AB113" i="17"/>
  <c r="AA113" i="17"/>
  <c r="Z113" i="17"/>
  <c r="Y113" i="17"/>
  <c r="X113" i="17"/>
  <c r="W113" i="17"/>
  <c r="V113" i="17"/>
  <c r="AO112" i="17"/>
  <c r="AN112" i="17"/>
  <c r="AM112" i="17"/>
  <c r="AL112" i="17"/>
  <c r="AK112" i="17"/>
  <c r="AJ112" i="17"/>
  <c r="AI112" i="17"/>
  <c r="AH112" i="17"/>
  <c r="AG112" i="17"/>
  <c r="AF112" i="17"/>
  <c r="AE112" i="17"/>
  <c r="AD112" i="17"/>
  <c r="AC112" i="17"/>
  <c r="AB112" i="17"/>
  <c r="AA112" i="17"/>
  <c r="Z112" i="17"/>
  <c r="Y112" i="17"/>
  <c r="X112" i="17"/>
  <c r="W112" i="17"/>
  <c r="V112" i="17"/>
  <c r="AO111" i="17"/>
  <c r="AN111" i="17"/>
  <c r="AM111" i="17"/>
  <c r="AL111" i="17"/>
  <c r="AK111" i="17"/>
  <c r="AJ111" i="17"/>
  <c r="AI111" i="17"/>
  <c r="AH111" i="17"/>
  <c r="AG111" i="17"/>
  <c r="AF111" i="17"/>
  <c r="AE111" i="17"/>
  <c r="AD111" i="17"/>
  <c r="AC111" i="17"/>
  <c r="AB111" i="17"/>
  <c r="AA111" i="17"/>
  <c r="Z111" i="17"/>
  <c r="Y111" i="17"/>
  <c r="X111" i="17"/>
  <c r="W111" i="17"/>
  <c r="V111" i="17"/>
  <c r="AO110" i="17"/>
  <c r="AN110" i="17"/>
  <c r="AM110" i="17"/>
  <c r="AL110" i="17"/>
  <c r="AK110" i="17"/>
  <c r="AJ110" i="17"/>
  <c r="AI110" i="17"/>
  <c r="AH110" i="17"/>
  <c r="AG110" i="17"/>
  <c r="AF110" i="17"/>
  <c r="AE110" i="17"/>
  <c r="AD110" i="17"/>
  <c r="AC110" i="17"/>
  <c r="AB110" i="17"/>
  <c r="AA110" i="17"/>
  <c r="Z110" i="17"/>
  <c r="Y110" i="17"/>
  <c r="X110" i="17"/>
  <c r="W110" i="17"/>
  <c r="V110" i="17"/>
  <c r="AO109" i="17"/>
  <c r="AN109" i="17"/>
  <c r="AM109" i="17"/>
  <c r="AL109" i="17"/>
  <c r="AK109" i="17"/>
  <c r="AJ109" i="17"/>
  <c r="AI109" i="17"/>
  <c r="AH109" i="17"/>
  <c r="AG109" i="17"/>
  <c r="AF109" i="17"/>
  <c r="AE109" i="17"/>
  <c r="AD109" i="17"/>
  <c r="AC109" i="17"/>
  <c r="AB109" i="17"/>
  <c r="AA109" i="17"/>
  <c r="Z109" i="17"/>
  <c r="Y109" i="17"/>
  <c r="X109" i="17"/>
  <c r="W109" i="17"/>
  <c r="V109" i="17"/>
  <c r="AO108" i="17"/>
  <c r="AN108" i="17"/>
  <c r="AM108" i="17"/>
  <c r="AL108" i="17"/>
  <c r="AK108" i="17"/>
  <c r="AJ108" i="17"/>
  <c r="AI108" i="17"/>
  <c r="AH108" i="17"/>
  <c r="AG108" i="17"/>
  <c r="AF108" i="17"/>
  <c r="AE108" i="17"/>
  <c r="AD108" i="17"/>
  <c r="AC108" i="17"/>
  <c r="AB108" i="17"/>
  <c r="AA108" i="17"/>
  <c r="Z108" i="17"/>
  <c r="Y108" i="17"/>
  <c r="X108" i="17"/>
  <c r="W108" i="17"/>
  <c r="V108" i="17"/>
  <c r="AO107" i="17"/>
  <c r="AN107" i="17"/>
  <c r="AM107" i="17"/>
  <c r="AL107" i="17"/>
  <c r="AK107" i="17"/>
  <c r="AJ107" i="17"/>
  <c r="AI107" i="17"/>
  <c r="AH107" i="17"/>
  <c r="AG107" i="17"/>
  <c r="AF107" i="17"/>
  <c r="AE107" i="17"/>
  <c r="AD107" i="17"/>
  <c r="AC107" i="17"/>
  <c r="AB107" i="17"/>
  <c r="AA107" i="17"/>
  <c r="Z107" i="17"/>
  <c r="Y107" i="17"/>
  <c r="X107" i="17"/>
  <c r="W107" i="17"/>
  <c r="V107" i="17"/>
  <c r="AO106" i="17"/>
  <c r="AN106" i="17"/>
  <c r="AM106" i="17"/>
  <c r="AL106" i="17"/>
  <c r="AK106" i="17"/>
  <c r="AJ106" i="17"/>
  <c r="AI106" i="17"/>
  <c r="AH106" i="17"/>
  <c r="AG106" i="17"/>
  <c r="AF106" i="17"/>
  <c r="AE106" i="17"/>
  <c r="AD106" i="17"/>
  <c r="AC106" i="17"/>
  <c r="AB106" i="17"/>
  <c r="AA106" i="17"/>
  <c r="Z106" i="17"/>
  <c r="Y106" i="17"/>
  <c r="X106" i="17"/>
  <c r="W106" i="17"/>
  <c r="V106" i="17"/>
  <c r="AO105" i="17"/>
  <c r="AN105" i="17"/>
  <c r="AM105" i="17"/>
  <c r="AL105" i="17"/>
  <c r="AK105" i="17"/>
  <c r="AJ105" i="17"/>
  <c r="AI105" i="17"/>
  <c r="AH105" i="17"/>
  <c r="AG105" i="17"/>
  <c r="AF105" i="17"/>
  <c r="AE105" i="17"/>
  <c r="AD105" i="17"/>
  <c r="AC105" i="17"/>
  <c r="AB105" i="17"/>
  <c r="AA105" i="17"/>
  <c r="Z105" i="17"/>
  <c r="Y105" i="17"/>
  <c r="X105" i="17"/>
  <c r="W105" i="17"/>
  <c r="V105" i="17"/>
  <c r="AO104" i="17"/>
  <c r="AN104" i="17"/>
  <c r="AM104" i="17"/>
  <c r="AL104" i="17"/>
  <c r="AK104" i="17"/>
  <c r="AJ104" i="17"/>
  <c r="AI104" i="17"/>
  <c r="AH104" i="17"/>
  <c r="AG104" i="17"/>
  <c r="AF104" i="17"/>
  <c r="AE104" i="17"/>
  <c r="AD104" i="17"/>
  <c r="AC104" i="17"/>
  <c r="AB104" i="17"/>
  <c r="AA104" i="17"/>
  <c r="Z104" i="17"/>
  <c r="Y104" i="17"/>
  <c r="X104" i="17"/>
  <c r="W104" i="17"/>
  <c r="V104" i="17"/>
  <c r="AO103" i="17"/>
  <c r="AN103" i="17"/>
  <c r="AM103" i="17"/>
  <c r="AL103" i="17"/>
  <c r="AK103" i="17"/>
  <c r="AJ103" i="17"/>
  <c r="AI103" i="17"/>
  <c r="AH103" i="17"/>
  <c r="AG103" i="17"/>
  <c r="AF103" i="17"/>
  <c r="AE103" i="17"/>
  <c r="AD103" i="17"/>
  <c r="AC103" i="17"/>
  <c r="AB103" i="17"/>
  <c r="AA103" i="17"/>
  <c r="Z103" i="17"/>
  <c r="Y103" i="17"/>
  <c r="X103" i="17"/>
  <c r="W103" i="17"/>
  <c r="V103" i="17"/>
  <c r="AO102" i="17"/>
  <c r="AN102" i="17"/>
  <c r="AM102" i="17"/>
  <c r="AL102" i="17"/>
  <c r="AK102" i="17"/>
  <c r="AJ102" i="17"/>
  <c r="AI102" i="17"/>
  <c r="AH102" i="17"/>
  <c r="AG102" i="17"/>
  <c r="AF102" i="17"/>
  <c r="AE102" i="17"/>
  <c r="AD102" i="17"/>
  <c r="AC102" i="17"/>
  <c r="AB102" i="17"/>
  <c r="AA102" i="17"/>
  <c r="Z102" i="17"/>
  <c r="Y102" i="17"/>
  <c r="X102" i="17"/>
  <c r="W102" i="17"/>
  <c r="V102" i="17"/>
  <c r="AO101" i="17"/>
  <c r="AN101" i="17"/>
  <c r="AM101" i="17"/>
  <c r="AL101" i="17"/>
  <c r="AK101" i="17"/>
  <c r="AJ101" i="17"/>
  <c r="AI101" i="17"/>
  <c r="AH101" i="17"/>
  <c r="AG101" i="17"/>
  <c r="AF101" i="17"/>
  <c r="AE101" i="17"/>
  <c r="AD101" i="17"/>
  <c r="AC101" i="17"/>
  <c r="AB101" i="17"/>
  <c r="AA101" i="17"/>
  <c r="Z101" i="17"/>
  <c r="Y101" i="17"/>
  <c r="X101" i="17"/>
  <c r="W101" i="17"/>
  <c r="V101" i="17"/>
  <c r="AO100" i="17"/>
  <c r="AN100" i="17"/>
  <c r="AM100" i="17"/>
  <c r="AL100" i="17"/>
  <c r="AK100" i="17"/>
  <c r="AJ100" i="17"/>
  <c r="AI100" i="17"/>
  <c r="AH100" i="17"/>
  <c r="AG100" i="17"/>
  <c r="AF100" i="17"/>
  <c r="AE100" i="17"/>
  <c r="AD100" i="17"/>
  <c r="AC100" i="17"/>
  <c r="AB100" i="17"/>
  <c r="AA100" i="17"/>
  <c r="Z100" i="17"/>
  <c r="Y100" i="17"/>
  <c r="X100" i="17"/>
  <c r="W100" i="17"/>
  <c r="V100" i="17"/>
  <c r="AV95" i="17"/>
  <c r="AV94" i="17"/>
  <c r="AC94" i="17"/>
  <c r="AA94" i="17"/>
  <c r="Y94" i="17"/>
  <c r="AV93" i="17"/>
  <c r="AC93" i="17"/>
  <c r="AV92" i="17"/>
  <c r="AV91" i="17"/>
  <c r="AV90" i="17"/>
  <c r="AC90" i="17"/>
  <c r="AB90" i="17"/>
  <c r="AV89" i="17"/>
  <c r="Y89" i="17"/>
  <c r="AV88" i="17"/>
  <c r="AV87" i="17"/>
  <c r="AA87" i="17"/>
  <c r="Y87" i="17"/>
  <c r="AV86" i="17"/>
  <c r="AV85" i="17"/>
  <c r="AV84" i="17"/>
  <c r="AV83" i="17"/>
  <c r="AV82" i="17"/>
  <c r="Z82" i="17"/>
  <c r="Y82" i="17"/>
  <c r="X82" i="17"/>
  <c r="W82" i="17"/>
  <c r="V82" i="17"/>
  <c r="AV81" i="17"/>
  <c r="Z81" i="17"/>
  <c r="Y81" i="17"/>
  <c r="X81" i="17"/>
  <c r="W81" i="17"/>
  <c r="V81" i="17"/>
  <c r="AV80" i="17"/>
  <c r="Z80" i="17"/>
  <c r="Y80" i="17"/>
  <c r="X80" i="17"/>
  <c r="W80" i="17"/>
  <c r="V80" i="17"/>
  <c r="AV79" i="17"/>
  <c r="Z79" i="17"/>
  <c r="Y79" i="17"/>
  <c r="X79" i="17"/>
  <c r="W79" i="17"/>
  <c r="V79" i="17"/>
  <c r="AV78" i="17"/>
  <c r="Z78" i="17"/>
  <c r="Y78" i="17"/>
  <c r="X78" i="17"/>
  <c r="W78" i="17"/>
  <c r="V78" i="17"/>
  <c r="AV77" i="17"/>
  <c r="Z77" i="17"/>
  <c r="Y77" i="17"/>
  <c r="X77" i="17"/>
  <c r="W77" i="17"/>
  <c r="V77" i="17"/>
  <c r="AV76" i="17"/>
  <c r="Z76" i="17"/>
  <c r="Y76" i="17"/>
  <c r="X76" i="17"/>
  <c r="W76" i="17"/>
  <c r="V76" i="17"/>
  <c r="AV75" i="17"/>
  <c r="Z75" i="17"/>
  <c r="Y75" i="17"/>
  <c r="X75" i="17"/>
  <c r="W75" i="17"/>
  <c r="V75" i="17"/>
  <c r="AV74" i="17"/>
  <c r="Z74" i="17"/>
  <c r="Y74" i="17"/>
  <c r="X74" i="17"/>
  <c r="W74" i="17"/>
  <c r="V74" i="17"/>
  <c r="AV73" i="17"/>
  <c r="Z73" i="17"/>
  <c r="Y73" i="17"/>
  <c r="X73" i="17"/>
  <c r="W73" i="17"/>
  <c r="V73" i="17"/>
  <c r="AV72" i="17"/>
  <c r="AV71" i="17"/>
  <c r="AV70" i="17"/>
  <c r="AV69" i="17"/>
  <c r="AV68" i="17"/>
  <c r="AA68" i="17"/>
  <c r="Z68" i="17"/>
  <c r="Y68" i="17"/>
  <c r="X68" i="17"/>
  <c r="W68" i="17"/>
  <c r="V68" i="17"/>
  <c r="AV67" i="17"/>
  <c r="AA67" i="17"/>
  <c r="Z67" i="17"/>
  <c r="Y67" i="17"/>
  <c r="X67" i="17"/>
  <c r="W67" i="17"/>
  <c r="V67" i="17"/>
  <c r="AV66" i="17"/>
  <c r="Z66" i="17"/>
  <c r="Y66" i="17"/>
  <c r="X66" i="17"/>
  <c r="W66" i="17"/>
  <c r="V66" i="17"/>
  <c r="AV65" i="17"/>
  <c r="AA65" i="17"/>
  <c r="Z65" i="17"/>
  <c r="Y65" i="17"/>
  <c r="X65" i="17"/>
  <c r="W65" i="17"/>
  <c r="V65" i="17"/>
  <c r="AV64" i="17"/>
  <c r="AA64" i="17"/>
  <c r="Z64" i="17"/>
  <c r="Y64" i="17"/>
  <c r="X64" i="17"/>
  <c r="W64" i="17"/>
  <c r="V64" i="17"/>
  <c r="AV63" i="17"/>
  <c r="AA63" i="17"/>
  <c r="Z63" i="17"/>
  <c r="Y63" i="17"/>
  <c r="X63" i="17"/>
  <c r="W63" i="17"/>
  <c r="V63" i="17"/>
  <c r="AV62" i="17"/>
  <c r="AA62" i="17"/>
  <c r="Z62" i="17"/>
  <c r="Y62" i="17"/>
  <c r="X62" i="17"/>
  <c r="W62" i="17"/>
  <c r="V62" i="17"/>
  <c r="AV61" i="17"/>
  <c r="AA61" i="17"/>
  <c r="Z61" i="17"/>
  <c r="Y61" i="17"/>
  <c r="X61" i="17"/>
  <c r="W61" i="17"/>
  <c r="V61" i="17"/>
  <c r="AV60" i="17"/>
  <c r="AA60" i="17"/>
  <c r="Z60" i="17"/>
  <c r="Y60" i="17"/>
  <c r="X60" i="17"/>
  <c r="W60" i="17"/>
  <c r="V60" i="17"/>
  <c r="AV59" i="17"/>
  <c r="AA59" i="17"/>
  <c r="Z59" i="17"/>
  <c r="Y59" i="17"/>
  <c r="X59" i="17"/>
  <c r="W59" i="17"/>
  <c r="V59" i="17"/>
  <c r="B59" i="17"/>
  <c r="AV58" i="17"/>
  <c r="AQ58" i="17"/>
  <c r="AA58" i="17"/>
  <c r="Z58" i="17"/>
  <c r="Y58" i="17"/>
  <c r="X58" i="17"/>
  <c r="W58" i="17"/>
  <c r="V58" i="17"/>
  <c r="AV57" i="17"/>
  <c r="AA57" i="17"/>
  <c r="Z57" i="17"/>
  <c r="Y57" i="17"/>
  <c r="X57" i="17"/>
  <c r="W57" i="17"/>
  <c r="V57" i="17"/>
  <c r="B57" i="17"/>
  <c r="AV56" i="17"/>
  <c r="AA56" i="17"/>
  <c r="Z56" i="17"/>
  <c r="Y56" i="17"/>
  <c r="X56" i="17"/>
  <c r="W56" i="17"/>
  <c r="V56" i="17"/>
  <c r="AV55" i="17"/>
  <c r="AV54" i="17"/>
  <c r="AV53" i="17"/>
  <c r="AV52" i="17"/>
  <c r="AV51" i="17"/>
  <c r="B47" i="17"/>
  <c r="AQ34" i="17" s="1"/>
  <c r="AP44" i="17"/>
  <c r="B44" i="17"/>
  <c r="AQ31" i="17" s="1"/>
  <c r="AP43" i="17"/>
  <c r="B58" i="17" s="1"/>
  <c r="AP42" i="17"/>
  <c r="X42" i="17"/>
  <c r="B42" i="17"/>
  <c r="AQ29" i="17" s="1"/>
  <c r="AP41" i="17"/>
  <c r="B56" i="17" s="1"/>
  <c r="X41" i="17"/>
  <c r="B41" i="17"/>
  <c r="AQ28" i="17" s="1"/>
  <c r="AP40" i="17"/>
  <c r="B55" i="17" s="1"/>
  <c r="X40" i="17"/>
  <c r="B40" i="17"/>
  <c r="X39" i="17"/>
  <c r="X38" i="17"/>
  <c r="X37" i="17"/>
  <c r="X36" i="17"/>
  <c r="X35" i="17"/>
  <c r="Q35" i="17"/>
  <c r="P35" i="17"/>
  <c r="E18" i="17" s="1"/>
  <c r="D35" i="17"/>
  <c r="B35" i="17"/>
  <c r="X34" i="17"/>
  <c r="J34" i="17"/>
  <c r="X33" i="17"/>
  <c r="X32" i="17"/>
  <c r="AG31" i="17"/>
  <c r="X31" i="17"/>
  <c r="AC30" i="17"/>
  <c r="O99" i="17" s="1"/>
  <c r="X30" i="17"/>
  <c r="X29" i="17"/>
  <c r="B29" i="17"/>
  <c r="AQ27" i="17" s="1"/>
  <c r="X28" i="17"/>
  <c r="B27" i="17"/>
  <c r="P25" i="17"/>
  <c r="I24" i="17" s="1"/>
  <c r="P24" i="17"/>
  <c r="G24" i="17"/>
  <c r="E24" i="17"/>
  <c r="C24" i="17"/>
  <c r="AB23" i="17"/>
  <c r="AA23" i="17"/>
  <c r="Z23" i="17"/>
  <c r="AC23" i="17" s="1"/>
  <c r="Y23" i="17"/>
  <c r="I23" i="17"/>
  <c r="G23" i="17"/>
  <c r="E23" i="17"/>
  <c r="C23" i="17"/>
  <c r="AB22" i="17"/>
  <c r="AA22" i="17"/>
  <c r="Z22" i="17"/>
  <c r="AC22" i="17" s="1"/>
  <c r="Y22" i="17"/>
  <c r="I22" i="17"/>
  <c r="G22" i="17"/>
  <c r="E22" i="17"/>
  <c r="C22" i="17"/>
  <c r="I21" i="17"/>
  <c r="G21" i="17"/>
  <c r="E21" i="17"/>
  <c r="C21" i="17"/>
  <c r="AQ20" i="17"/>
  <c r="AI20" i="17"/>
  <c r="I20" i="17"/>
  <c r="G20" i="17"/>
  <c r="AQ19" i="17"/>
  <c r="AI19" i="17"/>
  <c r="AQ18" i="17"/>
  <c r="AI18" i="17"/>
  <c r="AJ18" i="17" s="1"/>
  <c r="I18" i="17"/>
  <c r="AI17" i="17"/>
  <c r="AI16" i="17"/>
  <c r="AI15" i="17"/>
  <c r="AJ15" i="17" s="1"/>
  <c r="AQ14" i="17"/>
  <c r="AI14" i="17"/>
  <c r="I14" i="17"/>
  <c r="AQ13" i="17"/>
  <c r="AI13" i="17"/>
  <c r="AQ12" i="17"/>
  <c r="AI12" i="17"/>
  <c r="AJ12" i="17" s="1"/>
  <c r="AI11" i="17"/>
  <c r="AC11" i="17"/>
  <c r="AB11" i="17"/>
  <c r="AA11" i="17"/>
  <c r="Z11" i="17"/>
  <c r="Y11" i="17"/>
  <c r="AI10" i="17"/>
  <c r="AB10" i="17"/>
  <c r="AA10" i="17"/>
  <c r="Z10" i="17"/>
  <c r="AC10" i="17" s="1"/>
  <c r="AD8" i="17" s="1"/>
  <c r="AB36" i="17" s="1"/>
  <c r="AC31" i="17" s="1"/>
  <c r="Y10" i="17"/>
  <c r="AJ9" i="17"/>
  <c r="AI9" i="17"/>
  <c r="AB9" i="17"/>
  <c r="AA9" i="17"/>
  <c r="Z9" i="17"/>
  <c r="AC9" i="17" s="1"/>
  <c r="Y9" i="17"/>
  <c r="AQ8" i="17"/>
  <c r="B43" i="17" s="1"/>
  <c r="AQ30" i="17" s="1"/>
  <c r="AB8" i="17"/>
  <c r="AA8" i="17"/>
  <c r="Z8" i="17"/>
  <c r="AC8" i="17" s="1"/>
  <c r="Y8" i="17"/>
  <c r="AQ7" i="17"/>
  <c r="AQ6" i="17"/>
  <c r="AC30" i="16"/>
  <c r="AO179" i="16"/>
  <c r="AN179" i="16"/>
  <c r="AM179" i="16"/>
  <c r="AL179" i="16"/>
  <c r="AK179" i="16"/>
  <c r="AJ179" i="16"/>
  <c r="AI179" i="16"/>
  <c r="AH179" i="16"/>
  <c r="AG179" i="16"/>
  <c r="AF179" i="16"/>
  <c r="AE179" i="16"/>
  <c r="AD179" i="16"/>
  <c r="AC179" i="16"/>
  <c r="AB179" i="16"/>
  <c r="AA179" i="16"/>
  <c r="Z179" i="16"/>
  <c r="Y179" i="16"/>
  <c r="X179" i="16"/>
  <c r="W179" i="16"/>
  <c r="V179" i="16"/>
  <c r="AO178" i="16"/>
  <c r="AN178" i="16"/>
  <c r="AM178" i="16"/>
  <c r="AL178" i="16"/>
  <c r="AK178" i="16"/>
  <c r="AJ178" i="16"/>
  <c r="AI178" i="16"/>
  <c r="AH178" i="16"/>
  <c r="AG178" i="16"/>
  <c r="AF178" i="16"/>
  <c r="AE178" i="16"/>
  <c r="AD178" i="16"/>
  <c r="AC178" i="16"/>
  <c r="AB178" i="16"/>
  <c r="AA178" i="16"/>
  <c r="Z178" i="16"/>
  <c r="Y178" i="16"/>
  <c r="X178" i="16"/>
  <c r="W178" i="16"/>
  <c r="V178" i="16"/>
  <c r="AO177" i="16"/>
  <c r="AN177" i="16"/>
  <c r="AM177" i="16"/>
  <c r="AL177" i="16"/>
  <c r="AK177" i="16"/>
  <c r="AJ177" i="16"/>
  <c r="AI177" i="16"/>
  <c r="AH177" i="16"/>
  <c r="AG177" i="16"/>
  <c r="AF177" i="16"/>
  <c r="AE177" i="16"/>
  <c r="AD177" i="16"/>
  <c r="AC177" i="16"/>
  <c r="AB177" i="16"/>
  <c r="AA177" i="16"/>
  <c r="Z177" i="16"/>
  <c r="Y177" i="16"/>
  <c r="X177" i="16"/>
  <c r="W177" i="16"/>
  <c r="V177" i="16"/>
  <c r="AO176" i="16"/>
  <c r="AN176" i="16"/>
  <c r="AM176" i="16"/>
  <c r="AL176" i="16"/>
  <c r="AK176" i="16"/>
  <c r="AJ176" i="16"/>
  <c r="AI176" i="16"/>
  <c r="AH176" i="16"/>
  <c r="AG176" i="16"/>
  <c r="AF176" i="16"/>
  <c r="AE176" i="16"/>
  <c r="AD176" i="16"/>
  <c r="AC176" i="16"/>
  <c r="AB176" i="16"/>
  <c r="AA176" i="16"/>
  <c r="Z176" i="16"/>
  <c r="Y176" i="16"/>
  <c r="X176" i="16"/>
  <c r="W176" i="16"/>
  <c r="V176" i="16"/>
  <c r="AO175" i="16"/>
  <c r="AN175" i="16"/>
  <c r="AM175" i="16"/>
  <c r="AL175" i="16"/>
  <c r="AK175" i="16"/>
  <c r="AJ175" i="16"/>
  <c r="AI175" i="16"/>
  <c r="AH175" i="16"/>
  <c r="AG175" i="16"/>
  <c r="AF175" i="16"/>
  <c r="AE175" i="16"/>
  <c r="AD175" i="16"/>
  <c r="AC175" i="16"/>
  <c r="AB175" i="16"/>
  <c r="AA175" i="16"/>
  <c r="Z175" i="16"/>
  <c r="Y175" i="16"/>
  <c r="X175" i="16"/>
  <c r="W175" i="16"/>
  <c r="V175" i="16"/>
  <c r="AO174" i="16"/>
  <c r="AN174" i="16"/>
  <c r="AM174" i="16"/>
  <c r="AL174" i="16"/>
  <c r="AK174" i="16"/>
  <c r="AJ174" i="16"/>
  <c r="AI174" i="16"/>
  <c r="AH174" i="16"/>
  <c r="AG174" i="16"/>
  <c r="AF174" i="16"/>
  <c r="AE174" i="16"/>
  <c r="AD174" i="16"/>
  <c r="AC174" i="16"/>
  <c r="AB174" i="16"/>
  <c r="AA174" i="16"/>
  <c r="Z174" i="16"/>
  <c r="Y174" i="16"/>
  <c r="X174" i="16"/>
  <c r="W174" i="16"/>
  <c r="V174" i="16"/>
  <c r="AO173" i="16"/>
  <c r="AN173" i="16"/>
  <c r="AM173" i="16"/>
  <c r="AL173" i="16"/>
  <c r="AK173" i="16"/>
  <c r="AJ173" i="16"/>
  <c r="AI173" i="16"/>
  <c r="AH173" i="16"/>
  <c r="AG173" i="16"/>
  <c r="AF173" i="16"/>
  <c r="AE173" i="16"/>
  <c r="AD173" i="16"/>
  <c r="AC173" i="16"/>
  <c r="AB173" i="16"/>
  <c r="AA173" i="16"/>
  <c r="Z173" i="16"/>
  <c r="Y173" i="16"/>
  <c r="X173" i="16"/>
  <c r="W173" i="16"/>
  <c r="V173" i="16"/>
  <c r="AO172" i="16"/>
  <c r="AN172" i="16"/>
  <c r="AM172" i="16"/>
  <c r="AL172" i="16"/>
  <c r="AK172" i="16"/>
  <c r="AJ172" i="16"/>
  <c r="AI172" i="16"/>
  <c r="AH172" i="16"/>
  <c r="AG172" i="16"/>
  <c r="AF172" i="16"/>
  <c r="AE172" i="16"/>
  <c r="AD172" i="16"/>
  <c r="AC172" i="16"/>
  <c r="AB172" i="16"/>
  <c r="AA172" i="16"/>
  <c r="Z172" i="16"/>
  <c r="Y172" i="16"/>
  <c r="X172" i="16"/>
  <c r="W172" i="16"/>
  <c r="V172" i="16"/>
  <c r="AO171" i="16"/>
  <c r="AN171" i="16"/>
  <c r="AM171" i="16"/>
  <c r="AL171" i="16"/>
  <c r="AK171" i="16"/>
  <c r="AJ171" i="16"/>
  <c r="AI171" i="16"/>
  <c r="AH171" i="16"/>
  <c r="AG171" i="16"/>
  <c r="AF171" i="16"/>
  <c r="AE171" i="16"/>
  <c r="AD171" i="16"/>
  <c r="AC171" i="16"/>
  <c r="AB171" i="16"/>
  <c r="AA171" i="16"/>
  <c r="Z171" i="16"/>
  <c r="Y171" i="16"/>
  <c r="X171" i="16"/>
  <c r="W171" i="16"/>
  <c r="V171" i="16"/>
  <c r="AO170" i="16"/>
  <c r="AN170" i="16"/>
  <c r="AM170" i="16"/>
  <c r="AL170" i="16"/>
  <c r="AK170" i="16"/>
  <c r="AJ170" i="16"/>
  <c r="AI170" i="16"/>
  <c r="AH170" i="16"/>
  <c r="AG170" i="16"/>
  <c r="AF170" i="16"/>
  <c r="AE170" i="16"/>
  <c r="AD170" i="16"/>
  <c r="AC170" i="16"/>
  <c r="AB170" i="16"/>
  <c r="AA170" i="16"/>
  <c r="Z170" i="16"/>
  <c r="Y170" i="16"/>
  <c r="X170" i="16"/>
  <c r="W170" i="16"/>
  <c r="V170" i="16"/>
  <c r="AO169" i="16"/>
  <c r="AN169" i="16"/>
  <c r="AM169" i="16"/>
  <c r="AL169" i="16"/>
  <c r="AK169" i="16"/>
  <c r="AJ169" i="16"/>
  <c r="AI169" i="16"/>
  <c r="AH169" i="16"/>
  <c r="AG169" i="16"/>
  <c r="AF169" i="16"/>
  <c r="AE169" i="16"/>
  <c r="AD169" i="16"/>
  <c r="AC169" i="16"/>
  <c r="AB169" i="16"/>
  <c r="AA169" i="16"/>
  <c r="Z169" i="16"/>
  <c r="Y169" i="16"/>
  <c r="X169" i="16"/>
  <c r="W169" i="16"/>
  <c r="V169" i="16"/>
  <c r="AO168" i="16"/>
  <c r="AN168" i="16"/>
  <c r="AM168" i="16"/>
  <c r="AL168" i="16"/>
  <c r="X95" i="16" s="1"/>
  <c r="AK168" i="16"/>
  <c r="AJ168" i="16"/>
  <c r="AI168" i="16"/>
  <c r="AH168" i="16"/>
  <c r="AG168" i="16"/>
  <c r="AF168" i="16"/>
  <c r="AE168" i="16"/>
  <c r="AD168" i="16"/>
  <c r="AD95" i="16" s="1"/>
  <c r="AC168" i="16"/>
  <c r="AB168" i="16"/>
  <c r="AA168" i="16"/>
  <c r="Z168" i="16"/>
  <c r="Z95" i="16" s="1"/>
  <c r="Y168" i="16"/>
  <c r="Y95" i="16" s="1"/>
  <c r="X168" i="16"/>
  <c r="W168" i="16"/>
  <c r="W95" i="16" s="1"/>
  <c r="V168" i="16"/>
  <c r="V95" i="16" s="1"/>
  <c r="AO167" i="16"/>
  <c r="AN167" i="16"/>
  <c r="AM167" i="16"/>
  <c r="AL167" i="16"/>
  <c r="X94" i="16" s="1"/>
  <c r="AK167" i="16"/>
  <c r="AJ167" i="16"/>
  <c r="AI167" i="16"/>
  <c r="AH167" i="16"/>
  <c r="AG167" i="16"/>
  <c r="AF167" i="16"/>
  <c r="AE167" i="16"/>
  <c r="AD167" i="16"/>
  <c r="AD94" i="16" s="1"/>
  <c r="AC167" i="16"/>
  <c r="AC94" i="16" s="1"/>
  <c r="AB167" i="16"/>
  <c r="AA167" i="16"/>
  <c r="AA94" i="16" s="1"/>
  <c r="Z167" i="16"/>
  <c r="Z94" i="16" s="1"/>
  <c r="Y167" i="16"/>
  <c r="Y94" i="16" s="1"/>
  <c r="X167" i="16"/>
  <c r="W167" i="16"/>
  <c r="W94" i="16" s="1"/>
  <c r="V167" i="16"/>
  <c r="V94" i="16" s="1"/>
  <c r="AO166" i="16"/>
  <c r="AN166" i="16"/>
  <c r="AM166" i="16"/>
  <c r="AL166" i="16"/>
  <c r="X93" i="16" s="1"/>
  <c r="AK166" i="16"/>
  <c r="AJ166" i="16"/>
  <c r="AI166" i="16"/>
  <c r="AH166" i="16"/>
  <c r="AG166" i="16"/>
  <c r="AF166" i="16"/>
  <c r="AE166" i="16"/>
  <c r="AD166" i="16"/>
  <c r="AD93" i="16" s="1"/>
  <c r="AC166" i="16"/>
  <c r="AB166" i="16"/>
  <c r="AA166" i="16"/>
  <c r="AA93" i="16" s="1"/>
  <c r="Z166" i="16"/>
  <c r="Z93" i="16" s="1"/>
  <c r="Y166" i="16"/>
  <c r="Y93" i="16" s="1"/>
  <c r="X166" i="16"/>
  <c r="W166" i="16"/>
  <c r="V166" i="16"/>
  <c r="V93" i="16" s="1"/>
  <c r="AO165" i="16"/>
  <c r="AN165" i="16"/>
  <c r="AM165" i="16"/>
  <c r="AL165" i="16"/>
  <c r="X92" i="16" s="1"/>
  <c r="AK165" i="16"/>
  <c r="AJ165" i="16"/>
  <c r="AI165" i="16"/>
  <c r="AH165" i="16"/>
  <c r="AG165" i="16"/>
  <c r="AF165" i="16"/>
  <c r="AE165" i="16"/>
  <c r="AD165" i="16"/>
  <c r="AD92" i="16" s="1"/>
  <c r="AC165" i="16"/>
  <c r="AC92" i="16" s="1"/>
  <c r="AB165" i="16"/>
  <c r="AA165" i="16"/>
  <c r="AA92" i="16" s="1"/>
  <c r="Z165" i="16"/>
  <c r="Z92" i="16" s="1"/>
  <c r="Y165" i="16"/>
  <c r="Y92" i="16" s="1"/>
  <c r="X165" i="16"/>
  <c r="W165" i="16"/>
  <c r="W92" i="16" s="1"/>
  <c r="V165" i="16"/>
  <c r="V92" i="16" s="1"/>
  <c r="AO164" i="16"/>
  <c r="AN164" i="16"/>
  <c r="AM164" i="16"/>
  <c r="AL164" i="16"/>
  <c r="X91" i="16" s="1"/>
  <c r="AK164" i="16"/>
  <c r="AJ164" i="16"/>
  <c r="AI164" i="16"/>
  <c r="AH164" i="16"/>
  <c r="AG164" i="16"/>
  <c r="AF164" i="16"/>
  <c r="AE164" i="16"/>
  <c r="AD164" i="16"/>
  <c r="AD91" i="16" s="1"/>
  <c r="AC164" i="16"/>
  <c r="AC91" i="16" s="1"/>
  <c r="AB164" i="16"/>
  <c r="AB91" i="16" s="1"/>
  <c r="AA164" i="16"/>
  <c r="Z164" i="16"/>
  <c r="Z91" i="16" s="1"/>
  <c r="Y164" i="16"/>
  <c r="Y91" i="16" s="1"/>
  <c r="X164" i="16"/>
  <c r="W164" i="16"/>
  <c r="W91" i="16" s="1"/>
  <c r="V164" i="16"/>
  <c r="V91" i="16" s="1"/>
  <c r="AO163" i="16"/>
  <c r="AN163" i="16"/>
  <c r="AM163" i="16"/>
  <c r="AL163" i="16"/>
  <c r="X90" i="16" s="1"/>
  <c r="AK163" i="16"/>
  <c r="AJ163" i="16"/>
  <c r="AI163" i="16"/>
  <c r="AH163" i="16"/>
  <c r="AG163" i="16"/>
  <c r="AF163" i="16"/>
  <c r="AE163" i="16"/>
  <c r="AD163" i="16"/>
  <c r="AD90" i="16" s="1"/>
  <c r="AC163" i="16"/>
  <c r="AC90" i="16" s="1"/>
  <c r="AB163" i="16"/>
  <c r="AA163" i="16"/>
  <c r="AA90" i="16" s="1"/>
  <c r="Z163" i="16"/>
  <c r="Z90" i="16" s="1"/>
  <c r="Y163" i="16"/>
  <c r="X163" i="16"/>
  <c r="W163" i="16"/>
  <c r="W90" i="16" s="1"/>
  <c r="V163" i="16"/>
  <c r="V90" i="16" s="1"/>
  <c r="AO162" i="16"/>
  <c r="AN162" i="16"/>
  <c r="AM162" i="16"/>
  <c r="AL162" i="16"/>
  <c r="X89" i="16" s="1"/>
  <c r="AK162" i="16"/>
  <c r="AJ162" i="16"/>
  <c r="AI162" i="16"/>
  <c r="AH162" i="16"/>
  <c r="AG162" i="16"/>
  <c r="AF162" i="16"/>
  <c r="AE162" i="16"/>
  <c r="AD162" i="16"/>
  <c r="AD89" i="16" s="1"/>
  <c r="AC162" i="16"/>
  <c r="AC89" i="16" s="1"/>
  <c r="AB162" i="16"/>
  <c r="AB89" i="16" s="1"/>
  <c r="AA162" i="16"/>
  <c r="AA89" i="16" s="1"/>
  <c r="Z162" i="16"/>
  <c r="Z89" i="16" s="1"/>
  <c r="Y162" i="16"/>
  <c r="Y89" i="16" s="1"/>
  <c r="X162" i="16"/>
  <c r="W162" i="16"/>
  <c r="W89" i="16" s="1"/>
  <c r="V162" i="16"/>
  <c r="V89" i="16" s="1"/>
  <c r="AO161" i="16"/>
  <c r="AN161" i="16"/>
  <c r="AM161" i="16"/>
  <c r="AL161" i="16"/>
  <c r="X88" i="16" s="1"/>
  <c r="AK161" i="16"/>
  <c r="AJ161" i="16"/>
  <c r="AI161" i="16"/>
  <c r="AH161" i="16"/>
  <c r="AG161" i="16"/>
  <c r="AF161" i="16"/>
  <c r="AE161" i="16"/>
  <c r="AD161" i="16"/>
  <c r="AD88" i="16" s="1"/>
  <c r="AC161" i="16"/>
  <c r="AC88" i="16" s="1"/>
  <c r="AB161" i="16"/>
  <c r="AB88" i="16" s="1"/>
  <c r="AA161" i="16"/>
  <c r="AA88" i="16" s="1"/>
  <c r="Z161" i="16"/>
  <c r="Z88" i="16" s="1"/>
  <c r="Y161" i="16"/>
  <c r="Y88" i="16" s="1"/>
  <c r="X161" i="16"/>
  <c r="W161" i="16"/>
  <c r="W88" i="16" s="1"/>
  <c r="V161" i="16"/>
  <c r="V88" i="16" s="1"/>
  <c r="AO160" i="16"/>
  <c r="AN160" i="16"/>
  <c r="AM160" i="16"/>
  <c r="AL160" i="16"/>
  <c r="X87" i="16" s="1"/>
  <c r="AK160" i="16"/>
  <c r="AJ160" i="16"/>
  <c r="AI160" i="16"/>
  <c r="AH160" i="16"/>
  <c r="AG160" i="16"/>
  <c r="AF160" i="16"/>
  <c r="AE160" i="16"/>
  <c r="AD160" i="16"/>
  <c r="AD87" i="16" s="1"/>
  <c r="AC160" i="16"/>
  <c r="AC87" i="16" s="1"/>
  <c r="AB160" i="16"/>
  <c r="AB87" i="16" s="1"/>
  <c r="AA160" i="16"/>
  <c r="AA87" i="16" s="1"/>
  <c r="Z160" i="16"/>
  <c r="Z87" i="16" s="1"/>
  <c r="Y160" i="16"/>
  <c r="Y87" i="16" s="1"/>
  <c r="X160" i="16"/>
  <c r="W160" i="16"/>
  <c r="V160" i="16"/>
  <c r="V87" i="16" s="1"/>
  <c r="AO159" i="16"/>
  <c r="AN159" i="16"/>
  <c r="AM159" i="16"/>
  <c r="AL159" i="16"/>
  <c r="AK159" i="16"/>
  <c r="AJ159" i="16"/>
  <c r="AI159" i="16"/>
  <c r="AH159" i="16"/>
  <c r="AG159" i="16"/>
  <c r="AF159" i="16"/>
  <c r="AE159" i="16"/>
  <c r="AD159" i="16"/>
  <c r="AC159" i="16"/>
  <c r="AB159" i="16"/>
  <c r="AA159" i="16"/>
  <c r="Z159" i="16"/>
  <c r="Y159" i="16"/>
  <c r="X159" i="16"/>
  <c r="W159" i="16"/>
  <c r="V159" i="16"/>
  <c r="AO158" i="16"/>
  <c r="AN158" i="16"/>
  <c r="AM158" i="16"/>
  <c r="AL158" i="16"/>
  <c r="AK158" i="16"/>
  <c r="AJ158" i="16"/>
  <c r="AI158" i="16"/>
  <c r="AH158" i="16"/>
  <c r="AG158" i="16"/>
  <c r="AF158" i="16"/>
  <c r="AE158" i="16"/>
  <c r="AD158" i="16"/>
  <c r="AC158" i="16"/>
  <c r="AB158" i="16"/>
  <c r="AA158" i="16"/>
  <c r="Z158" i="16"/>
  <c r="Y158" i="16"/>
  <c r="X158" i="16"/>
  <c r="W158" i="16"/>
  <c r="V158" i="16"/>
  <c r="AO157" i="16"/>
  <c r="AN157" i="16"/>
  <c r="AM157" i="16"/>
  <c r="AL157" i="16"/>
  <c r="AK157" i="16"/>
  <c r="AJ157" i="16"/>
  <c r="AI157" i="16"/>
  <c r="AH157" i="16"/>
  <c r="AG157" i="16"/>
  <c r="AF157" i="16"/>
  <c r="AE157" i="16"/>
  <c r="AD157" i="16"/>
  <c r="AC157" i="16"/>
  <c r="AB157" i="16"/>
  <c r="AA157" i="16"/>
  <c r="Z157" i="16"/>
  <c r="Y157" i="16"/>
  <c r="X157" i="16"/>
  <c r="W157" i="16"/>
  <c r="V157" i="16"/>
  <c r="AO156" i="16"/>
  <c r="AN156" i="16"/>
  <c r="AM156" i="16"/>
  <c r="AL156" i="16"/>
  <c r="AK156" i="16"/>
  <c r="AJ156" i="16"/>
  <c r="AI156" i="16"/>
  <c r="AH156" i="16"/>
  <c r="AG156" i="16"/>
  <c r="AF156" i="16"/>
  <c r="AE156" i="16"/>
  <c r="AD156" i="16"/>
  <c r="AC156" i="16"/>
  <c r="AB156" i="16"/>
  <c r="AA156" i="16"/>
  <c r="Z156" i="16"/>
  <c r="Y156" i="16"/>
  <c r="X156" i="16"/>
  <c r="W156" i="16"/>
  <c r="V156" i="16"/>
  <c r="AO155" i="16"/>
  <c r="AN155" i="16"/>
  <c r="AM155" i="16"/>
  <c r="AL155" i="16"/>
  <c r="AK155" i="16"/>
  <c r="AJ155" i="16"/>
  <c r="AI155" i="16"/>
  <c r="AH155" i="16"/>
  <c r="AG155" i="16"/>
  <c r="AF155" i="16"/>
  <c r="AE155" i="16"/>
  <c r="AD155" i="16"/>
  <c r="AC155" i="16"/>
  <c r="AB155" i="16"/>
  <c r="AA155" i="16"/>
  <c r="Z155" i="16"/>
  <c r="Y155" i="16"/>
  <c r="X155" i="16"/>
  <c r="W155" i="16"/>
  <c r="V155" i="16"/>
  <c r="AO154" i="16"/>
  <c r="AN154" i="16"/>
  <c r="AM154" i="16"/>
  <c r="AL154" i="16"/>
  <c r="AK154" i="16"/>
  <c r="AJ154" i="16"/>
  <c r="AI154" i="16"/>
  <c r="AH154" i="16"/>
  <c r="AG154" i="16"/>
  <c r="AF154" i="16"/>
  <c r="AE154" i="16"/>
  <c r="AD154" i="16"/>
  <c r="AC154" i="16"/>
  <c r="AB154" i="16"/>
  <c r="AA154" i="16"/>
  <c r="Z154" i="16"/>
  <c r="Y154" i="16"/>
  <c r="X154" i="16"/>
  <c r="W154" i="16"/>
  <c r="V154" i="16"/>
  <c r="AO153" i="16"/>
  <c r="AN153" i="16"/>
  <c r="AM153" i="16"/>
  <c r="AL153" i="16"/>
  <c r="AK153" i="16"/>
  <c r="AJ153" i="16"/>
  <c r="AI153" i="16"/>
  <c r="AH153" i="16"/>
  <c r="AG153" i="16"/>
  <c r="AF153" i="16"/>
  <c r="AE153" i="16"/>
  <c r="AD153" i="16"/>
  <c r="AC153" i="16"/>
  <c r="AB153" i="16"/>
  <c r="AA153" i="16"/>
  <c r="Z153" i="16"/>
  <c r="Y153" i="16"/>
  <c r="X153" i="16"/>
  <c r="W153" i="16"/>
  <c r="V153" i="16"/>
  <c r="AO152" i="16"/>
  <c r="AN152" i="16"/>
  <c r="AM152" i="16"/>
  <c r="AL152" i="16"/>
  <c r="AK152" i="16"/>
  <c r="AJ152" i="16"/>
  <c r="AI152" i="16"/>
  <c r="AH152" i="16"/>
  <c r="AG152" i="16"/>
  <c r="AF152" i="16"/>
  <c r="AE152" i="16"/>
  <c r="AD152" i="16"/>
  <c r="AC152" i="16"/>
  <c r="AB152" i="16"/>
  <c r="AA152" i="16"/>
  <c r="Z152" i="16"/>
  <c r="Y152" i="16"/>
  <c r="X152" i="16"/>
  <c r="W152" i="16"/>
  <c r="V152" i="16"/>
  <c r="AO151" i="16"/>
  <c r="AN151" i="16"/>
  <c r="AM151" i="16"/>
  <c r="AL151" i="16"/>
  <c r="AK151" i="16"/>
  <c r="AJ151" i="16"/>
  <c r="AI151" i="16"/>
  <c r="AH151" i="16"/>
  <c r="AG151" i="16"/>
  <c r="AF151" i="16"/>
  <c r="AE151" i="16"/>
  <c r="AD151" i="16"/>
  <c r="AC151" i="16"/>
  <c r="AB151" i="16"/>
  <c r="AA151" i="16"/>
  <c r="Z151" i="16"/>
  <c r="Y151" i="16"/>
  <c r="X151" i="16"/>
  <c r="W151" i="16"/>
  <c r="V151" i="16"/>
  <c r="AO150" i="16"/>
  <c r="AN150" i="16"/>
  <c r="AM150" i="16"/>
  <c r="AL150" i="16"/>
  <c r="AK150" i="16"/>
  <c r="AJ150" i="16"/>
  <c r="AI150" i="16"/>
  <c r="AH150" i="16"/>
  <c r="AG150" i="16"/>
  <c r="AF150" i="16"/>
  <c r="AE150" i="16"/>
  <c r="AD150" i="16"/>
  <c r="AC150" i="16"/>
  <c r="AB150" i="16"/>
  <c r="AA150" i="16"/>
  <c r="Z150" i="16"/>
  <c r="Y150" i="16"/>
  <c r="X150" i="16"/>
  <c r="W150" i="16"/>
  <c r="V150" i="16"/>
  <c r="AO149" i="16"/>
  <c r="AN149" i="16"/>
  <c r="AM149" i="16"/>
  <c r="AL149" i="16"/>
  <c r="AK149" i="16"/>
  <c r="AJ149" i="16"/>
  <c r="AI149" i="16"/>
  <c r="AH149" i="16"/>
  <c r="AG149" i="16"/>
  <c r="AF149" i="16"/>
  <c r="AE149" i="16"/>
  <c r="AD149" i="16"/>
  <c r="AC149" i="16"/>
  <c r="AB149" i="16"/>
  <c r="AA149" i="16"/>
  <c r="Z149" i="16"/>
  <c r="Y149" i="16"/>
  <c r="X149" i="16"/>
  <c r="W149" i="16"/>
  <c r="V149" i="16"/>
  <c r="AO148" i="16"/>
  <c r="AN148" i="16"/>
  <c r="AM148" i="16"/>
  <c r="AL148" i="16"/>
  <c r="AK148" i="16"/>
  <c r="AJ148" i="16"/>
  <c r="AI148" i="16"/>
  <c r="AH148" i="16"/>
  <c r="AG148" i="16"/>
  <c r="AF148" i="16"/>
  <c r="AE148" i="16"/>
  <c r="AD148" i="16"/>
  <c r="AC148" i="16"/>
  <c r="AB148" i="16"/>
  <c r="AA148" i="16"/>
  <c r="Z148" i="16"/>
  <c r="Y148" i="16"/>
  <c r="X148" i="16"/>
  <c r="W148" i="16"/>
  <c r="V148" i="16"/>
  <c r="AO147" i="16"/>
  <c r="AN147" i="16"/>
  <c r="AM147" i="16"/>
  <c r="AL147" i="16"/>
  <c r="AK147" i="16"/>
  <c r="AJ147" i="16"/>
  <c r="AI147" i="16"/>
  <c r="AH147" i="16"/>
  <c r="AG147" i="16"/>
  <c r="AF147" i="16"/>
  <c r="AE147" i="16"/>
  <c r="AD147" i="16"/>
  <c r="AC147" i="16"/>
  <c r="AB147" i="16"/>
  <c r="AA147" i="16"/>
  <c r="Z147" i="16"/>
  <c r="Y147" i="16"/>
  <c r="X147" i="16"/>
  <c r="W147" i="16"/>
  <c r="V147" i="16"/>
  <c r="AO146" i="16"/>
  <c r="AN146" i="16"/>
  <c r="AM146" i="16"/>
  <c r="AL146" i="16"/>
  <c r="AK146" i="16"/>
  <c r="AJ146" i="16"/>
  <c r="AI146" i="16"/>
  <c r="AH146" i="16"/>
  <c r="AG146" i="16"/>
  <c r="AF146" i="16"/>
  <c r="AE146" i="16"/>
  <c r="AD146" i="16"/>
  <c r="AC146" i="16"/>
  <c r="AB146" i="16"/>
  <c r="AA146" i="16"/>
  <c r="Z146" i="16"/>
  <c r="Y146" i="16"/>
  <c r="X146" i="16"/>
  <c r="W146" i="16"/>
  <c r="V146" i="16"/>
  <c r="AO145" i="16"/>
  <c r="AN145" i="16"/>
  <c r="AM145" i="16"/>
  <c r="AL145" i="16"/>
  <c r="AK145" i="16"/>
  <c r="AJ145" i="16"/>
  <c r="AI145" i="16"/>
  <c r="AH145" i="16"/>
  <c r="AG145" i="16"/>
  <c r="AF145" i="16"/>
  <c r="AE145" i="16"/>
  <c r="AD145" i="16"/>
  <c r="AC145" i="16"/>
  <c r="AB145" i="16"/>
  <c r="AA145" i="16"/>
  <c r="Z145" i="16"/>
  <c r="Y145" i="16"/>
  <c r="X145" i="16"/>
  <c r="W145" i="16"/>
  <c r="V145" i="16"/>
  <c r="AO144" i="16"/>
  <c r="AN144" i="16"/>
  <c r="AM144" i="16"/>
  <c r="AL144" i="16"/>
  <c r="AK144" i="16"/>
  <c r="AJ144" i="16"/>
  <c r="AI144" i="16"/>
  <c r="AH144" i="16"/>
  <c r="AG144" i="16"/>
  <c r="AF144" i="16"/>
  <c r="AE144" i="16"/>
  <c r="AD144" i="16"/>
  <c r="AC144" i="16"/>
  <c r="AB144" i="16"/>
  <c r="AA144" i="16"/>
  <c r="Z144" i="16"/>
  <c r="Y144" i="16"/>
  <c r="X144" i="16"/>
  <c r="W144" i="16"/>
  <c r="V144" i="16"/>
  <c r="AO143" i="16"/>
  <c r="AN143" i="16"/>
  <c r="AM143" i="16"/>
  <c r="AL143" i="16"/>
  <c r="AK143" i="16"/>
  <c r="AJ143" i="16"/>
  <c r="AI143" i="16"/>
  <c r="AH143" i="16"/>
  <c r="AG143" i="16"/>
  <c r="AF143" i="16"/>
  <c r="AE143" i="16"/>
  <c r="AD143" i="16"/>
  <c r="AC143" i="16"/>
  <c r="AB143" i="16"/>
  <c r="AA143" i="16"/>
  <c r="Z143" i="16"/>
  <c r="Y143" i="16"/>
  <c r="X143" i="16"/>
  <c r="W143" i="16"/>
  <c r="V143" i="16"/>
  <c r="AO142" i="16"/>
  <c r="AN142" i="16"/>
  <c r="AM142" i="16"/>
  <c r="AL142" i="16"/>
  <c r="AK142" i="16"/>
  <c r="AJ142" i="16"/>
  <c r="AI142" i="16"/>
  <c r="AH142" i="16"/>
  <c r="AG142" i="16"/>
  <c r="AF142" i="16"/>
  <c r="AE142" i="16"/>
  <c r="AD142" i="16"/>
  <c r="AC142" i="16"/>
  <c r="AB142" i="16"/>
  <c r="AA142" i="16"/>
  <c r="Z142" i="16"/>
  <c r="Y142" i="16"/>
  <c r="X142" i="16"/>
  <c r="W142" i="16"/>
  <c r="V142" i="16"/>
  <c r="AO141" i="16"/>
  <c r="AN141" i="16"/>
  <c r="AM141" i="16"/>
  <c r="AL141" i="16"/>
  <c r="AK141" i="16"/>
  <c r="AJ141" i="16"/>
  <c r="AI141" i="16"/>
  <c r="AH141" i="16"/>
  <c r="AG141" i="16"/>
  <c r="AF141" i="16"/>
  <c r="AE141" i="16"/>
  <c r="AD141" i="16"/>
  <c r="AC141" i="16"/>
  <c r="AB141" i="16"/>
  <c r="AA141" i="16"/>
  <c r="Z141" i="16"/>
  <c r="Y141" i="16"/>
  <c r="X141" i="16"/>
  <c r="W141" i="16"/>
  <c r="V141" i="16"/>
  <c r="AO140" i="16"/>
  <c r="AN140" i="16"/>
  <c r="AM140" i="16"/>
  <c r="AL140" i="16"/>
  <c r="AK140" i="16"/>
  <c r="AJ140" i="16"/>
  <c r="AI140" i="16"/>
  <c r="AH140" i="16"/>
  <c r="AG140" i="16"/>
  <c r="AF140" i="16"/>
  <c r="AE140" i="16"/>
  <c r="AD140" i="16"/>
  <c r="AC140" i="16"/>
  <c r="AB140" i="16"/>
  <c r="AA140" i="16"/>
  <c r="Z140" i="16"/>
  <c r="Y140" i="16"/>
  <c r="X140" i="16"/>
  <c r="W140" i="16"/>
  <c r="V140" i="16"/>
  <c r="AO139" i="16"/>
  <c r="AN139" i="16"/>
  <c r="AM139" i="16"/>
  <c r="AL139" i="16"/>
  <c r="AK139" i="16"/>
  <c r="AJ139" i="16"/>
  <c r="AI139" i="16"/>
  <c r="AH139" i="16"/>
  <c r="AG139" i="16"/>
  <c r="AF139" i="16"/>
  <c r="AE139" i="16"/>
  <c r="AD139" i="16"/>
  <c r="AC139" i="16"/>
  <c r="AB139" i="16"/>
  <c r="AA139" i="16"/>
  <c r="Z139" i="16"/>
  <c r="Y139" i="16"/>
  <c r="X139" i="16"/>
  <c r="W139" i="16"/>
  <c r="V139" i="16"/>
  <c r="AO138" i="16"/>
  <c r="AN138" i="16"/>
  <c r="AM138" i="16"/>
  <c r="AL138" i="16"/>
  <c r="AK138" i="16"/>
  <c r="AJ138" i="16"/>
  <c r="AI138" i="16"/>
  <c r="AH138" i="16"/>
  <c r="AG138" i="16"/>
  <c r="AF138" i="16"/>
  <c r="AE138" i="16"/>
  <c r="AD138" i="16"/>
  <c r="AC138" i="16"/>
  <c r="AB138" i="16"/>
  <c r="AA138" i="16"/>
  <c r="Z138" i="16"/>
  <c r="Y138" i="16"/>
  <c r="X138" i="16"/>
  <c r="W138" i="16"/>
  <c r="V138" i="16"/>
  <c r="AO137" i="16"/>
  <c r="AN137" i="16"/>
  <c r="AM137" i="16"/>
  <c r="AL137" i="16"/>
  <c r="AK137" i="16"/>
  <c r="AJ137" i="16"/>
  <c r="AI137" i="16"/>
  <c r="AH137" i="16"/>
  <c r="AG137" i="16"/>
  <c r="AF137" i="16"/>
  <c r="AE137" i="16"/>
  <c r="AD137" i="16"/>
  <c r="AC137" i="16"/>
  <c r="AB137" i="16"/>
  <c r="AA137" i="16"/>
  <c r="Z137" i="16"/>
  <c r="Y137" i="16"/>
  <c r="X137" i="16"/>
  <c r="W137" i="16"/>
  <c r="V137" i="16"/>
  <c r="AO136" i="16"/>
  <c r="AN136" i="16"/>
  <c r="AM136" i="16"/>
  <c r="AL136" i="16"/>
  <c r="AK136" i="16"/>
  <c r="AJ136" i="16"/>
  <c r="AI136" i="16"/>
  <c r="AH136" i="16"/>
  <c r="AG136" i="16"/>
  <c r="AF136" i="16"/>
  <c r="AE136" i="16"/>
  <c r="AD136" i="16"/>
  <c r="AC136" i="16"/>
  <c r="AB136" i="16"/>
  <c r="AA136" i="16"/>
  <c r="Z136" i="16"/>
  <c r="Y136" i="16"/>
  <c r="X136" i="16"/>
  <c r="W136" i="16"/>
  <c r="V136" i="16"/>
  <c r="AO135" i="16"/>
  <c r="AN135" i="16"/>
  <c r="AM135" i="16"/>
  <c r="AL135" i="16"/>
  <c r="AK135" i="16"/>
  <c r="AJ135" i="16"/>
  <c r="AI135" i="16"/>
  <c r="AH135" i="16"/>
  <c r="AG135" i="16"/>
  <c r="AF135" i="16"/>
  <c r="AE135" i="16"/>
  <c r="AD135" i="16"/>
  <c r="AC135" i="16"/>
  <c r="AB135" i="16"/>
  <c r="AA135" i="16"/>
  <c r="Z135" i="16"/>
  <c r="Y135" i="16"/>
  <c r="X135" i="16"/>
  <c r="W135" i="16"/>
  <c r="V135" i="16"/>
  <c r="AO134" i="16"/>
  <c r="AN134" i="16"/>
  <c r="AM134" i="16"/>
  <c r="AL134" i="16"/>
  <c r="AK134" i="16"/>
  <c r="AJ134" i="16"/>
  <c r="AI134" i="16"/>
  <c r="AH134" i="16"/>
  <c r="AG134" i="16"/>
  <c r="AF134" i="16"/>
  <c r="AE134" i="16"/>
  <c r="AD134" i="16"/>
  <c r="AC134" i="16"/>
  <c r="AB134" i="16"/>
  <c r="AA134" i="16"/>
  <c r="Z134" i="16"/>
  <c r="Y134" i="16"/>
  <c r="X134" i="16"/>
  <c r="W134" i="16"/>
  <c r="V134" i="16"/>
  <c r="AO133" i="16"/>
  <c r="AN133" i="16"/>
  <c r="AM133" i="16"/>
  <c r="AL133" i="16"/>
  <c r="AK133" i="16"/>
  <c r="AJ133" i="16"/>
  <c r="AI133" i="16"/>
  <c r="AH133" i="16"/>
  <c r="AG133" i="16"/>
  <c r="AF133" i="16"/>
  <c r="AE133" i="16"/>
  <c r="AD133" i="16"/>
  <c r="AC133" i="16"/>
  <c r="AB133" i="16"/>
  <c r="AA133" i="16"/>
  <c r="Z133" i="16"/>
  <c r="Y133" i="16"/>
  <c r="X133" i="16"/>
  <c r="W133" i="16"/>
  <c r="V133" i="16"/>
  <c r="AO132" i="16"/>
  <c r="AN132" i="16"/>
  <c r="AM132" i="16"/>
  <c r="AL132" i="16"/>
  <c r="AK132" i="16"/>
  <c r="AJ132" i="16"/>
  <c r="AI132" i="16"/>
  <c r="AH132" i="16"/>
  <c r="AG132" i="16"/>
  <c r="AF132" i="16"/>
  <c r="AE132" i="16"/>
  <c r="AD132" i="16"/>
  <c r="AC132" i="16"/>
  <c r="AB132" i="16"/>
  <c r="AA132" i="16"/>
  <c r="Z132" i="16"/>
  <c r="Y132" i="16"/>
  <c r="X132" i="16"/>
  <c r="W132" i="16"/>
  <c r="V132" i="16"/>
  <c r="AO131" i="16"/>
  <c r="AN131" i="16"/>
  <c r="AM131" i="16"/>
  <c r="AL131" i="16"/>
  <c r="AK131" i="16"/>
  <c r="AJ131" i="16"/>
  <c r="AI131" i="16"/>
  <c r="AH131" i="16"/>
  <c r="AG131" i="16"/>
  <c r="AF131" i="16"/>
  <c r="AE131" i="16"/>
  <c r="AD131" i="16"/>
  <c r="AC131" i="16"/>
  <c r="AB131" i="16"/>
  <c r="AA131" i="16"/>
  <c r="Z131" i="16"/>
  <c r="Y131" i="16"/>
  <c r="X131" i="16"/>
  <c r="W131" i="16"/>
  <c r="V131" i="16"/>
  <c r="AO130" i="16"/>
  <c r="AN130" i="16"/>
  <c r="AM130" i="16"/>
  <c r="AL130" i="16"/>
  <c r="AK130" i="16"/>
  <c r="AJ130" i="16"/>
  <c r="AI130" i="16"/>
  <c r="AH130" i="16"/>
  <c r="AG130" i="16"/>
  <c r="AF130" i="16"/>
  <c r="AE130" i="16"/>
  <c r="AD130" i="16"/>
  <c r="AC130" i="16"/>
  <c r="AB130" i="16"/>
  <c r="AA130" i="16"/>
  <c r="Z130" i="16"/>
  <c r="Y130" i="16"/>
  <c r="X130" i="16"/>
  <c r="W130" i="16"/>
  <c r="V130" i="16"/>
  <c r="AO129" i="16"/>
  <c r="AN129" i="16"/>
  <c r="AM129" i="16"/>
  <c r="AL129" i="16"/>
  <c r="AK129" i="16"/>
  <c r="AJ129" i="16"/>
  <c r="AI129" i="16"/>
  <c r="AH129" i="16"/>
  <c r="AG129" i="16"/>
  <c r="AF129" i="16"/>
  <c r="AE129" i="16"/>
  <c r="AD129" i="16"/>
  <c r="AC129" i="16"/>
  <c r="AB129" i="16"/>
  <c r="AA129" i="16"/>
  <c r="Z129" i="16"/>
  <c r="Y129" i="16"/>
  <c r="X129" i="16"/>
  <c r="W129" i="16"/>
  <c r="V129" i="16"/>
  <c r="AO128" i="16"/>
  <c r="AN128" i="16"/>
  <c r="AM128" i="16"/>
  <c r="AL128" i="16"/>
  <c r="AK128" i="16"/>
  <c r="AJ128" i="16"/>
  <c r="AI128" i="16"/>
  <c r="AH128" i="16"/>
  <c r="AG128" i="16"/>
  <c r="AF128" i="16"/>
  <c r="AE128" i="16"/>
  <c r="AD128" i="16"/>
  <c r="AC128" i="16"/>
  <c r="AB128" i="16"/>
  <c r="AA128" i="16"/>
  <c r="Z128" i="16"/>
  <c r="Y128" i="16"/>
  <c r="X128" i="16"/>
  <c r="W128" i="16"/>
  <c r="V128" i="16"/>
  <c r="AO127" i="16"/>
  <c r="AN127" i="16"/>
  <c r="AM127" i="16"/>
  <c r="AL127" i="16"/>
  <c r="AK127" i="16"/>
  <c r="AJ127" i="16"/>
  <c r="AI127" i="16"/>
  <c r="AH127" i="16"/>
  <c r="AG127" i="16"/>
  <c r="AF127" i="16"/>
  <c r="AE127" i="16"/>
  <c r="AD127" i="16"/>
  <c r="AC127" i="16"/>
  <c r="AB127" i="16"/>
  <c r="AA127" i="16"/>
  <c r="Z127" i="16"/>
  <c r="Y127" i="16"/>
  <c r="X127" i="16"/>
  <c r="W127" i="16"/>
  <c r="V127" i="16"/>
  <c r="AO126" i="16"/>
  <c r="AN126" i="16"/>
  <c r="AM126" i="16"/>
  <c r="AL126" i="16"/>
  <c r="AK126" i="16"/>
  <c r="AJ126" i="16"/>
  <c r="AI126" i="16"/>
  <c r="AH126" i="16"/>
  <c r="AG126" i="16"/>
  <c r="AF126" i="16"/>
  <c r="AE126" i="16"/>
  <c r="AD126" i="16"/>
  <c r="AC126" i="16"/>
  <c r="AB126" i="16"/>
  <c r="AA126" i="16"/>
  <c r="Z126" i="16"/>
  <c r="Y126" i="16"/>
  <c r="X126" i="16"/>
  <c r="W126" i="16"/>
  <c r="V126" i="16"/>
  <c r="AO125" i="16"/>
  <c r="AN125" i="16"/>
  <c r="AM125" i="16"/>
  <c r="AL125" i="16"/>
  <c r="AK125" i="16"/>
  <c r="AJ125" i="16"/>
  <c r="AI125" i="16"/>
  <c r="AH125" i="16"/>
  <c r="AG125" i="16"/>
  <c r="AF125" i="16"/>
  <c r="AE125" i="16"/>
  <c r="AD125" i="16"/>
  <c r="AC125" i="16"/>
  <c r="AB125" i="16"/>
  <c r="AA125" i="16"/>
  <c r="Z125" i="16"/>
  <c r="Y125" i="16"/>
  <c r="X125" i="16"/>
  <c r="W125" i="16"/>
  <c r="V125" i="16"/>
  <c r="AO124" i="16"/>
  <c r="AN124" i="16"/>
  <c r="AM124" i="16"/>
  <c r="AL124" i="16"/>
  <c r="AK124" i="16"/>
  <c r="AJ124" i="16"/>
  <c r="AI124" i="16"/>
  <c r="AH124" i="16"/>
  <c r="AG124" i="16"/>
  <c r="AF124" i="16"/>
  <c r="AE124" i="16"/>
  <c r="AD124" i="16"/>
  <c r="AC124" i="16"/>
  <c r="AB124" i="16"/>
  <c r="AA124" i="16"/>
  <c r="Z124" i="16"/>
  <c r="Y124" i="16"/>
  <c r="X124" i="16"/>
  <c r="W124" i="16"/>
  <c r="V124" i="16"/>
  <c r="AO123" i="16"/>
  <c r="AN123" i="16"/>
  <c r="AM123" i="16"/>
  <c r="AL123" i="16"/>
  <c r="AK123" i="16"/>
  <c r="AJ123" i="16"/>
  <c r="AI123" i="16"/>
  <c r="AH123" i="16"/>
  <c r="AG123" i="16"/>
  <c r="AF123" i="16"/>
  <c r="AE123" i="16"/>
  <c r="AD123" i="16"/>
  <c r="AC123" i="16"/>
  <c r="AB123" i="16"/>
  <c r="AA123" i="16"/>
  <c r="Z123" i="16"/>
  <c r="Y123" i="16"/>
  <c r="X123" i="16"/>
  <c r="W123" i="16"/>
  <c r="V123" i="16"/>
  <c r="AO122" i="16"/>
  <c r="AN122" i="16"/>
  <c r="AM122" i="16"/>
  <c r="AL122" i="16"/>
  <c r="AK122" i="16"/>
  <c r="AJ122" i="16"/>
  <c r="AI122" i="16"/>
  <c r="AH122" i="16"/>
  <c r="AG122" i="16"/>
  <c r="AF122" i="16"/>
  <c r="AE122" i="16"/>
  <c r="AD122" i="16"/>
  <c r="AC122" i="16"/>
  <c r="AB122" i="16"/>
  <c r="AA122" i="16"/>
  <c r="Z122" i="16"/>
  <c r="Y122" i="16"/>
  <c r="X122" i="16"/>
  <c r="W122" i="16"/>
  <c r="V122" i="16"/>
  <c r="AO121" i="16"/>
  <c r="AN121" i="16"/>
  <c r="AM121" i="16"/>
  <c r="AL121" i="16"/>
  <c r="AK121" i="16"/>
  <c r="AJ121" i="16"/>
  <c r="AI121" i="16"/>
  <c r="AH121" i="16"/>
  <c r="AG121" i="16"/>
  <c r="AF121" i="16"/>
  <c r="AE121" i="16"/>
  <c r="AD121" i="16"/>
  <c r="AC121" i="16"/>
  <c r="AB121" i="16"/>
  <c r="AA121" i="16"/>
  <c r="Z121" i="16"/>
  <c r="Y121" i="16"/>
  <c r="X121" i="16"/>
  <c r="W121" i="16"/>
  <c r="V121" i="16"/>
  <c r="AO120" i="16"/>
  <c r="AN120" i="16"/>
  <c r="AM120" i="16"/>
  <c r="AL120" i="16"/>
  <c r="AK120" i="16"/>
  <c r="AJ120" i="16"/>
  <c r="AI120" i="16"/>
  <c r="AH120" i="16"/>
  <c r="AG120" i="16"/>
  <c r="AF120" i="16"/>
  <c r="AE120" i="16"/>
  <c r="AD120" i="16"/>
  <c r="AC120" i="16"/>
  <c r="AB120" i="16"/>
  <c r="AA120" i="16"/>
  <c r="Z120" i="16"/>
  <c r="Y120" i="16"/>
  <c r="X120" i="16"/>
  <c r="W120" i="16"/>
  <c r="V120" i="16"/>
  <c r="AO119" i="16"/>
  <c r="AN119" i="16"/>
  <c r="AM119" i="16"/>
  <c r="AL119" i="16"/>
  <c r="AK119" i="16"/>
  <c r="AJ119" i="16"/>
  <c r="AI119" i="16"/>
  <c r="AH119" i="16"/>
  <c r="AG119" i="16"/>
  <c r="AF119" i="16"/>
  <c r="AE119" i="16"/>
  <c r="AD119" i="16"/>
  <c r="AC119" i="16"/>
  <c r="AB119" i="16"/>
  <c r="AA119" i="16"/>
  <c r="Z119" i="16"/>
  <c r="Y119" i="16"/>
  <c r="X119" i="16"/>
  <c r="W119" i="16"/>
  <c r="V119" i="16"/>
  <c r="AO118" i="16"/>
  <c r="AN118" i="16"/>
  <c r="AM118" i="16"/>
  <c r="AL118" i="16"/>
  <c r="AK118" i="16"/>
  <c r="AJ118" i="16"/>
  <c r="AI118" i="16"/>
  <c r="AH118" i="16"/>
  <c r="AG118" i="16"/>
  <c r="AF118" i="16"/>
  <c r="AE118" i="16"/>
  <c r="AD118" i="16"/>
  <c r="AC118" i="16"/>
  <c r="AB118" i="16"/>
  <c r="AA118" i="16"/>
  <c r="Z118" i="16"/>
  <c r="Y118" i="16"/>
  <c r="X118" i="16"/>
  <c r="W118" i="16"/>
  <c r="V118" i="16"/>
  <c r="AO117" i="16"/>
  <c r="AN117" i="16"/>
  <c r="AM117" i="16"/>
  <c r="AL117" i="16"/>
  <c r="AK117" i="16"/>
  <c r="AJ117" i="16"/>
  <c r="AI117" i="16"/>
  <c r="AH117" i="16"/>
  <c r="AG117" i="16"/>
  <c r="AF117" i="16"/>
  <c r="AE117" i="16"/>
  <c r="AD117" i="16"/>
  <c r="AC117" i="16"/>
  <c r="AB117" i="16"/>
  <c r="AA117" i="16"/>
  <c r="Z117" i="16"/>
  <c r="Y117" i="16"/>
  <c r="X117" i="16"/>
  <c r="W117" i="16"/>
  <c r="V117" i="16"/>
  <c r="AO116" i="16"/>
  <c r="AN116" i="16"/>
  <c r="AM116" i="16"/>
  <c r="AL116" i="16"/>
  <c r="AK116" i="16"/>
  <c r="AJ116" i="16"/>
  <c r="AI116" i="16"/>
  <c r="AH116" i="16"/>
  <c r="AG116" i="16"/>
  <c r="AF116" i="16"/>
  <c r="AE116" i="16"/>
  <c r="AD116" i="16"/>
  <c r="AC116" i="16"/>
  <c r="AB116" i="16"/>
  <c r="AA116" i="16"/>
  <c r="Z116" i="16"/>
  <c r="Y116" i="16"/>
  <c r="X116" i="16"/>
  <c r="W116" i="16"/>
  <c r="V116" i="16"/>
  <c r="AO115" i="16"/>
  <c r="AN115" i="16"/>
  <c r="AM115" i="16"/>
  <c r="AL115" i="16"/>
  <c r="AK115" i="16"/>
  <c r="AJ115" i="16"/>
  <c r="AI115" i="16"/>
  <c r="AH115" i="16"/>
  <c r="AG115" i="16"/>
  <c r="AF115" i="16"/>
  <c r="AE115" i="16"/>
  <c r="AD115" i="16"/>
  <c r="AC115" i="16"/>
  <c r="AB115" i="16"/>
  <c r="AA115" i="16"/>
  <c r="Z115" i="16"/>
  <c r="Y115" i="16"/>
  <c r="X115" i="16"/>
  <c r="W115" i="16"/>
  <c r="V115" i="16"/>
  <c r="AO114" i="16"/>
  <c r="AN114" i="16"/>
  <c r="AM114" i="16"/>
  <c r="AL114" i="16"/>
  <c r="AK114" i="16"/>
  <c r="AJ114" i="16"/>
  <c r="AI114" i="16"/>
  <c r="AH114" i="16"/>
  <c r="AG114" i="16"/>
  <c r="AF114" i="16"/>
  <c r="AE114" i="16"/>
  <c r="AD114" i="16"/>
  <c r="AC114" i="16"/>
  <c r="AB114" i="16"/>
  <c r="AA114" i="16"/>
  <c r="Z114" i="16"/>
  <c r="Y114" i="16"/>
  <c r="X114" i="16"/>
  <c r="W114" i="16"/>
  <c r="V114" i="16"/>
  <c r="AO113" i="16"/>
  <c r="AN113" i="16"/>
  <c r="AM113" i="16"/>
  <c r="AL113" i="16"/>
  <c r="AK113" i="16"/>
  <c r="AJ113" i="16"/>
  <c r="AI113" i="16"/>
  <c r="AH113" i="16"/>
  <c r="AG113" i="16"/>
  <c r="AF113" i="16"/>
  <c r="AE113" i="16"/>
  <c r="AD113" i="16"/>
  <c r="AC113" i="16"/>
  <c r="AB113" i="16"/>
  <c r="AA113" i="16"/>
  <c r="Z113" i="16"/>
  <c r="Y113" i="16"/>
  <c r="X113" i="16"/>
  <c r="W113" i="16"/>
  <c r="V113" i="16"/>
  <c r="AO112" i="16"/>
  <c r="AN112" i="16"/>
  <c r="AM112" i="16"/>
  <c r="AL112" i="16"/>
  <c r="AK112" i="16"/>
  <c r="AJ112" i="16"/>
  <c r="AI112" i="16"/>
  <c r="AH112" i="16"/>
  <c r="AG112" i="16"/>
  <c r="AF112" i="16"/>
  <c r="AE112" i="16"/>
  <c r="AD112" i="16"/>
  <c r="AC112" i="16"/>
  <c r="AB112" i="16"/>
  <c r="AA112" i="16"/>
  <c r="Z112" i="16"/>
  <c r="Y112" i="16"/>
  <c r="X112" i="16"/>
  <c r="W112" i="16"/>
  <c r="V112" i="16"/>
  <c r="AO111" i="16"/>
  <c r="AN111" i="16"/>
  <c r="AM111" i="16"/>
  <c r="AL111" i="16"/>
  <c r="AK111" i="16"/>
  <c r="AJ111" i="16"/>
  <c r="AI111" i="16"/>
  <c r="AH111" i="16"/>
  <c r="AG111" i="16"/>
  <c r="AF111" i="16"/>
  <c r="AE111" i="16"/>
  <c r="AD111" i="16"/>
  <c r="AC111" i="16"/>
  <c r="AB111" i="16"/>
  <c r="AA111" i="16"/>
  <c r="Z111" i="16"/>
  <c r="Y111" i="16"/>
  <c r="X111" i="16"/>
  <c r="W111" i="16"/>
  <c r="V111" i="16"/>
  <c r="AO110" i="16"/>
  <c r="AN110" i="16"/>
  <c r="AM110" i="16"/>
  <c r="AL110" i="16"/>
  <c r="AK110" i="16"/>
  <c r="AJ110" i="16"/>
  <c r="AI110" i="16"/>
  <c r="AH110" i="16"/>
  <c r="AG110" i="16"/>
  <c r="AF110" i="16"/>
  <c r="AE110" i="16"/>
  <c r="AD110" i="16"/>
  <c r="AC110" i="16"/>
  <c r="AB110" i="16"/>
  <c r="AA110" i="16"/>
  <c r="Z110" i="16"/>
  <c r="Y110" i="16"/>
  <c r="X110" i="16"/>
  <c r="W110" i="16"/>
  <c r="V110" i="16"/>
  <c r="AO109" i="16"/>
  <c r="AN109" i="16"/>
  <c r="AM109" i="16"/>
  <c r="AL109" i="16"/>
  <c r="AK109" i="16"/>
  <c r="AJ109" i="16"/>
  <c r="AI109" i="16"/>
  <c r="AH109" i="16"/>
  <c r="AG109" i="16"/>
  <c r="AF109" i="16"/>
  <c r="AE109" i="16"/>
  <c r="AD109" i="16"/>
  <c r="AC109" i="16"/>
  <c r="AB109" i="16"/>
  <c r="AA109" i="16"/>
  <c r="Z109" i="16"/>
  <c r="Y109" i="16"/>
  <c r="X109" i="16"/>
  <c r="W109" i="16"/>
  <c r="V109" i="16"/>
  <c r="AO108" i="16"/>
  <c r="AN108" i="16"/>
  <c r="AM108" i="16"/>
  <c r="AL108" i="16"/>
  <c r="AK108" i="16"/>
  <c r="AJ108" i="16"/>
  <c r="AI108" i="16"/>
  <c r="AH108" i="16"/>
  <c r="AG108" i="16"/>
  <c r="AF108" i="16"/>
  <c r="AE108" i="16"/>
  <c r="AD108" i="16"/>
  <c r="AC108" i="16"/>
  <c r="AB108" i="16"/>
  <c r="AA108" i="16"/>
  <c r="Z108" i="16"/>
  <c r="Y108" i="16"/>
  <c r="X108" i="16"/>
  <c r="W108" i="16"/>
  <c r="V108" i="16"/>
  <c r="AO107" i="16"/>
  <c r="AN107" i="16"/>
  <c r="AM107" i="16"/>
  <c r="AL107" i="16"/>
  <c r="AK107" i="16"/>
  <c r="AJ107" i="16"/>
  <c r="AI107" i="16"/>
  <c r="AH107" i="16"/>
  <c r="AG107" i="16"/>
  <c r="AF107" i="16"/>
  <c r="AE107" i="16"/>
  <c r="AD107" i="16"/>
  <c r="AC107" i="16"/>
  <c r="AB107" i="16"/>
  <c r="AA107" i="16"/>
  <c r="Z107" i="16"/>
  <c r="Y107" i="16"/>
  <c r="X107" i="16"/>
  <c r="W107" i="16"/>
  <c r="V107" i="16"/>
  <c r="AO106" i="16"/>
  <c r="AN106" i="16"/>
  <c r="AM106" i="16"/>
  <c r="AL106" i="16"/>
  <c r="AK106" i="16"/>
  <c r="AJ106" i="16"/>
  <c r="AI106" i="16"/>
  <c r="AH106" i="16"/>
  <c r="AG106" i="16"/>
  <c r="AF106" i="16"/>
  <c r="AE106" i="16"/>
  <c r="AD106" i="16"/>
  <c r="AC106" i="16"/>
  <c r="AB106" i="16"/>
  <c r="AA106" i="16"/>
  <c r="Z106" i="16"/>
  <c r="Y106" i="16"/>
  <c r="X106" i="16"/>
  <c r="W106" i="16"/>
  <c r="V106" i="16"/>
  <c r="AO105" i="16"/>
  <c r="AN105" i="16"/>
  <c r="AM105" i="16"/>
  <c r="AL105" i="16"/>
  <c r="AK105" i="16"/>
  <c r="AJ105" i="16"/>
  <c r="AI105" i="16"/>
  <c r="AH105" i="16"/>
  <c r="AG105" i="16"/>
  <c r="AF105" i="16"/>
  <c r="AE105" i="16"/>
  <c r="AD105" i="16"/>
  <c r="AC105" i="16"/>
  <c r="AB105" i="16"/>
  <c r="AA105" i="16"/>
  <c r="Z105" i="16"/>
  <c r="Y105" i="16"/>
  <c r="X105" i="16"/>
  <c r="W105" i="16"/>
  <c r="V105" i="16"/>
  <c r="AO104" i="16"/>
  <c r="AN104" i="16"/>
  <c r="AM104" i="16"/>
  <c r="AL104" i="16"/>
  <c r="AK104" i="16"/>
  <c r="AJ104" i="16"/>
  <c r="AI104" i="16"/>
  <c r="AH104" i="16"/>
  <c r="AG104" i="16"/>
  <c r="AF104" i="16"/>
  <c r="AE104" i="16"/>
  <c r="AD104" i="16"/>
  <c r="AC104" i="16"/>
  <c r="AB104" i="16"/>
  <c r="AA104" i="16"/>
  <c r="Z104" i="16"/>
  <c r="Y104" i="16"/>
  <c r="X104" i="16"/>
  <c r="W104" i="16"/>
  <c r="V104" i="16"/>
  <c r="AO103" i="16"/>
  <c r="AN103" i="16"/>
  <c r="AM103" i="16"/>
  <c r="AL103" i="16"/>
  <c r="AK103" i="16"/>
  <c r="AJ103" i="16"/>
  <c r="AI103" i="16"/>
  <c r="AH103" i="16"/>
  <c r="AG103" i="16"/>
  <c r="AF103" i="16"/>
  <c r="AE103" i="16"/>
  <c r="AD103" i="16"/>
  <c r="AC103" i="16"/>
  <c r="AB103" i="16"/>
  <c r="AA103" i="16"/>
  <c r="Z103" i="16"/>
  <c r="Y103" i="16"/>
  <c r="X103" i="16"/>
  <c r="W103" i="16"/>
  <c r="V103" i="16"/>
  <c r="AO102" i="16"/>
  <c r="AN102" i="16"/>
  <c r="AM102" i="16"/>
  <c r="AL102" i="16"/>
  <c r="AK102" i="16"/>
  <c r="AJ102" i="16"/>
  <c r="AI102" i="16"/>
  <c r="AH102" i="16"/>
  <c r="AG102" i="16"/>
  <c r="AF102" i="16"/>
  <c r="AE102" i="16"/>
  <c r="AD102" i="16"/>
  <c r="AC102" i="16"/>
  <c r="AB102" i="16"/>
  <c r="AA102" i="16"/>
  <c r="Z102" i="16"/>
  <c r="Y102" i="16"/>
  <c r="X102" i="16"/>
  <c r="W102" i="16"/>
  <c r="V102" i="16"/>
  <c r="AO101" i="16"/>
  <c r="AN101" i="16"/>
  <c r="AM101" i="16"/>
  <c r="AL101" i="16"/>
  <c r="AK101" i="16"/>
  <c r="AJ101" i="16"/>
  <c r="AI101" i="16"/>
  <c r="AH101" i="16"/>
  <c r="AG101" i="16"/>
  <c r="AF101" i="16"/>
  <c r="AE101" i="16"/>
  <c r="AD101" i="16"/>
  <c r="AC101" i="16"/>
  <c r="AB101" i="16"/>
  <c r="AA101" i="16"/>
  <c r="Z101" i="16"/>
  <c r="Y101" i="16"/>
  <c r="X101" i="16"/>
  <c r="W101" i="16"/>
  <c r="V101" i="16"/>
  <c r="AO100" i="16"/>
  <c r="AN100" i="16"/>
  <c r="AM100" i="16"/>
  <c r="AL100" i="16"/>
  <c r="AK100" i="16"/>
  <c r="AJ100" i="16"/>
  <c r="AI100" i="16"/>
  <c r="AH100" i="16"/>
  <c r="AG100" i="16"/>
  <c r="AF100" i="16"/>
  <c r="AE100" i="16"/>
  <c r="AD100" i="16"/>
  <c r="AC100" i="16"/>
  <c r="AB100" i="16"/>
  <c r="AA100" i="16"/>
  <c r="Z100" i="16"/>
  <c r="Y100" i="16"/>
  <c r="X100" i="16"/>
  <c r="W100" i="16"/>
  <c r="V100" i="16"/>
  <c r="AC95" i="16"/>
  <c r="AB95" i="16"/>
  <c r="AA95" i="16"/>
  <c r="AB94" i="16"/>
  <c r="AC93" i="16"/>
  <c r="AB93" i="16"/>
  <c r="W93" i="16"/>
  <c r="AB92" i="16"/>
  <c r="AA91" i="16"/>
  <c r="AB90" i="16"/>
  <c r="Y90" i="16"/>
  <c r="W87" i="16"/>
  <c r="Z82" i="16"/>
  <c r="Y82" i="16"/>
  <c r="X82" i="16"/>
  <c r="W82" i="16"/>
  <c r="V82" i="16"/>
  <c r="Z81" i="16"/>
  <c r="Y81" i="16"/>
  <c r="X81" i="16"/>
  <c r="W81" i="16"/>
  <c r="V81" i="16"/>
  <c r="Z80" i="16"/>
  <c r="Y80" i="16"/>
  <c r="X80" i="16"/>
  <c r="W80" i="16"/>
  <c r="V80" i="16"/>
  <c r="Z79" i="16"/>
  <c r="Y79" i="16"/>
  <c r="X79" i="16"/>
  <c r="W79" i="16"/>
  <c r="V79" i="16"/>
  <c r="Z78" i="16"/>
  <c r="Y78" i="16"/>
  <c r="X78" i="16"/>
  <c r="W78" i="16"/>
  <c r="V78" i="16"/>
  <c r="Z77" i="16"/>
  <c r="Y77" i="16"/>
  <c r="X77" i="16"/>
  <c r="W77" i="16"/>
  <c r="V77" i="16"/>
  <c r="Z76" i="16"/>
  <c r="Y76" i="16"/>
  <c r="X76" i="16"/>
  <c r="W76" i="16"/>
  <c r="V76" i="16"/>
  <c r="Z75" i="16"/>
  <c r="Y75" i="16"/>
  <c r="X75" i="16"/>
  <c r="W75" i="16"/>
  <c r="V75" i="16"/>
  <c r="Z74" i="16"/>
  <c r="Y74" i="16"/>
  <c r="X74" i="16"/>
  <c r="W74" i="16"/>
  <c r="V74" i="16"/>
  <c r="Z73" i="16"/>
  <c r="Y73" i="16"/>
  <c r="X73" i="16"/>
  <c r="W73" i="16"/>
  <c r="V73" i="16"/>
  <c r="AA68" i="16"/>
  <c r="Z68" i="16"/>
  <c r="Y68" i="16"/>
  <c r="X68" i="16"/>
  <c r="W68" i="16"/>
  <c r="V68" i="16"/>
  <c r="AA67" i="16"/>
  <c r="Z67" i="16"/>
  <c r="Y67" i="16"/>
  <c r="X67" i="16"/>
  <c r="W67" i="16"/>
  <c r="V67" i="16"/>
  <c r="Z66" i="16"/>
  <c r="Y66" i="16"/>
  <c r="X66" i="16"/>
  <c r="W66" i="16"/>
  <c r="V66" i="16"/>
  <c r="AA65" i="16"/>
  <c r="Z65" i="16"/>
  <c r="Y65" i="16"/>
  <c r="X65" i="16"/>
  <c r="W65" i="16"/>
  <c r="V65" i="16"/>
  <c r="AA64" i="16"/>
  <c r="Z64" i="16"/>
  <c r="Y64" i="16"/>
  <c r="X64" i="16"/>
  <c r="W64" i="16"/>
  <c r="V64" i="16"/>
  <c r="AA63" i="16"/>
  <c r="Z63" i="16"/>
  <c r="Y63" i="16"/>
  <c r="X63" i="16"/>
  <c r="W63" i="16"/>
  <c r="V63" i="16"/>
  <c r="AA62" i="16"/>
  <c r="Z62" i="16"/>
  <c r="Y62" i="16"/>
  <c r="X62" i="16"/>
  <c r="W62" i="16"/>
  <c r="V62" i="16"/>
  <c r="AA61" i="16"/>
  <c r="Z61" i="16"/>
  <c r="Y61" i="16"/>
  <c r="X61" i="16"/>
  <c r="W61" i="16"/>
  <c r="V61" i="16"/>
  <c r="AA60" i="16"/>
  <c r="Z60" i="16"/>
  <c r="Y60" i="16"/>
  <c r="X60" i="16"/>
  <c r="W60" i="16"/>
  <c r="V60" i="16"/>
  <c r="AA59" i="16"/>
  <c r="Z59" i="16"/>
  <c r="Y59" i="16"/>
  <c r="X59" i="16"/>
  <c r="W59" i="16"/>
  <c r="V59" i="16"/>
  <c r="AQ58" i="16"/>
  <c r="E40" i="16" s="1"/>
  <c r="AA58" i="16"/>
  <c r="Z58" i="16"/>
  <c r="Y58" i="16"/>
  <c r="X58" i="16"/>
  <c r="W58" i="16"/>
  <c r="V58" i="16"/>
  <c r="AA57" i="16"/>
  <c r="Z57" i="16"/>
  <c r="Y57" i="16"/>
  <c r="X57" i="16"/>
  <c r="W57" i="16"/>
  <c r="V57" i="16"/>
  <c r="B57" i="16"/>
  <c r="AA56" i="16"/>
  <c r="Z56" i="16"/>
  <c r="Y56" i="16"/>
  <c r="X56" i="16"/>
  <c r="W56" i="16"/>
  <c r="V56" i="16"/>
  <c r="B49" i="16"/>
  <c r="AQ36" i="16" s="1"/>
  <c r="B48" i="16"/>
  <c r="B46" i="16"/>
  <c r="AQ33" i="16" s="1"/>
  <c r="B45" i="16"/>
  <c r="AP44" i="16"/>
  <c r="B59" i="16" s="1"/>
  <c r="AP43" i="16"/>
  <c r="B58" i="16" s="1"/>
  <c r="B43" i="16"/>
  <c r="AP42" i="16"/>
  <c r="AP41" i="16"/>
  <c r="B56" i="16" s="1"/>
  <c r="AP40" i="16"/>
  <c r="B55" i="16" s="1"/>
  <c r="B40" i="16"/>
  <c r="X36" i="16"/>
  <c r="AQ35" i="16"/>
  <c r="X35" i="16"/>
  <c r="Q35" i="16"/>
  <c r="P35" i="16"/>
  <c r="E18" i="16" s="1"/>
  <c r="B35" i="16"/>
  <c r="X34" i="16"/>
  <c r="J34" i="16"/>
  <c r="D35" i="16" s="1"/>
  <c r="X33" i="16"/>
  <c r="AQ32" i="16"/>
  <c r="X32" i="16"/>
  <c r="AG31" i="16"/>
  <c r="X31" i="16"/>
  <c r="AQ30" i="16"/>
  <c r="X30" i="16"/>
  <c r="X29" i="16"/>
  <c r="B29" i="16"/>
  <c r="X28" i="16"/>
  <c r="AQ27" i="16"/>
  <c r="B27" i="16"/>
  <c r="P25" i="16"/>
  <c r="P24" i="16"/>
  <c r="I24" i="16"/>
  <c r="G24" i="16"/>
  <c r="E24" i="16"/>
  <c r="C24" i="16"/>
  <c r="AC23" i="16"/>
  <c r="AB23" i="16"/>
  <c r="AA23" i="16"/>
  <c r="Z23" i="16"/>
  <c r="Y23" i="16"/>
  <c r="I23" i="16"/>
  <c r="G23" i="16"/>
  <c r="E23" i="16"/>
  <c r="C23" i="16"/>
  <c r="AD22" i="16"/>
  <c r="AB39" i="16" s="1"/>
  <c r="AC32" i="16" s="1"/>
  <c r="AB22" i="16"/>
  <c r="AA22" i="16"/>
  <c r="Z22" i="16"/>
  <c r="AC22" i="16" s="1"/>
  <c r="Y22" i="16"/>
  <c r="I22" i="16"/>
  <c r="G22" i="16"/>
  <c r="E22" i="16"/>
  <c r="C22" i="16"/>
  <c r="I21" i="16"/>
  <c r="G21" i="16"/>
  <c r="E21" i="16"/>
  <c r="C21" i="16"/>
  <c r="AQ20" i="16"/>
  <c r="AI20" i="16"/>
  <c r="I20" i="16"/>
  <c r="G20" i="16"/>
  <c r="AQ19" i="16"/>
  <c r="AI19" i="16"/>
  <c r="AQ18" i="16"/>
  <c r="AI18" i="16"/>
  <c r="AJ18" i="16" s="1"/>
  <c r="I18" i="16"/>
  <c r="AI17" i="16"/>
  <c r="AI16" i="16"/>
  <c r="AJ15" i="16"/>
  <c r="AI15" i="16"/>
  <c r="AQ14" i="16"/>
  <c r="AI14" i="16"/>
  <c r="I14" i="16"/>
  <c r="AQ13" i="16"/>
  <c r="AI13" i="16"/>
  <c r="AQ12" i="16"/>
  <c r="AI12" i="16"/>
  <c r="AJ12" i="16" s="1"/>
  <c r="AI11" i="16"/>
  <c r="AC11" i="16"/>
  <c r="AB11" i="16"/>
  <c r="AA11" i="16"/>
  <c r="Z11" i="16"/>
  <c r="Y11" i="16"/>
  <c r="AI10" i="16"/>
  <c r="AC10" i="16"/>
  <c r="AB10" i="16"/>
  <c r="AA10" i="16"/>
  <c r="Z10" i="16"/>
  <c r="Y10" i="16"/>
  <c r="AJ9" i="16"/>
  <c r="AI9" i="16"/>
  <c r="AC9" i="16"/>
  <c r="AB9" i="16"/>
  <c r="AA9" i="16"/>
  <c r="Z9" i="16"/>
  <c r="Y9" i="16"/>
  <c r="AQ8" i="16"/>
  <c r="AD8" i="16"/>
  <c r="AB36" i="16" s="1"/>
  <c r="AC31" i="16" s="1"/>
  <c r="AB8" i="16"/>
  <c r="AA8" i="16"/>
  <c r="Z8" i="16"/>
  <c r="AC8" i="16" s="1"/>
  <c r="Y8" i="16"/>
  <c r="AQ7" i="16"/>
  <c r="AQ6" i="16"/>
  <c r="AO179" i="15"/>
  <c r="AN179" i="15"/>
  <c r="AM179" i="15"/>
  <c r="AL179" i="15"/>
  <c r="AK179" i="15"/>
  <c r="AJ179" i="15"/>
  <c r="AI179" i="15"/>
  <c r="AH179" i="15"/>
  <c r="AG179" i="15"/>
  <c r="AF179" i="15"/>
  <c r="AE179" i="15"/>
  <c r="AD179" i="15"/>
  <c r="AC179" i="15"/>
  <c r="AB179" i="15"/>
  <c r="AA179" i="15"/>
  <c r="Z179" i="15"/>
  <c r="Y179" i="15"/>
  <c r="X179" i="15"/>
  <c r="W179" i="15"/>
  <c r="V179" i="15"/>
  <c r="AO178" i="15"/>
  <c r="AN178" i="15"/>
  <c r="AM178" i="15"/>
  <c r="AL178" i="15"/>
  <c r="AK178" i="15"/>
  <c r="AJ178" i="15"/>
  <c r="AI178" i="15"/>
  <c r="AH178" i="15"/>
  <c r="AG178" i="15"/>
  <c r="AF178" i="15"/>
  <c r="AE178" i="15"/>
  <c r="AD178" i="15"/>
  <c r="AC178" i="15"/>
  <c r="AB178" i="15"/>
  <c r="AA178" i="15"/>
  <c r="Z178" i="15"/>
  <c r="Y178" i="15"/>
  <c r="X178" i="15"/>
  <c r="W178" i="15"/>
  <c r="V178" i="15"/>
  <c r="AO177" i="15"/>
  <c r="AN177" i="15"/>
  <c r="AM177" i="15"/>
  <c r="AL177" i="15"/>
  <c r="AK177" i="15"/>
  <c r="AJ177" i="15"/>
  <c r="AI177" i="15"/>
  <c r="AH177" i="15"/>
  <c r="AG177" i="15"/>
  <c r="AF177" i="15"/>
  <c r="AE177" i="15"/>
  <c r="AD177" i="15"/>
  <c r="AC177" i="15"/>
  <c r="AB177" i="15"/>
  <c r="AA177" i="15"/>
  <c r="Z177" i="15"/>
  <c r="Y177" i="15"/>
  <c r="X177" i="15"/>
  <c r="W177" i="15"/>
  <c r="V177" i="15"/>
  <c r="AO176" i="15"/>
  <c r="AN176" i="15"/>
  <c r="AM176" i="15"/>
  <c r="AL176" i="15"/>
  <c r="AK176" i="15"/>
  <c r="AJ176" i="15"/>
  <c r="AI176" i="15"/>
  <c r="AH176" i="15"/>
  <c r="AG176" i="15"/>
  <c r="AF176" i="15"/>
  <c r="AE176" i="15"/>
  <c r="AD176" i="15"/>
  <c r="AC176" i="15"/>
  <c r="AB176" i="15"/>
  <c r="AA176" i="15"/>
  <c r="Z176" i="15"/>
  <c r="Y176" i="15"/>
  <c r="X176" i="15"/>
  <c r="W176" i="15"/>
  <c r="V176" i="15"/>
  <c r="AO175" i="15"/>
  <c r="AN175" i="15"/>
  <c r="AM175" i="15"/>
  <c r="AL175" i="15"/>
  <c r="AK175" i="15"/>
  <c r="AJ175" i="15"/>
  <c r="AI175" i="15"/>
  <c r="AH175" i="15"/>
  <c r="AG175" i="15"/>
  <c r="AF175" i="15"/>
  <c r="AE175" i="15"/>
  <c r="AD175" i="15"/>
  <c r="AC175" i="15"/>
  <c r="AB175" i="15"/>
  <c r="AA175" i="15"/>
  <c r="Z175" i="15"/>
  <c r="Y175" i="15"/>
  <c r="X175" i="15"/>
  <c r="W175" i="15"/>
  <c r="V175" i="15"/>
  <c r="AO174" i="15"/>
  <c r="AN174" i="15"/>
  <c r="AM174" i="15"/>
  <c r="AL174" i="15"/>
  <c r="AK174" i="15"/>
  <c r="AJ174" i="15"/>
  <c r="AI174" i="15"/>
  <c r="AH174" i="15"/>
  <c r="AG174" i="15"/>
  <c r="AF174" i="15"/>
  <c r="AE174" i="15"/>
  <c r="AD174" i="15"/>
  <c r="AC174" i="15"/>
  <c r="AB174" i="15"/>
  <c r="AA174" i="15"/>
  <c r="Z174" i="15"/>
  <c r="Y174" i="15"/>
  <c r="X174" i="15"/>
  <c r="W174" i="15"/>
  <c r="V174" i="15"/>
  <c r="AO173" i="15"/>
  <c r="AN173" i="15"/>
  <c r="AM173" i="15"/>
  <c r="AL173" i="15"/>
  <c r="AK173" i="15"/>
  <c r="AJ173" i="15"/>
  <c r="AI173" i="15"/>
  <c r="AH173" i="15"/>
  <c r="AG173" i="15"/>
  <c r="AF173" i="15"/>
  <c r="AE173" i="15"/>
  <c r="AD173" i="15"/>
  <c r="AC173" i="15"/>
  <c r="AB173" i="15"/>
  <c r="AA173" i="15"/>
  <c r="Z173" i="15"/>
  <c r="Y173" i="15"/>
  <c r="X173" i="15"/>
  <c r="W173" i="15"/>
  <c r="V173" i="15"/>
  <c r="AO172" i="15"/>
  <c r="AN172" i="15"/>
  <c r="AM172" i="15"/>
  <c r="AL172" i="15"/>
  <c r="AK172" i="15"/>
  <c r="AJ172" i="15"/>
  <c r="AI172" i="15"/>
  <c r="AH172" i="15"/>
  <c r="AG172" i="15"/>
  <c r="AF172" i="15"/>
  <c r="AE172" i="15"/>
  <c r="AD172" i="15"/>
  <c r="AC172" i="15"/>
  <c r="AB172" i="15"/>
  <c r="AA172" i="15"/>
  <c r="Z172" i="15"/>
  <c r="Y172" i="15"/>
  <c r="X172" i="15"/>
  <c r="W172" i="15"/>
  <c r="V172" i="15"/>
  <c r="AO171" i="15"/>
  <c r="AN171" i="15"/>
  <c r="AM171" i="15"/>
  <c r="AL171" i="15"/>
  <c r="AK171" i="15"/>
  <c r="AJ171" i="15"/>
  <c r="AI171" i="15"/>
  <c r="AH171" i="15"/>
  <c r="AG171" i="15"/>
  <c r="AF171" i="15"/>
  <c r="AE171" i="15"/>
  <c r="AD171" i="15"/>
  <c r="AC171" i="15"/>
  <c r="AB171" i="15"/>
  <c r="AA171" i="15"/>
  <c r="Z171" i="15"/>
  <c r="Y171" i="15"/>
  <c r="X171" i="15"/>
  <c r="W171" i="15"/>
  <c r="V171" i="15"/>
  <c r="AO170" i="15"/>
  <c r="AN170" i="15"/>
  <c r="AM170" i="15"/>
  <c r="AL170" i="15"/>
  <c r="AK170" i="15"/>
  <c r="AJ170" i="15"/>
  <c r="AI170" i="15"/>
  <c r="AH170" i="15"/>
  <c r="AG170" i="15"/>
  <c r="AF170" i="15"/>
  <c r="AE170" i="15"/>
  <c r="AD170" i="15"/>
  <c r="AC170" i="15"/>
  <c r="AB170" i="15"/>
  <c r="AA170" i="15"/>
  <c r="Z170" i="15"/>
  <c r="Y170" i="15"/>
  <c r="X170" i="15"/>
  <c r="W170" i="15"/>
  <c r="V170" i="15"/>
  <c r="AO169" i="15"/>
  <c r="AN169" i="15"/>
  <c r="AM169" i="15"/>
  <c r="AL169" i="15"/>
  <c r="AK169" i="15"/>
  <c r="AJ169" i="15"/>
  <c r="AI169" i="15"/>
  <c r="AH169" i="15"/>
  <c r="AG169" i="15"/>
  <c r="AF169" i="15"/>
  <c r="AE169" i="15"/>
  <c r="AD169" i="15"/>
  <c r="AC169" i="15"/>
  <c r="AB169" i="15"/>
  <c r="AA169" i="15"/>
  <c r="Z169" i="15"/>
  <c r="Y169" i="15"/>
  <c r="X169" i="15"/>
  <c r="W169" i="15"/>
  <c r="V169" i="15"/>
  <c r="AO168" i="15"/>
  <c r="AN168" i="15"/>
  <c r="AM168" i="15"/>
  <c r="AL168" i="15"/>
  <c r="X95" i="15" s="1"/>
  <c r="AK168" i="15"/>
  <c r="AJ168" i="15"/>
  <c r="AI168" i="15"/>
  <c r="AH168" i="15"/>
  <c r="AG168" i="15"/>
  <c r="AF168" i="15"/>
  <c r="AE168" i="15"/>
  <c r="AD168" i="15"/>
  <c r="AD95" i="15" s="1"/>
  <c r="AC168" i="15"/>
  <c r="AC95" i="15" s="1"/>
  <c r="AB168" i="15"/>
  <c r="AB95" i="15" s="1"/>
  <c r="AA168" i="15"/>
  <c r="AA95" i="15" s="1"/>
  <c r="Z168" i="15"/>
  <c r="Z95" i="15" s="1"/>
  <c r="Y168" i="15"/>
  <c r="X168" i="15"/>
  <c r="W168" i="15"/>
  <c r="W95" i="15" s="1"/>
  <c r="V168" i="15"/>
  <c r="V95" i="15" s="1"/>
  <c r="AO167" i="15"/>
  <c r="AN167" i="15"/>
  <c r="AM167" i="15"/>
  <c r="AL167" i="15"/>
  <c r="X94" i="15" s="1"/>
  <c r="AK167" i="15"/>
  <c r="AJ167" i="15"/>
  <c r="AI167" i="15"/>
  <c r="AH167" i="15"/>
  <c r="AG167" i="15"/>
  <c r="AF167" i="15"/>
  <c r="AE167" i="15"/>
  <c r="AD167" i="15"/>
  <c r="AD94" i="15" s="1"/>
  <c r="AC167" i="15"/>
  <c r="AB167" i="15"/>
  <c r="AB94" i="15" s="1"/>
  <c r="AA167" i="15"/>
  <c r="Z167" i="15"/>
  <c r="Z94" i="15" s="1"/>
  <c r="Y167" i="15"/>
  <c r="Y94" i="15" s="1"/>
  <c r="X167" i="15"/>
  <c r="W167" i="15"/>
  <c r="V167" i="15"/>
  <c r="V94" i="15" s="1"/>
  <c r="AO166" i="15"/>
  <c r="AN166" i="15"/>
  <c r="AM166" i="15"/>
  <c r="AL166" i="15"/>
  <c r="X93" i="15" s="1"/>
  <c r="AK166" i="15"/>
  <c r="AJ166" i="15"/>
  <c r="AI166" i="15"/>
  <c r="AH166" i="15"/>
  <c r="AG166" i="15"/>
  <c r="AF166" i="15"/>
  <c r="AE166" i="15"/>
  <c r="AD166" i="15"/>
  <c r="AD93" i="15" s="1"/>
  <c r="AC166" i="15"/>
  <c r="AB166" i="15"/>
  <c r="AB93" i="15" s="1"/>
  <c r="AA166" i="15"/>
  <c r="Z166" i="15"/>
  <c r="Z93" i="15" s="1"/>
  <c r="Y166" i="15"/>
  <c r="Y93" i="15" s="1"/>
  <c r="X166" i="15"/>
  <c r="W166" i="15"/>
  <c r="V166" i="15"/>
  <c r="V93" i="15" s="1"/>
  <c r="AO165" i="15"/>
  <c r="AN165" i="15"/>
  <c r="AM165" i="15"/>
  <c r="AL165" i="15"/>
  <c r="X92" i="15" s="1"/>
  <c r="AK165" i="15"/>
  <c r="AJ165" i="15"/>
  <c r="AI165" i="15"/>
  <c r="AH165" i="15"/>
  <c r="AG165" i="15"/>
  <c r="AF165" i="15"/>
  <c r="AE165" i="15"/>
  <c r="AD165" i="15"/>
  <c r="AD92" i="15" s="1"/>
  <c r="AC165" i="15"/>
  <c r="AC92" i="15" s="1"/>
  <c r="AB165" i="15"/>
  <c r="AB92" i="15" s="1"/>
  <c r="AA165" i="15"/>
  <c r="Z165" i="15"/>
  <c r="Z92" i="15" s="1"/>
  <c r="Y165" i="15"/>
  <c r="X165" i="15"/>
  <c r="W165" i="15"/>
  <c r="V165" i="15"/>
  <c r="V92" i="15" s="1"/>
  <c r="AO164" i="15"/>
  <c r="AN164" i="15"/>
  <c r="AM164" i="15"/>
  <c r="AL164" i="15"/>
  <c r="X91" i="15" s="1"/>
  <c r="AK164" i="15"/>
  <c r="AJ164" i="15"/>
  <c r="AI164" i="15"/>
  <c r="AH164" i="15"/>
  <c r="AG164" i="15"/>
  <c r="AF164" i="15"/>
  <c r="AE164" i="15"/>
  <c r="AD164" i="15"/>
  <c r="AD91" i="15" s="1"/>
  <c r="AC164" i="15"/>
  <c r="AC91" i="15" s="1"/>
  <c r="AB164" i="15"/>
  <c r="AB91" i="15" s="1"/>
  <c r="AA164" i="15"/>
  <c r="Z164" i="15"/>
  <c r="Z91" i="15" s="1"/>
  <c r="Y164" i="15"/>
  <c r="Y91" i="15" s="1"/>
  <c r="X164" i="15"/>
  <c r="W164" i="15"/>
  <c r="W91" i="15" s="1"/>
  <c r="V164" i="15"/>
  <c r="V91" i="15" s="1"/>
  <c r="AO163" i="15"/>
  <c r="AN163" i="15"/>
  <c r="AM163" i="15"/>
  <c r="AL163" i="15"/>
  <c r="X90" i="15" s="1"/>
  <c r="AK163" i="15"/>
  <c r="AJ163" i="15"/>
  <c r="AI163" i="15"/>
  <c r="AH163" i="15"/>
  <c r="AG163" i="15"/>
  <c r="AF163" i="15"/>
  <c r="AE163" i="15"/>
  <c r="AD163" i="15"/>
  <c r="AD90" i="15" s="1"/>
  <c r="AC163" i="15"/>
  <c r="AB163" i="15"/>
  <c r="AB90" i="15" s="1"/>
  <c r="AA163" i="15"/>
  <c r="AA90" i="15" s="1"/>
  <c r="Z163" i="15"/>
  <c r="Z90" i="15" s="1"/>
  <c r="Y163" i="15"/>
  <c r="Y90" i="15" s="1"/>
  <c r="X163" i="15"/>
  <c r="W163" i="15"/>
  <c r="W90" i="15" s="1"/>
  <c r="V163" i="15"/>
  <c r="V90" i="15" s="1"/>
  <c r="AO162" i="15"/>
  <c r="AN162" i="15"/>
  <c r="AM162" i="15"/>
  <c r="AL162" i="15"/>
  <c r="X89" i="15" s="1"/>
  <c r="AK162" i="15"/>
  <c r="AJ162" i="15"/>
  <c r="AI162" i="15"/>
  <c r="AH162" i="15"/>
  <c r="AG162" i="15"/>
  <c r="AF162" i="15"/>
  <c r="AE162" i="15"/>
  <c r="AD162" i="15"/>
  <c r="AD89" i="15" s="1"/>
  <c r="AC162" i="15"/>
  <c r="AC89" i="15" s="1"/>
  <c r="AB162" i="15"/>
  <c r="AB89" i="15" s="1"/>
  <c r="AA162" i="15"/>
  <c r="AA89" i="15" s="1"/>
  <c r="Z162" i="15"/>
  <c r="Z89" i="15" s="1"/>
  <c r="Y162" i="15"/>
  <c r="X162" i="15"/>
  <c r="W162" i="15"/>
  <c r="V162" i="15"/>
  <c r="V89" i="15" s="1"/>
  <c r="AO161" i="15"/>
  <c r="AN161" i="15"/>
  <c r="AM161" i="15"/>
  <c r="AL161" i="15"/>
  <c r="X88" i="15" s="1"/>
  <c r="AK161" i="15"/>
  <c r="AJ161" i="15"/>
  <c r="AI161" i="15"/>
  <c r="AH161" i="15"/>
  <c r="AG161" i="15"/>
  <c r="AF161" i="15"/>
  <c r="AE161" i="15"/>
  <c r="AD161" i="15"/>
  <c r="AD88" i="15" s="1"/>
  <c r="AC161" i="15"/>
  <c r="AC88" i="15" s="1"/>
  <c r="AB161" i="15"/>
  <c r="AB88" i="15" s="1"/>
  <c r="AA161" i="15"/>
  <c r="Z161" i="15"/>
  <c r="Z88" i="15" s="1"/>
  <c r="Y161" i="15"/>
  <c r="Y88" i="15" s="1"/>
  <c r="X161" i="15"/>
  <c r="W161" i="15"/>
  <c r="W88" i="15" s="1"/>
  <c r="V161" i="15"/>
  <c r="V88" i="15" s="1"/>
  <c r="AO160" i="15"/>
  <c r="AN160" i="15"/>
  <c r="AM160" i="15"/>
  <c r="AL160" i="15"/>
  <c r="X87" i="15" s="1"/>
  <c r="AK160" i="15"/>
  <c r="AJ160" i="15"/>
  <c r="AI160" i="15"/>
  <c r="AH160" i="15"/>
  <c r="AG160" i="15"/>
  <c r="AF160" i="15"/>
  <c r="AE160" i="15"/>
  <c r="AD160" i="15"/>
  <c r="AD87" i="15" s="1"/>
  <c r="AC160" i="15"/>
  <c r="AB160" i="15"/>
  <c r="AB87" i="15" s="1"/>
  <c r="AA160" i="15"/>
  <c r="AA87" i="15" s="1"/>
  <c r="Z160" i="15"/>
  <c r="Z87" i="15" s="1"/>
  <c r="Y160" i="15"/>
  <c r="X160" i="15"/>
  <c r="W160" i="15"/>
  <c r="V160" i="15"/>
  <c r="V87" i="15" s="1"/>
  <c r="AO159" i="15"/>
  <c r="AN159" i="15"/>
  <c r="AM159" i="15"/>
  <c r="AL159" i="15"/>
  <c r="AK159" i="15"/>
  <c r="AJ159" i="15"/>
  <c r="AI159" i="15"/>
  <c r="AH159" i="15"/>
  <c r="AG159" i="15"/>
  <c r="AF159" i="15"/>
  <c r="AE159" i="15"/>
  <c r="AD159" i="15"/>
  <c r="AC159" i="15"/>
  <c r="AB159" i="15"/>
  <c r="AA159" i="15"/>
  <c r="Z159" i="15"/>
  <c r="Y159" i="15"/>
  <c r="X159" i="15"/>
  <c r="W159" i="15"/>
  <c r="V159" i="15"/>
  <c r="AO158" i="15"/>
  <c r="AN158" i="15"/>
  <c r="AM158" i="15"/>
  <c r="AL158" i="15"/>
  <c r="AK158" i="15"/>
  <c r="AJ158" i="15"/>
  <c r="AI158" i="15"/>
  <c r="AH158" i="15"/>
  <c r="AG158" i="15"/>
  <c r="AF158" i="15"/>
  <c r="AE158" i="15"/>
  <c r="AD158" i="15"/>
  <c r="AC158" i="15"/>
  <c r="AB158" i="15"/>
  <c r="AA158" i="15"/>
  <c r="Z158" i="15"/>
  <c r="Y158" i="15"/>
  <c r="X158" i="15"/>
  <c r="W158" i="15"/>
  <c r="V158" i="15"/>
  <c r="AO157" i="15"/>
  <c r="AN157" i="15"/>
  <c r="AM157" i="15"/>
  <c r="AL157" i="15"/>
  <c r="AK157" i="15"/>
  <c r="AJ157" i="15"/>
  <c r="AI157" i="15"/>
  <c r="AH157" i="15"/>
  <c r="AG157" i="15"/>
  <c r="AF157" i="15"/>
  <c r="AE157" i="15"/>
  <c r="AD157" i="15"/>
  <c r="AC157" i="15"/>
  <c r="AB157" i="15"/>
  <c r="AA157" i="15"/>
  <c r="Z157" i="15"/>
  <c r="Y157" i="15"/>
  <c r="X157" i="15"/>
  <c r="W157" i="15"/>
  <c r="V157" i="15"/>
  <c r="AO156" i="15"/>
  <c r="AN156" i="15"/>
  <c r="AM156" i="15"/>
  <c r="AL156" i="15"/>
  <c r="AK156" i="15"/>
  <c r="AJ156" i="15"/>
  <c r="AI156" i="15"/>
  <c r="AH156" i="15"/>
  <c r="AG156" i="15"/>
  <c r="AF156" i="15"/>
  <c r="AE156" i="15"/>
  <c r="AD156" i="15"/>
  <c r="AC156" i="15"/>
  <c r="AB156" i="15"/>
  <c r="AA156" i="15"/>
  <c r="Z156" i="15"/>
  <c r="Y156" i="15"/>
  <c r="X156" i="15"/>
  <c r="W156" i="15"/>
  <c r="V156" i="15"/>
  <c r="AO155" i="15"/>
  <c r="AN155" i="15"/>
  <c r="AM155" i="15"/>
  <c r="AL155" i="15"/>
  <c r="AK155" i="15"/>
  <c r="AJ155" i="15"/>
  <c r="AI155" i="15"/>
  <c r="AH155" i="15"/>
  <c r="AG155" i="15"/>
  <c r="AF155" i="15"/>
  <c r="AE155" i="15"/>
  <c r="AD155" i="15"/>
  <c r="AC155" i="15"/>
  <c r="AB155" i="15"/>
  <c r="AA155" i="15"/>
  <c r="Z155" i="15"/>
  <c r="Y155" i="15"/>
  <c r="X155" i="15"/>
  <c r="W155" i="15"/>
  <c r="V155" i="15"/>
  <c r="AO154" i="15"/>
  <c r="AN154" i="15"/>
  <c r="AM154" i="15"/>
  <c r="AL154" i="15"/>
  <c r="AK154" i="15"/>
  <c r="AJ154" i="15"/>
  <c r="AI154" i="15"/>
  <c r="AH154" i="15"/>
  <c r="AG154" i="15"/>
  <c r="AF154" i="15"/>
  <c r="AE154" i="15"/>
  <c r="AD154" i="15"/>
  <c r="AC154" i="15"/>
  <c r="AB154" i="15"/>
  <c r="AA154" i="15"/>
  <c r="Z154" i="15"/>
  <c r="Y154" i="15"/>
  <c r="X154" i="15"/>
  <c r="W154" i="15"/>
  <c r="V154" i="15"/>
  <c r="AO153" i="15"/>
  <c r="AN153" i="15"/>
  <c r="AM153" i="15"/>
  <c r="AL153" i="15"/>
  <c r="AK153" i="15"/>
  <c r="AJ153" i="15"/>
  <c r="AI153" i="15"/>
  <c r="AH153" i="15"/>
  <c r="AG153" i="15"/>
  <c r="AF153" i="15"/>
  <c r="AE153" i="15"/>
  <c r="AD153" i="15"/>
  <c r="AC153" i="15"/>
  <c r="AB153" i="15"/>
  <c r="AA153" i="15"/>
  <c r="Z153" i="15"/>
  <c r="Y153" i="15"/>
  <c r="X153" i="15"/>
  <c r="W153" i="15"/>
  <c r="V153" i="15"/>
  <c r="AO152" i="15"/>
  <c r="AN152" i="15"/>
  <c r="AM152" i="15"/>
  <c r="AL152" i="15"/>
  <c r="AK152" i="15"/>
  <c r="AJ152" i="15"/>
  <c r="AI152" i="15"/>
  <c r="AH152" i="15"/>
  <c r="AG152" i="15"/>
  <c r="AF152" i="15"/>
  <c r="AE152" i="15"/>
  <c r="AD152" i="15"/>
  <c r="AC152" i="15"/>
  <c r="AB152" i="15"/>
  <c r="AA152" i="15"/>
  <c r="Z152" i="15"/>
  <c r="Y152" i="15"/>
  <c r="X152" i="15"/>
  <c r="W152" i="15"/>
  <c r="V152" i="15"/>
  <c r="AO151" i="15"/>
  <c r="AN151" i="15"/>
  <c r="AM151" i="15"/>
  <c r="AL151" i="15"/>
  <c r="AK151" i="15"/>
  <c r="AJ151" i="15"/>
  <c r="AI151" i="15"/>
  <c r="AH151" i="15"/>
  <c r="AG151" i="15"/>
  <c r="AF151" i="15"/>
  <c r="AE151" i="15"/>
  <c r="AD151" i="15"/>
  <c r="AC151" i="15"/>
  <c r="AB151" i="15"/>
  <c r="AA151" i="15"/>
  <c r="Z151" i="15"/>
  <c r="Y151" i="15"/>
  <c r="X151" i="15"/>
  <c r="W151" i="15"/>
  <c r="V151" i="15"/>
  <c r="AO150" i="15"/>
  <c r="AN150" i="15"/>
  <c r="AM150" i="15"/>
  <c r="AL150" i="15"/>
  <c r="AK150" i="15"/>
  <c r="AJ150" i="15"/>
  <c r="AI150" i="15"/>
  <c r="AH150" i="15"/>
  <c r="AG150" i="15"/>
  <c r="AF150" i="15"/>
  <c r="AE150" i="15"/>
  <c r="AD150" i="15"/>
  <c r="AC150" i="15"/>
  <c r="AB150" i="15"/>
  <c r="AA150" i="15"/>
  <c r="Z150" i="15"/>
  <c r="Y150" i="15"/>
  <c r="X150" i="15"/>
  <c r="W150" i="15"/>
  <c r="V150" i="15"/>
  <c r="AO149" i="15"/>
  <c r="AN149" i="15"/>
  <c r="AM149" i="15"/>
  <c r="AL149" i="15"/>
  <c r="AK149" i="15"/>
  <c r="AJ149" i="15"/>
  <c r="AI149" i="15"/>
  <c r="AH149" i="15"/>
  <c r="AG149" i="15"/>
  <c r="AF149" i="15"/>
  <c r="AE149" i="15"/>
  <c r="AD149" i="15"/>
  <c r="AC149" i="15"/>
  <c r="AB149" i="15"/>
  <c r="AA149" i="15"/>
  <c r="Z149" i="15"/>
  <c r="Y149" i="15"/>
  <c r="X149" i="15"/>
  <c r="W149" i="15"/>
  <c r="V149" i="15"/>
  <c r="AO148" i="15"/>
  <c r="AN148" i="15"/>
  <c r="AM148" i="15"/>
  <c r="AL148" i="15"/>
  <c r="AK148" i="15"/>
  <c r="AJ148" i="15"/>
  <c r="AI148" i="15"/>
  <c r="AH148" i="15"/>
  <c r="AG148" i="15"/>
  <c r="AF148" i="15"/>
  <c r="AE148" i="15"/>
  <c r="AD148" i="15"/>
  <c r="AC148" i="15"/>
  <c r="AB148" i="15"/>
  <c r="AA148" i="15"/>
  <c r="Z148" i="15"/>
  <c r="Y148" i="15"/>
  <c r="X148" i="15"/>
  <c r="W148" i="15"/>
  <c r="V148" i="15"/>
  <c r="AO147" i="15"/>
  <c r="AN147" i="15"/>
  <c r="AM147" i="15"/>
  <c r="AL147" i="15"/>
  <c r="AK147" i="15"/>
  <c r="AJ147" i="15"/>
  <c r="AI147" i="15"/>
  <c r="AH147" i="15"/>
  <c r="AG147" i="15"/>
  <c r="AF147" i="15"/>
  <c r="AE147" i="15"/>
  <c r="AD147" i="15"/>
  <c r="AC147" i="15"/>
  <c r="AB147" i="15"/>
  <c r="AA147" i="15"/>
  <c r="Z147" i="15"/>
  <c r="Y147" i="15"/>
  <c r="X147" i="15"/>
  <c r="W147" i="15"/>
  <c r="V147" i="15"/>
  <c r="AO146" i="15"/>
  <c r="AN146" i="15"/>
  <c r="AM146" i="15"/>
  <c r="AL146" i="15"/>
  <c r="AK146" i="15"/>
  <c r="AJ146" i="15"/>
  <c r="AI146" i="15"/>
  <c r="AH146" i="15"/>
  <c r="AG146" i="15"/>
  <c r="AF146" i="15"/>
  <c r="AE146" i="15"/>
  <c r="AD146" i="15"/>
  <c r="AC146" i="15"/>
  <c r="AB146" i="15"/>
  <c r="AA146" i="15"/>
  <c r="Z146" i="15"/>
  <c r="Y146" i="15"/>
  <c r="X146" i="15"/>
  <c r="W146" i="15"/>
  <c r="V146" i="15"/>
  <c r="AO145" i="15"/>
  <c r="AN145" i="15"/>
  <c r="AM145" i="15"/>
  <c r="AL145" i="15"/>
  <c r="AK145" i="15"/>
  <c r="AJ145" i="15"/>
  <c r="AI145" i="15"/>
  <c r="AH145" i="15"/>
  <c r="AG145" i="15"/>
  <c r="AF145" i="15"/>
  <c r="AE145" i="15"/>
  <c r="AD145" i="15"/>
  <c r="AC145" i="15"/>
  <c r="AB145" i="15"/>
  <c r="AA145" i="15"/>
  <c r="Z145" i="15"/>
  <c r="Y145" i="15"/>
  <c r="X145" i="15"/>
  <c r="W145" i="15"/>
  <c r="V145" i="15"/>
  <c r="AO144" i="15"/>
  <c r="AN144" i="15"/>
  <c r="AM144" i="15"/>
  <c r="AL144" i="15"/>
  <c r="AK144" i="15"/>
  <c r="AJ144" i="15"/>
  <c r="AI144" i="15"/>
  <c r="AH144" i="15"/>
  <c r="AG144" i="15"/>
  <c r="AF144" i="15"/>
  <c r="AE144" i="15"/>
  <c r="AD144" i="15"/>
  <c r="AC144" i="15"/>
  <c r="AB144" i="15"/>
  <c r="AA144" i="15"/>
  <c r="Z144" i="15"/>
  <c r="Y144" i="15"/>
  <c r="X144" i="15"/>
  <c r="W144" i="15"/>
  <c r="V144" i="15"/>
  <c r="AO143" i="15"/>
  <c r="AN143" i="15"/>
  <c r="AM143" i="15"/>
  <c r="AL143" i="15"/>
  <c r="AK143" i="15"/>
  <c r="AJ143" i="15"/>
  <c r="AI143" i="15"/>
  <c r="AH143" i="15"/>
  <c r="AG143" i="15"/>
  <c r="AF143" i="15"/>
  <c r="AE143" i="15"/>
  <c r="AD143" i="15"/>
  <c r="AC143" i="15"/>
  <c r="AB143" i="15"/>
  <c r="AA143" i="15"/>
  <c r="Z143" i="15"/>
  <c r="Y143" i="15"/>
  <c r="X143" i="15"/>
  <c r="W143" i="15"/>
  <c r="V143" i="15"/>
  <c r="AO142" i="15"/>
  <c r="AN142" i="15"/>
  <c r="AM142" i="15"/>
  <c r="AL142" i="15"/>
  <c r="AK142" i="15"/>
  <c r="AJ142" i="15"/>
  <c r="AI142" i="15"/>
  <c r="AH142" i="15"/>
  <c r="AG142" i="15"/>
  <c r="AF142" i="15"/>
  <c r="AE142" i="15"/>
  <c r="AD142" i="15"/>
  <c r="AC142" i="15"/>
  <c r="AB142" i="15"/>
  <c r="AA142" i="15"/>
  <c r="Z142" i="15"/>
  <c r="Y142" i="15"/>
  <c r="X142" i="15"/>
  <c r="W142" i="15"/>
  <c r="V142" i="15"/>
  <c r="AO141" i="15"/>
  <c r="AN141" i="15"/>
  <c r="AM141" i="15"/>
  <c r="AL141" i="15"/>
  <c r="AK141" i="15"/>
  <c r="AJ141" i="15"/>
  <c r="AI141" i="15"/>
  <c r="AH141" i="15"/>
  <c r="AG141" i="15"/>
  <c r="AF141" i="15"/>
  <c r="AE141" i="15"/>
  <c r="AD141" i="15"/>
  <c r="AC141" i="15"/>
  <c r="AB141" i="15"/>
  <c r="AA141" i="15"/>
  <c r="Z141" i="15"/>
  <c r="Y141" i="15"/>
  <c r="X141" i="15"/>
  <c r="W141" i="15"/>
  <c r="V141" i="15"/>
  <c r="AO140" i="15"/>
  <c r="AN140" i="15"/>
  <c r="AM140" i="15"/>
  <c r="AL140" i="15"/>
  <c r="AK140" i="15"/>
  <c r="AJ140" i="15"/>
  <c r="AI140" i="15"/>
  <c r="AH140" i="15"/>
  <c r="AG140" i="15"/>
  <c r="AF140" i="15"/>
  <c r="AE140" i="15"/>
  <c r="AD140" i="15"/>
  <c r="AC140" i="15"/>
  <c r="AB140" i="15"/>
  <c r="AA140" i="15"/>
  <c r="Z140" i="15"/>
  <c r="Y140" i="15"/>
  <c r="X140" i="15"/>
  <c r="W140" i="15"/>
  <c r="V140" i="15"/>
  <c r="AO139" i="15"/>
  <c r="AN139" i="15"/>
  <c r="AM139" i="15"/>
  <c r="AL139" i="15"/>
  <c r="AK139" i="15"/>
  <c r="AJ139" i="15"/>
  <c r="AI139" i="15"/>
  <c r="AH139" i="15"/>
  <c r="AG139" i="15"/>
  <c r="AF139" i="15"/>
  <c r="AE139" i="15"/>
  <c r="AD139" i="15"/>
  <c r="AC139" i="15"/>
  <c r="AB139" i="15"/>
  <c r="AA139" i="15"/>
  <c r="Z139" i="15"/>
  <c r="Y139" i="15"/>
  <c r="X139" i="15"/>
  <c r="W139" i="15"/>
  <c r="V139" i="15"/>
  <c r="AO138" i="15"/>
  <c r="AN138" i="15"/>
  <c r="AM138" i="15"/>
  <c r="AL138" i="15"/>
  <c r="AK138" i="15"/>
  <c r="AJ138" i="15"/>
  <c r="AI138" i="15"/>
  <c r="AH138" i="15"/>
  <c r="AG138" i="15"/>
  <c r="AF138" i="15"/>
  <c r="AE138" i="15"/>
  <c r="AD138" i="15"/>
  <c r="AC138" i="15"/>
  <c r="AB138" i="15"/>
  <c r="AA138" i="15"/>
  <c r="Z138" i="15"/>
  <c r="Y138" i="15"/>
  <c r="X138" i="15"/>
  <c r="W138" i="15"/>
  <c r="V138" i="15"/>
  <c r="AO137" i="15"/>
  <c r="AN137" i="15"/>
  <c r="AM137" i="15"/>
  <c r="AL137" i="15"/>
  <c r="AK137" i="15"/>
  <c r="AJ137" i="15"/>
  <c r="AI137" i="15"/>
  <c r="AH137" i="15"/>
  <c r="AG137" i="15"/>
  <c r="AF137" i="15"/>
  <c r="AE137" i="15"/>
  <c r="AD137" i="15"/>
  <c r="AC137" i="15"/>
  <c r="AB137" i="15"/>
  <c r="AA137" i="15"/>
  <c r="Z137" i="15"/>
  <c r="Y137" i="15"/>
  <c r="X137" i="15"/>
  <c r="W137" i="15"/>
  <c r="V137" i="15"/>
  <c r="AO136" i="15"/>
  <c r="AN136" i="15"/>
  <c r="AM136" i="15"/>
  <c r="AL136" i="15"/>
  <c r="AK136" i="15"/>
  <c r="AJ136" i="15"/>
  <c r="AI136" i="15"/>
  <c r="AH136" i="15"/>
  <c r="AG136" i="15"/>
  <c r="AF136" i="15"/>
  <c r="AE136" i="15"/>
  <c r="AD136" i="15"/>
  <c r="AC136" i="15"/>
  <c r="AB136" i="15"/>
  <c r="AA136" i="15"/>
  <c r="Z136" i="15"/>
  <c r="Y136" i="15"/>
  <c r="X136" i="15"/>
  <c r="W136" i="15"/>
  <c r="V136" i="15"/>
  <c r="AO135" i="15"/>
  <c r="AN135" i="15"/>
  <c r="AM135" i="15"/>
  <c r="AL135" i="15"/>
  <c r="AK135" i="15"/>
  <c r="AJ135" i="15"/>
  <c r="AI135" i="15"/>
  <c r="AH135" i="15"/>
  <c r="AG135" i="15"/>
  <c r="AF135" i="15"/>
  <c r="AE135" i="15"/>
  <c r="AD135" i="15"/>
  <c r="AC135" i="15"/>
  <c r="AB135" i="15"/>
  <c r="AA135" i="15"/>
  <c r="Z135" i="15"/>
  <c r="Y135" i="15"/>
  <c r="X135" i="15"/>
  <c r="W135" i="15"/>
  <c r="V135" i="15"/>
  <c r="AO134" i="15"/>
  <c r="AN134" i="15"/>
  <c r="AM134" i="15"/>
  <c r="AL134" i="15"/>
  <c r="AK134" i="15"/>
  <c r="AJ134" i="15"/>
  <c r="AI134" i="15"/>
  <c r="AH134" i="15"/>
  <c r="AG134" i="15"/>
  <c r="AF134" i="15"/>
  <c r="AE134" i="15"/>
  <c r="AD134" i="15"/>
  <c r="AC134" i="15"/>
  <c r="AB134" i="15"/>
  <c r="AA134" i="15"/>
  <c r="Z134" i="15"/>
  <c r="Y134" i="15"/>
  <c r="X134" i="15"/>
  <c r="W134" i="15"/>
  <c r="V134" i="15"/>
  <c r="AO133" i="15"/>
  <c r="AN133" i="15"/>
  <c r="AM133" i="15"/>
  <c r="AL133" i="15"/>
  <c r="AK133" i="15"/>
  <c r="AJ133" i="15"/>
  <c r="AI133" i="15"/>
  <c r="AH133" i="15"/>
  <c r="AG133" i="15"/>
  <c r="AF133" i="15"/>
  <c r="AE133" i="15"/>
  <c r="AD133" i="15"/>
  <c r="AC133" i="15"/>
  <c r="AB133" i="15"/>
  <c r="AA133" i="15"/>
  <c r="Z133" i="15"/>
  <c r="Y133" i="15"/>
  <c r="X133" i="15"/>
  <c r="W133" i="15"/>
  <c r="V133" i="15"/>
  <c r="AO132" i="15"/>
  <c r="AN132" i="15"/>
  <c r="AM132" i="15"/>
  <c r="AL132" i="15"/>
  <c r="AK132" i="15"/>
  <c r="AJ132" i="15"/>
  <c r="AI132" i="15"/>
  <c r="AH132" i="15"/>
  <c r="AG132" i="15"/>
  <c r="AF132" i="15"/>
  <c r="AE132" i="15"/>
  <c r="AD132" i="15"/>
  <c r="AC132" i="15"/>
  <c r="AB132" i="15"/>
  <c r="AA132" i="15"/>
  <c r="Z132" i="15"/>
  <c r="Y132" i="15"/>
  <c r="X132" i="15"/>
  <c r="W132" i="15"/>
  <c r="V132" i="15"/>
  <c r="AO131" i="15"/>
  <c r="AN131" i="15"/>
  <c r="AM131" i="15"/>
  <c r="AL131" i="15"/>
  <c r="AK131" i="15"/>
  <c r="AJ131" i="15"/>
  <c r="AI131" i="15"/>
  <c r="AH131" i="15"/>
  <c r="AG131" i="15"/>
  <c r="AF131" i="15"/>
  <c r="AE131" i="15"/>
  <c r="AD131" i="15"/>
  <c r="AC131" i="15"/>
  <c r="AB131" i="15"/>
  <c r="AA131" i="15"/>
  <c r="Z131" i="15"/>
  <c r="Y131" i="15"/>
  <c r="X131" i="15"/>
  <c r="W131" i="15"/>
  <c r="V131" i="15"/>
  <c r="AO130" i="15"/>
  <c r="AN130" i="15"/>
  <c r="AM130" i="15"/>
  <c r="AL130" i="15"/>
  <c r="AK130" i="15"/>
  <c r="AJ130" i="15"/>
  <c r="AI130" i="15"/>
  <c r="AH130" i="15"/>
  <c r="AG130" i="15"/>
  <c r="AF130" i="15"/>
  <c r="AE130" i="15"/>
  <c r="AD130" i="15"/>
  <c r="AC130" i="15"/>
  <c r="AB130" i="15"/>
  <c r="AA130" i="15"/>
  <c r="Z130" i="15"/>
  <c r="Y130" i="15"/>
  <c r="X130" i="15"/>
  <c r="W130" i="15"/>
  <c r="V130" i="15"/>
  <c r="AO129" i="15"/>
  <c r="AN129" i="15"/>
  <c r="AM129" i="15"/>
  <c r="AL129" i="15"/>
  <c r="AK129" i="15"/>
  <c r="AJ129" i="15"/>
  <c r="AI129" i="15"/>
  <c r="AH129" i="15"/>
  <c r="AG129" i="15"/>
  <c r="AF129" i="15"/>
  <c r="AE129" i="15"/>
  <c r="AD129" i="15"/>
  <c r="AC129" i="15"/>
  <c r="AB129" i="15"/>
  <c r="AA129" i="15"/>
  <c r="Z129" i="15"/>
  <c r="Y129" i="15"/>
  <c r="X129" i="15"/>
  <c r="W129" i="15"/>
  <c r="V129" i="15"/>
  <c r="AO128" i="15"/>
  <c r="AN128" i="15"/>
  <c r="AM128" i="15"/>
  <c r="AL128" i="15"/>
  <c r="AK128" i="15"/>
  <c r="AJ128" i="15"/>
  <c r="AI128" i="15"/>
  <c r="AH128" i="15"/>
  <c r="AG128" i="15"/>
  <c r="AF128" i="15"/>
  <c r="AE128" i="15"/>
  <c r="AD128" i="15"/>
  <c r="AC128" i="15"/>
  <c r="AB128" i="15"/>
  <c r="AA128" i="15"/>
  <c r="Z128" i="15"/>
  <c r="Y128" i="15"/>
  <c r="X128" i="15"/>
  <c r="W128" i="15"/>
  <c r="V128" i="15"/>
  <c r="AO127" i="15"/>
  <c r="AN127" i="15"/>
  <c r="AM127" i="15"/>
  <c r="AL127" i="15"/>
  <c r="AK127" i="15"/>
  <c r="AJ127" i="15"/>
  <c r="AI127" i="15"/>
  <c r="AH127" i="15"/>
  <c r="AG127" i="15"/>
  <c r="AF127" i="15"/>
  <c r="AE127" i="15"/>
  <c r="AD127" i="15"/>
  <c r="AC127" i="15"/>
  <c r="AB127" i="15"/>
  <c r="AA127" i="15"/>
  <c r="Z127" i="15"/>
  <c r="Y127" i="15"/>
  <c r="X127" i="15"/>
  <c r="W127" i="15"/>
  <c r="V127" i="15"/>
  <c r="AO126" i="15"/>
  <c r="AN126" i="15"/>
  <c r="AM126" i="15"/>
  <c r="AL126" i="15"/>
  <c r="AK126" i="15"/>
  <c r="AJ126" i="15"/>
  <c r="AI126" i="15"/>
  <c r="AH126" i="15"/>
  <c r="AG126" i="15"/>
  <c r="AF126" i="15"/>
  <c r="AE126" i="15"/>
  <c r="AD126" i="15"/>
  <c r="AC126" i="15"/>
  <c r="AB126" i="15"/>
  <c r="AA126" i="15"/>
  <c r="Z126" i="15"/>
  <c r="Y126" i="15"/>
  <c r="X126" i="15"/>
  <c r="W126" i="15"/>
  <c r="V126" i="15"/>
  <c r="AO125" i="15"/>
  <c r="AN125" i="15"/>
  <c r="AM125" i="15"/>
  <c r="AL125" i="15"/>
  <c r="AK125" i="15"/>
  <c r="AJ125" i="15"/>
  <c r="AI125" i="15"/>
  <c r="AH125" i="15"/>
  <c r="AG125" i="15"/>
  <c r="AF125" i="15"/>
  <c r="AE125" i="15"/>
  <c r="AD125" i="15"/>
  <c r="AC125" i="15"/>
  <c r="AB125" i="15"/>
  <c r="AA125" i="15"/>
  <c r="Z125" i="15"/>
  <c r="Y125" i="15"/>
  <c r="X125" i="15"/>
  <c r="W125" i="15"/>
  <c r="V125" i="15"/>
  <c r="AO124" i="15"/>
  <c r="AN124" i="15"/>
  <c r="AM124" i="15"/>
  <c r="AL124" i="15"/>
  <c r="AK124" i="15"/>
  <c r="AJ124" i="15"/>
  <c r="AI124" i="15"/>
  <c r="AH124" i="15"/>
  <c r="AG124" i="15"/>
  <c r="AF124" i="15"/>
  <c r="AE124" i="15"/>
  <c r="AD124" i="15"/>
  <c r="AC124" i="15"/>
  <c r="AB124" i="15"/>
  <c r="AA124" i="15"/>
  <c r="Z124" i="15"/>
  <c r="Y124" i="15"/>
  <c r="X124" i="15"/>
  <c r="W124" i="15"/>
  <c r="V124" i="15"/>
  <c r="AO123" i="15"/>
  <c r="AN123" i="15"/>
  <c r="AM123" i="15"/>
  <c r="AL123" i="15"/>
  <c r="AK123" i="15"/>
  <c r="AJ123" i="15"/>
  <c r="AI123" i="15"/>
  <c r="AH123" i="15"/>
  <c r="AG123" i="15"/>
  <c r="AF123" i="15"/>
  <c r="AE123" i="15"/>
  <c r="AD123" i="15"/>
  <c r="AC123" i="15"/>
  <c r="AB123" i="15"/>
  <c r="AA123" i="15"/>
  <c r="Z123" i="15"/>
  <c r="Y123" i="15"/>
  <c r="X123" i="15"/>
  <c r="W123" i="15"/>
  <c r="V123" i="15"/>
  <c r="AO122" i="15"/>
  <c r="AN122" i="15"/>
  <c r="AM122" i="15"/>
  <c r="AL122" i="15"/>
  <c r="AK122" i="15"/>
  <c r="AJ122" i="15"/>
  <c r="AI122" i="15"/>
  <c r="AH122" i="15"/>
  <c r="AG122" i="15"/>
  <c r="AF122" i="15"/>
  <c r="AE122" i="15"/>
  <c r="AD122" i="15"/>
  <c r="AC122" i="15"/>
  <c r="AB122" i="15"/>
  <c r="AA122" i="15"/>
  <c r="Z122" i="15"/>
  <c r="Y122" i="15"/>
  <c r="X122" i="15"/>
  <c r="W122" i="15"/>
  <c r="V122" i="15"/>
  <c r="AO121" i="15"/>
  <c r="AN121" i="15"/>
  <c r="AM121" i="15"/>
  <c r="AL121" i="15"/>
  <c r="AK121" i="15"/>
  <c r="AJ121" i="15"/>
  <c r="AI121" i="15"/>
  <c r="AH121" i="15"/>
  <c r="AG121" i="15"/>
  <c r="AF121" i="15"/>
  <c r="AE121" i="15"/>
  <c r="AD121" i="15"/>
  <c r="AC121" i="15"/>
  <c r="AB121" i="15"/>
  <c r="AA121" i="15"/>
  <c r="Z121" i="15"/>
  <c r="Y121" i="15"/>
  <c r="X121" i="15"/>
  <c r="W121" i="15"/>
  <c r="V121" i="15"/>
  <c r="AO120" i="15"/>
  <c r="AN120" i="15"/>
  <c r="AM120" i="15"/>
  <c r="AL120" i="15"/>
  <c r="AK120" i="15"/>
  <c r="AJ120" i="15"/>
  <c r="AI120" i="15"/>
  <c r="AH120" i="15"/>
  <c r="AG120" i="15"/>
  <c r="AF120" i="15"/>
  <c r="AE120" i="15"/>
  <c r="AD120" i="15"/>
  <c r="AC120" i="15"/>
  <c r="AB120" i="15"/>
  <c r="AA120" i="15"/>
  <c r="Z120" i="15"/>
  <c r="Y120" i="15"/>
  <c r="X120" i="15"/>
  <c r="W120" i="15"/>
  <c r="V120" i="15"/>
  <c r="AO119" i="15"/>
  <c r="AN119" i="15"/>
  <c r="AM119" i="15"/>
  <c r="AL119" i="15"/>
  <c r="AK119" i="15"/>
  <c r="AJ119" i="15"/>
  <c r="AI119" i="15"/>
  <c r="AH119" i="15"/>
  <c r="AG119" i="15"/>
  <c r="AF119" i="15"/>
  <c r="AE119" i="15"/>
  <c r="AD119" i="15"/>
  <c r="AC119" i="15"/>
  <c r="AB119" i="15"/>
  <c r="AA119" i="15"/>
  <c r="Z119" i="15"/>
  <c r="Y119" i="15"/>
  <c r="X119" i="15"/>
  <c r="W119" i="15"/>
  <c r="V119" i="15"/>
  <c r="AO118" i="15"/>
  <c r="AN118" i="15"/>
  <c r="AM118" i="15"/>
  <c r="AL118" i="15"/>
  <c r="AK118" i="15"/>
  <c r="AJ118" i="15"/>
  <c r="AI118" i="15"/>
  <c r="AH118" i="15"/>
  <c r="AG118" i="15"/>
  <c r="AF118" i="15"/>
  <c r="AE118" i="15"/>
  <c r="AD118" i="15"/>
  <c r="AC118" i="15"/>
  <c r="AB118" i="15"/>
  <c r="AA118" i="15"/>
  <c r="Z118" i="15"/>
  <c r="Y118" i="15"/>
  <c r="X118" i="15"/>
  <c r="W118" i="15"/>
  <c r="V118" i="15"/>
  <c r="AO117" i="15"/>
  <c r="AN117" i="15"/>
  <c r="AM117" i="15"/>
  <c r="AL117" i="15"/>
  <c r="AK117" i="15"/>
  <c r="AJ117" i="15"/>
  <c r="AI117" i="15"/>
  <c r="AH117" i="15"/>
  <c r="AG117" i="15"/>
  <c r="AF117" i="15"/>
  <c r="AE117" i="15"/>
  <c r="AD117" i="15"/>
  <c r="AC117" i="15"/>
  <c r="AB117" i="15"/>
  <c r="AA117" i="15"/>
  <c r="Z117" i="15"/>
  <c r="Y117" i="15"/>
  <c r="X117" i="15"/>
  <c r="W117" i="15"/>
  <c r="V117" i="15"/>
  <c r="AO116" i="15"/>
  <c r="AN116" i="15"/>
  <c r="AM116" i="15"/>
  <c r="AL116" i="15"/>
  <c r="AK116" i="15"/>
  <c r="AJ116" i="15"/>
  <c r="AI116" i="15"/>
  <c r="AH116" i="15"/>
  <c r="AG116" i="15"/>
  <c r="AF116" i="15"/>
  <c r="AE116" i="15"/>
  <c r="AD116" i="15"/>
  <c r="AC116" i="15"/>
  <c r="AB116" i="15"/>
  <c r="AA116" i="15"/>
  <c r="Z116" i="15"/>
  <c r="Y116" i="15"/>
  <c r="X116" i="15"/>
  <c r="W116" i="15"/>
  <c r="V116" i="15"/>
  <c r="AO115" i="15"/>
  <c r="AN115" i="15"/>
  <c r="AM115" i="15"/>
  <c r="AL115" i="15"/>
  <c r="AK115" i="15"/>
  <c r="AJ115" i="15"/>
  <c r="AI115" i="15"/>
  <c r="AH115" i="15"/>
  <c r="AG115" i="15"/>
  <c r="AF115" i="15"/>
  <c r="AE115" i="15"/>
  <c r="AD115" i="15"/>
  <c r="AC115" i="15"/>
  <c r="AB115" i="15"/>
  <c r="AA115" i="15"/>
  <c r="Z115" i="15"/>
  <c r="Y115" i="15"/>
  <c r="X115" i="15"/>
  <c r="W115" i="15"/>
  <c r="V115" i="15"/>
  <c r="AO114" i="15"/>
  <c r="AN114" i="15"/>
  <c r="AM114" i="15"/>
  <c r="AL114" i="15"/>
  <c r="AK114" i="15"/>
  <c r="AJ114" i="15"/>
  <c r="AI114" i="15"/>
  <c r="AH114" i="15"/>
  <c r="AG114" i="15"/>
  <c r="AF114" i="15"/>
  <c r="AE114" i="15"/>
  <c r="AD114" i="15"/>
  <c r="AC114" i="15"/>
  <c r="AB114" i="15"/>
  <c r="AA114" i="15"/>
  <c r="Z114" i="15"/>
  <c r="Y114" i="15"/>
  <c r="X114" i="15"/>
  <c r="W114" i="15"/>
  <c r="V114" i="15"/>
  <c r="AO113" i="15"/>
  <c r="AN113" i="15"/>
  <c r="AM113" i="15"/>
  <c r="AL113" i="15"/>
  <c r="AK113" i="15"/>
  <c r="AJ113" i="15"/>
  <c r="AI113" i="15"/>
  <c r="AH113" i="15"/>
  <c r="AG113" i="15"/>
  <c r="AF113" i="15"/>
  <c r="AE113" i="15"/>
  <c r="AD113" i="15"/>
  <c r="AC113" i="15"/>
  <c r="AB113" i="15"/>
  <c r="AA113" i="15"/>
  <c r="Z113" i="15"/>
  <c r="Y113" i="15"/>
  <c r="X113" i="15"/>
  <c r="W113" i="15"/>
  <c r="V113" i="15"/>
  <c r="AO112" i="15"/>
  <c r="AN112" i="15"/>
  <c r="AM112" i="15"/>
  <c r="AL112" i="15"/>
  <c r="AK112" i="15"/>
  <c r="AJ112" i="15"/>
  <c r="AI112" i="15"/>
  <c r="AH112" i="15"/>
  <c r="AG112" i="15"/>
  <c r="AF112" i="15"/>
  <c r="AE112" i="15"/>
  <c r="AD112" i="15"/>
  <c r="AC112" i="15"/>
  <c r="AB112" i="15"/>
  <c r="AA112" i="15"/>
  <c r="Z112" i="15"/>
  <c r="Y112" i="15"/>
  <c r="X112" i="15"/>
  <c r="W112" i="15"/>
  <c r="V112" i="15"/>
  <c r="AO111" i="15"/>
  <c r="AN111" i="15"/>
  <c r="AM111" i="15"/>
  <c r="AL111" i="15"/>
  <c r="AK111" i="15"/>
  <c r="AJ111" i="15"/>
  <c r="AI111" i="15"/>
  <c r="AH111" i="15"/>
  <c r="AG111" i="15"/>
  <c r="AF111" i="15"/>
  <c r="AE111" i="15"/>
  <c r="AD111" i="15"/>
  <c r="AC111" i="15"/>
  <c r="AB111" i="15"/>
  <c r="AA111" i="15"/>
  <c r="Z111" i="15"/>
  <c r="Y111" i="15"/>
  <c r="X111" i="15"/>
  <c r="W111" i="15"/>
  <c r="V111" i="15"/>
  <c r="AO110" i="15"/>
  <c r="AN110" i="15"/>
  <c r="AM110" i="15"/>
  <c r="AL110" i="15"/>
  <c r="AK110" i="15"/>
  <c r="AJ110" i="15"/>
  <c r="AI110" i="15"/>
  <c r="AH110" i="15"/>
  <c r="AG110" i="15"/>
  <c r="AF110" i="15"/>
  <c r="AE110" i="15"/>
  <c r="AD110" i="15"/>
  <c r="AC110" i="15"/>
  <c r="AB110" i="15"/>
  <c r="AA110" i="15"/>
  <c r="Z110" i="15"/>
  <c r="Y110" i="15"/>
  <c r="X110" i="15"/>
  <c r="W110" i="15"/>
  <c r="V110" i="15"/>
  <c r="AO109" i="15"/>
  <c r="AN109" i="15"/>
  <c r="AM109" i="15"/>
  <c r="AL109" i="15"/>
  <c r="AK109" i="15"/>
  <c r="AJ109" i="15"/>
  <c r="AI109" i="15"/>
  <c r="AH109" i="15"/>
  <c r="AG109" i="15"/>
  <c r="AF109" i="15"/>
  <c r="AE109" i="15"/>
  <c r="AD109" i="15"/>
  <c r="AC109" i="15"/>
  <c r="AB109" i="15"/>
  <c r="AA109" i="15"/>
  <c r="Z109" i="15"/>
  <c r="Y109" i="15"/>
  <c r="X109" i="15"/>
  <c r="W109" i="15"/>
  <c r="V109" i="15"/>
  <c r="AO108" i="15"/>
  <c r="AN108" i="15"/>
  <c r="AM108" i="15"/>
  <c r="AL108" i="15"/>
  <c r="AK108" i="15"/>
  <c r="AJ108" i="15"/>
  <c r="AI108" i="15"/>
  <c r="AH108" i="15"/>
  <c r="AG108" i="15"/>
  <c r="AF108" i="15"/>
  <c r="AE108" i="15"/>
  <c r="AD108" i="15"/>
  <c r="AC108" i="15"/>
  <c r="AB108" i="15"/>
  <c r="AA108" i="15"/>
  <c r="Z108" i="15"/>
  <c r="Y108" i="15"/>
  <c r="X108" i="15"/>
  <c r="W108" i="15"/>
  <c r="V108" i="15"/>
  <c r="AO107" i="15"/>
  <c r="AN107" i="15"/>
  <c r="AM107" i="15"/>
  <c r="AL107" i="15"/>
  <c r="AK107" i="15"/>
  <c r="AJ107" i="15"/>
  <c r="AI107" i="15"/>
  <c r="AH107" i="15"/>
  <c r="AG107" i="15"/>
  <c r="AF107" i="15"/>
  <c r="AE107" i="15"/>
  <c r="AD107" i="15"/>
  <c r="AC107" i="15"/>
  <c r="AB107" i="15"/>
  <c r="AA107" i="15"/>
  <c r="Z107" i="15"/>
  <c r="Y107" i="15"/>
  <c r="X107" i="15"/>
  <c r="W107" i="15"/>
  <c r="V107" i="15"/>
  <c r="AO106" i="15"/>
  <c r="AN106" i="15"/>
  <c r="AM106" i="15"/>
  <c r="AL106" i="15"/>
  <c r="AK106" i="15"/>
  <c r="AJ106" i="15"/>
  <c r="AI106" i="15"/>
  <c r="AH106" i="15"/>
  <c r="AG106" i="15"/>
  <c r="AF106" i="15"/>
  <c r="AE106" i="15"/>
  <c r="AD106" i="15"/>
  <c r="AC106" i="15"/>
  <c r="AB106" i="15"/>
  <c r="AA106" i="15"/>
  <c r="Z106" i="15"/>
  <c r="Y106" i="15"/>
  <c r="X106" i="15"/>
  <c r="W106" i="15"/>
  <c r="V106" i="15"/>
  <c r="AO105" i="15"/>
  <c r="AN105" i="15"/>
  <c r="AM105" i="15"/>
  <c r="AL105" i="15"/>
  <c r="AK105" i="15"/>
  <c r="AJ105" i="15"/>
  <c r="AI105" i="15"/>
  <c r="AH105" i="15"/>
  <c r="AG105" i="15"/>
  <c r="AF105" i="15"/>
  <c r="AE105" i="15"/>
  <c r="AD105" i="15"/>
  <c r="AC105" i="15"/>
  <c r="AB105" i="15"/>
  <c r="AA105" i="15"/>
  <c r="Z105" i="15"/>
  <c r="Y105" i="15"/>
  <c r="X105" i="15"/>
  <c r="W105" i="15"/>
  <c r="V105" i="15"/>
  <c r="AO104" i="15"/>
  <c r="AN104" i="15"/>
  <c r="AM104" i="15"/>
  <c r="AL104" i="15"/>
  <c r="AK104" i="15"/>
  <c r="AJ104" i="15"/>
  <c r="AI104" i="15"/>
  <c r="AH104" i="15"/>
  <c r="AG104" i="15"/>
  <c r="AF104" i="15"/>
  <c r="AE104" i="15"/>
  <c r="AD104" i="15"/>
  <c r="AC104" i="15"/>
  <c r="AB104" i="15"/>
  <c r="AA104" i="15"/>
  <c r="Z104" i="15"/>
  <c r="Y104" i="15"/>
  <c r="X104" i="15"/>
  <c r="W104" i="15"/>
  <c r="V104" i="15"/>
  <c r="AO103" i="15"/>
  <c r="AN103" i="15"/>
  <c r="AM103" i="15"/>
  <c r="AL103" i="15"/>
  <c r="AK103" i="15"/>
  <c r="AJ103" i="15"/>
  <c r="AI103" i="15"/>
  <c r="AH103" i="15"/>
  <c r="AG103" i="15"/>
  <c r="AF103" i="15"/>
  <c r="AE103" i="15"/>
  <c r="AD103" i="15"/>
  <c r="AC103" i="15"/>
  <c r="AB103" i="15"/>
  <c r="AA103" i="15"/>
  <c r="Z103" i="15"/>
  <c r="Y103" i="15"/>
  <c r="X103" i="15"/>
  <c r="W103" i="15"/>
  <c r="V103" i="15"/>
  <c r="AO102" i="15"/>
  <c r="AN102" i="15"/>
  <c r="AM102" i="15"/>
  <c r="AL102" i="15"/>
  <c r="AK102" i="15"/>
  <c r="AJ102" i="15"/>
  <c r="AI102" i="15"/>
  <c r="AH102" i="15"/>
  <c r="AG102" i="15"/>
  <c r="AF102" i="15"/>
  <c r="AE102" i="15"/>
  <c r="AD102" i="15"/>
  <c r="AC102" i="15"/>
  <c r="AB102" i="15"/>
  <c r="AA102" i="15"/>
  <c r="Z102" i="15"/>
  <c r="Y102" i="15"/>
  <c r="X102" i="15"/>
  <c r="W102" i="15"/>
  <c r="V102" i="15"/>
  <c r="AO101" i="15"/>
  <c r="AN101" i="15"/>
  <c r="AM101" i="15"/>
  <c r="AL101" i="15"/>
  <c r="AK101" i="15"/>
  <c r="AJ101" i="15"/>
  <c r="AI101" i="15"/>
  <c r="AH101" i="15"/>
  <c r="AG101" i="15"/>
  <c r="AF101" i="15"/>
  <c r="AE101" i="15"/>
  <c r="AD101" i="15"/>
  <c r="AC101" i="15"/>
  <c r="AB101" i="15"/>
  <c r="AA101" i="15"/>
  <c r="Z101" i="15"/>
  <c r="Y101" i="15"/>
  <c r="X101" i="15"/>
  <c r="W101" i="15"/>
  <c r="V101" i="15"/>
  <c r="AO100" i="15"/>
  <c r="AN100" i="15"/>
  <c r="AM100" i="15"/>
  <c r="AL100" i="15"/>
  <c r="AK100" i="15"/>
  <c r="AJ100" i="15"/>
  <c r="AI100" i="15"/>
  <c r="AH100" i="15"/>
  <c r="AG100" i="15"/>
  <c r="AF100" i="15"/>
  <c r="AE100" i="15"/>
  <c r="AD100" i="15"/>
  <c r="AC100" i="15"/>
  <c r="AB100" i="15"/>
  <c r="AA100" i="15"/>
  <c r="Z100" i="15"/>
  <c r="Y100" i="15"/>
  <c r="X100" i="15"/>
  <c r="W100" i="15"/>
  <c r="V100" i="15"/>
  <c r="AV95" i="15"/>
  <c r="Y95" i="15"/>
  <c r="AV94" i="15"/>
  <c r="AC94" i="15"/>
  <c r="AA94" i="15"/>
  <c r="W94" i="15"/>
  <c r="AV93" i="15"/>
  <c r="AC93" i="15"/>
  <c r="AA93" i="15"/>
  <c r="W93" i="15"/>
  <c r="AV92" i="15"/>
  <c r="AA92" i="15"/>
  <c r="Y92" i="15"/>
  <c r="W92" i="15"/>
  <c r="AV91" i="15"/>
  <c r="AA91" i="15"/>
  <c r="AV90" i="15"/>
  <c r="AC90" i="15"/>
  <c r="AV89" i="15"/>
  <c r="Y89" i="15"/>
  <c r="W89" i="15"/>
  <c r="AV88" i="15"/>
  <c r="AA88" i="15"/>
  <c r="AV87" i="15"/>
  <c r="AC87" i="15"/>
  <c r="Y87" i="15"/>
  <c r="W87" i="15"/>
  <c r="AV86" i="15"/>
  <c r="AV85" i="15"/>
  <c r="AV84" i="15"/>
  <c r="AV83" i="15"/>
  <c r="AV82" i="15"/>
  <c r="Z82" i="15"/>
  <c r="Y82" i="15"/>
  <c r="X82" i="15"/>
  <c r="W82" i="15"/>
  <c r="V82" i="15"/>
  <c r="AV81" i="15"/>
  <c r="Z81" i="15"/>
  <c r="Y81" i="15"/>
  <c r="X81" i="15"/>
  <c r="W81" i="15"/>
  <c r="V81" i="15"/>
  <c r="AV80" i="15"/>
  <c r="Z80" i="15"/>
  <c r="Y80" i="15"/>
  <c r="X80" i="15"/>
  <c r="W80" i="15"/>
  <c r="V80" i="15"/>
  <c r="AV79" i="15"/>
  <c r="Z79" i="15"/>
  <c r="Y79" i="15"/>
  <c r="X79" i="15"/>
  <c r="W79" i="15"/>
  <c r="V79" i="15"/>
  <c r="AV78" i="15"/>
  <c r="Z78" i="15"/>
  <c r="Y78" i="15"/>
  <c r="X78" i="15"/>
  <c r="W78" i="15"/>
  <c r="V78" i="15"/>
  <c r="AV77" i="15"/>
  <c r="Z77" i="15"/>
  <c r="Y77" i="15"/>
  <c r="X77" i="15"/>
  <c r="W77" i="15"/>
  <c r="V77" i="15"/>
  <c r="AV76" i="15"/>
  <c r="Z76" i="15"/>
  <c r="Y76" i="15"/>
  <c r="X76" i="15"/>
  <c r="W76" i="15"/>
  <c r="V76" i="15"/>
  <c r="AV75" i="15"/>
  <c r="Z75" i="15"/>
  <c r="Y75" i="15"/>
  <c r="X75" i="15"/>
  <c r="W75" i="15"/>
  <c r="V75" i="15"/>
  <c r="AV74" i="15"/>
  <c r="Z74" i="15"/>
  <c r="Y74" i="15"/>
  <c r="X74" i="15"/>
  <c r="W74" i="15"/>
  <c r="V74" i="15"/>
  <c r="AV73" i="15"/>
  <c r="Z73" i="15"/>
  <c r="Y73" i="15"/>
  <c r="X73" i="15"/>
  <c r="W73" i="15"/>
  <c r="V73" i="15"/>
  <c r="AV72" i="15"/>
  <c r="AV71" i="15"/>
  <c r="AV70" i="15"/>
  <c r="AV69" i="15"/>
  <c r="AV68" i="15"/>
  <c r="AA68" i="15"/>
  <c r="Z68" i="15"/>
  <c r="Y68" i="15"/>
  <c r="X68" i="15"/>
  <c r="W68" i="15"/>
  <c r="V68" i="15"/>
  <c r="AV67" i="15"/>
  <c r="AA67" i="15"/>
  <c r="Z67" i="15"/>
  <c r="Y67" i="15"/>
  <c r="X67" i="15"/>
  <c r="W67" i="15"/>
  <c r="V67" i="15"/>
  <c r="AV66" i="15"/>
  <c r="Z66" i="15"/>
  <c r="Y66" i="15"/>
  <c r="X66" i="15"/>
  <c r="W66" i="15"/>
  <c r="V66" i="15"/>
  <c r="AV65" i="15"/>
  <c r="AA65" i="15"/>
  <c r="Z65" i="15"/>
  <c r="Y65" i="15"/>
  <c r="X65" i="15"/>
  <c r="W65" i="15"/>
  <c r="V65" i="15"/>
  <c r="AV64" i="15"/>
  <c r="AA64" i="15"/>
  <c r="Z64" i="15"/>
  <c r="Y64" i="15"/>
  <c r="X64" i="15"/>
  <c r="W64" i="15"/>
  <c r="V64" i="15"/>
  <c r="AV63" i="15"/>
  <c r="AA63" i="15"/>
  <c r="Z63" i="15"/>
  <c r="Y63" i="15"/>
  <c r="X63" i="15"/>
  <c r="W63" i="15"/>
  <c r="V63" i="15"/>
  <c r="AV62" i="15"/>
  <c r="AA62" i="15"/>
  <c r="Z62" i="15"/>
  <c r="Y62" i="15"/>
  <c r="X62" i="15"/>
  <c r="W62" i="15"/>
  <c r="V62" i="15"/>
  <c r="AV61" i="15"/>
  <c r="AA61" i="15"/>
  <c r="Z61" i="15"/>
  <c r="Y61" i="15"/>
  <c r="X61" i="15"/>
  <c r="W61" i="15"/>
  <c r="V61" i="15"/>
  <c r="AV60" i="15"/>
  <c r="AA60" i="15"/>
  <c r="Z60" i="15"/>
  <c r="Y60" i="15"/>
  <c r="X60" i="15"/>
  <c r="W60" i="15"/>
  <c r="V60" i="15"/>
  <c r="AV59" i="15"/>
  <c r="AA59" i="15"/>
  <c r="Z59" i="15"/>
  <c r="Y59" i="15"/>
  <c r="X59" i="15"/>
  <c r="W59" i="15"/>
  <c r="V59" i="15"/>
  <c r="AV58" i="15"/>
  <c r="AQ58" i="15"/>
  <c r="AQ59" i="15" s="1"/>
  <c r="D40" i="15" s="1"/>
  <c r="AA58" i="15"/>
  <c r="Z58" i="15"/>
  <c r="Y58" i="15"/>
  <c r="X58" i="15"/>
  <c r="W58" i="15"/>
  <c r="V58" i="15"/>
  <c r="AV57" i="15"/>
  <c r="AA57" i="15"/>
  <c r="Z57" i="15"/>
  <c r="Y57" i="15"/>
  <c r="X57" i="15"/>
  <c r="W57" i="15"/>
  <c r="V57" i="15"/>
  <c r="AV56" i="15"/>
  <c r="AA56" i="15"/>
  <c r="Z56" i="15"/>
  <c r="Y56" i="15"/>
  <c r="X56" i="15"/>
  <c r="W56" i="15"/>
  <c r="V56" i="15"/>
  <c r="AV55" i="15"/>
  <c r="AV54" i="15"/>
  <c r="AV53" i="15"/>
  <c r="AV52" i="15"/>
  <c r="AV51" i="15"/>
  <c r="B47" i="15"/>
  <c r="AQ34" i="15" s="1"/>
  <c r="AP44" i="15"/>
  <c r="B59" i="15" s="1"/>
  <c r="AP43" i="15"/>
  <c r="B58" i="15" s="1"/>
  <c r="AP42" i="15"/>
  <c r="B57" i="15" s="1"/>
  <c r="X42" i="15"/>
  <c r="B42" i="15"/>
  <c r="AQ29" i="15" s="1"/>
  <c r="AP41" i="15"/>
  <c r="B56" i="15" s="1"/>
  <c r="X41" i="15"/>
  <c r="AP40" i="15"/>
  <c r="B55" i="15" s="1"/>
  <c r="X40" i="15"/>
  <c r="B40" i="15"/>
  <c r="X39" i="15"/>
  <c r="X38" i="15"/>
  <c r="X37" i="15"/>
  <c r="X36" i="15"/>
  <c r="X35" i="15"/>
  <c r="Q35" i="15"/>
  <c r="P35" i="15"/>
  <c r="E18" i="15" s="1"/>
  <c r="B35" i="15"/>
  <c r="X34" i="15"/>
  <c r="J34" i="15"/>
  <c r="X33" i="15"/>
  <c r="X32" i="15"/>
  <c r="AG31" i="15"/>
  <c r="X31" i="15"/>
  <c r="AC30" i="15"/>
  <c r="O99" i="15" s="1"/>
  <c r="X30" i="15"/>
  <c r="X29" i="15"/>
  <c r="B29" i="15"/>
  <c r="AQ27" i="15" s="1"/>
  <c r="X28" i="15"/>
  <c r="B27" i="15"/>
  <c r="P25" i="15"/>
  <c r="I24" i="15" s="1"/>
  <c r="P24" i="15"/>
  <c r="G20" i="15" s="1"/>
  <c r="G24" i="15"/>
  <c r="E24" i="15"/>
  <c r="C24" i="15"/>
  <c r="AB23" i="15"/>
  <c r="AA23" i="15"/>
  <c r="Z23" i="15"/>
  <c r="AC23" i="15" s="1"/>
  <c r="Y23" i="15"/>
  <c r="I23" i="15"/>
  <c r="G23" i="15"/>
  <c r="E23" i="15"/>
  <c r="C23" i="15"/>
  <c r="AC22" i="15"/>
  <c r="AB22" i="15"/>
  <c r="AA22" i="15"/>
  <c r="Z22" i="15"/>
  <c r="Y22" i="15"/>
  <c r="AD22" i="15" s="1"/>
  <c r="AB39" i="15" s="1"/>
  <c r="AC32" i="15" s="1"/>
  <c r="I22" i="15"/>
  <c r="G22" i="15"/>
  <c r="E22" i="15"/>
  <c r="C22" i="15"/>
  <c r="I21" i="15"/>
  <c r="G21" i="15"/>
  <c r="E21" i="15"/>
  <c r="C21" i="15"/>
  <c r="AQ20" i="15"/>
  <c r="AI20" i="15"/>
  <c r="I20" i="15"/>
  <c r="AQ19" i="15"/>
  <c r="AI19" i="15"/>
  <c r="AQ18" i="15"/>
  <c r="AI18" i="15"/>
  <c r="AJ18" i="15" s="1"/>
  <c r="I18" i="15"/>
  <c r="AI17" i="15"/>
  <c r="AI16" i="15"/>
  <c r="AI15" i="15"/>
  <c r="AJ15" i="15" s="1"/>
  <c r="AQ14" i="15"/>
  <c r="AI14" i="15"/>
  <c r="I14" i="15"/>
  <c r="AQ13" i="15"/>
  <c r="AI13" i="15"/>
  <c r="AQ12" i="15"/>
  <c r="B44" i="15" s="1"/>
  <c r="AQ31" i="15" s="1"/>
  <c r="AI12" i="15"/>
  <c r="AJ12" i="15" s="1"/>
  <c r="AI11" i="15"/>
  <c r="AB11" i="15"/>
  <c r="AC11" i="15" s="1"/>
  <c r="AA11" i="15"/>
  <c r="Z11" i="15"/>
  <c r="Y11" i="15"/>
  <c r="AI10" i="15"/>
  <c r="AB10" i="15"/>
  <c r="AA10" i="15"/>
  <c r="Z10" i="15"/>
  <c r="AC10" i="15" s="1"/>
  <c r="Y10" i="15"/>
  <c r="AI9" i="15"/>
  <c r="AJ9" i="15" s="1"/>
  <c r="AB9" i="15"/>
  <c r="AA9" i="15"/>
  <c r="Z9" i="15"/>
  <c r="AC9" i="15" s="1"/>
  <c r="Y9" i="15"/>
  <c r="AQ8" i="15"/>
  <c r="B43" i="15" s="1"/>
  <c r="AQ30" i="15" s="1"/>
  <c r="AB8" i="15"/>
  <c r="AA8" i="15"/>
  <c r="Z8" i="15"/>
  <c r="AC8" i="15" s="1"/>
  <c r="Y8" i="15"/>
  <c r="AQ7" i="15"/>
  <c r="AQ6" i="15"/>
  <c r="B41" i="15" s="1"/>
  <c r="AQ28" i="15" s="1"/>
  <c r="AS5" i="15"/>
  <c r="AO179" i="14"/>
  <c r="AN179" i="14"/>
  <c r="AM179" i="14"/>
  <c r="AL179" i="14"/>
  <c r="AK179" i="14"/>
  <c r="AJ179" i="14"/>
  <c r="AI179" i="14"/>
  <c r="AH179" i="14"/>
  <c r="AG179" i="14"/>
  <c r="AF179" i="14"/>
  <c r="AE179" i="14"/>
  <c r="AD179" i="14"/>
  <c r="AC179" i="14"/>
  <c r="AB179" i="14"/>
  <c r="AA179" i="14"/>
  <c r="Z179" i="14"/>
  <c r="Y179" i="14"/>
  <c r="X179" i="14"/>
  <c r="W179" i="14"/>
  <c r="V179" i="14"/>
  <c r="AO178" i="14"/>
  <c r="AN178" i="14"/>
  <c r="AM178" i="14"/>
  <c r="AL178" i="14"/>
  <c r="AK178" i="14"/>
  <c r="AJ178" i="14"/>
  <c r="AI178" i="14"/>
  <c r="AH178" i="14"/>
  <c r="AG178" i="14"/>
  <c r="AF178" i="14"/>
  <c r="AE178" i="14"/>
  <c r="AD178" i="14"/>
  <c r="AC178" i="14"/>
  <c r="AB178" i="14"/>
  <c r="AA178" i="14"/>
  <c r="Z178" i="14"/>
  <c r="Y178" i="14"/>
  <c r="X178" i="14"/>
  <c r="W178" i="14"/>
  <c r="V178" i="14"/>
  <c r="AO177" i="14"/>
  <c r="AN177" i="14"/>
  <c r="AM177" i="14"/>
  <c r="AL177" i="14"/>
  <c r="AK177" i="14"/>
  <c r="AJ177" i="14"/>
  <c r="AI177" i="14"/>
  <c r="AH177" i="14"/>
  <c r="AG177" i="14"/>
  <c r="AF177" i="14"/>
  <c r="AE177" i="14"/>
  <c r="AD177" i="14"/>
  <c r="AC177" i="14"/>
  <c r="AB177" i="14"/>
  <c r="AA177" i="14"/>
  <c r="Z177" i="14"/>
  <c r="Y177" i="14"/>
  <c r="X177" i="14"/>
  <c r="W177" i="14"/>
  <c r="V177" i="14"/>
  <c r="AO176" i="14"/>
  <c r="AN176" i="14"/>
  <c r="AM176" i="14"/>
  <c r="AL176" i="14"/>
  <c r="AK176" i="14"/>
  <c r="AJ176" i="14"/>
  <c r="AI176" i="14"/>
  <c r="AH176" i="14"/>
  <c r="AG176" i="14"/>
  <c r="AF176" i="14"/>
  <c r="AE176" i="14"/>
  <c r="AD176" i="14"/>
  <c r="AC176" i="14"/>
  <c r="AB176" i="14"/>
  <c r="AA176" i="14"/>
  <c r="Z176" i="14"/>
  <c r="Y176" i="14"/>
  <c r="X176" i="14"/>
  <c r="W176" i="14"/>
  <c r="V176" i="14"/>
  <c r="AO175" i="14"/>
  <c r="AN175" i="14"/>
  <c r="AM175" i="14"/>
  <c r="AL175" i="14"/>
  <c r="AK175" i="14"/>
  <c r="AJ175" i="14"/>
  <c r="AI175" i="14"/>
  <c r="AH175" i="14"/>
  <c r="AG175" i="14"/>
  <c r="AF175" i="14"/>
  <c r="AE175" i="14"/>
  <c r="AD175" i="14"/>
  <c r="AC175" i="14"/>
  <c r="AB175" i="14"/>
  <c r="AA175" i="14"/>
  <c r="Z175" i="14"/>
  <c r="Y175" i="14"/>
  <c r="X175" i="14"/>
  <c r="W175" i="14"/>
  <c r="V175" i="14"/>
  <c r="AO174" i="14"/>
  <c r="AN174" i="14"/>
  <c r="AM174" i="14"/>
  <c r="AL174" i="14"/>
  <c r="AK174" i="14"/>
  <c r="AJ174" i="14"/>
  <c r="AI174" i="14"/>
  <c r="AH174" i="14"/>
  <c r="AG174" i="14"/>
  <c r="AF174" i="14"/>
  <c r="AE174" i="14"/>
  <c r="AD174" i="14"/>
  <c r="AC174" i="14"/>
  <c r="AB174" i="14"/>
  <c r="AA174" i="14"/>
  <c r="Z174" i="14"/>
  <c r="Y174" i="14"/>
  <c r="X174" i="14"/>
  <c r="W174" i="14"/>
  <c r="V174" i="14"/>
  <c r="AO173" i="14"/>
  <c r="AN173" i="14"/>
  <c r="AM173" i="14"/>
  <c r="AL173" i="14"/>
  <c r="AK173" i="14"/>
  <c r="AJ173" i="14"/>
  <c r="AI173" i="14"/>
  <c r="AH173" i="14"/>
  <c r="AG173" i="14"/>
  <c r="AF173" i="14"/>
  <c r="AE173" i="14"/>
  <c r="AD173" i="14"/>
  <c r="AC173" i="14"/>
  <c r="AB173" i="14"/>
  <c r="AA173" i="14"/>
  <c r="Z173" i="14"/>
  <c r="Y173" i="14"/>
  <c r="X173" i="14"/>
  <c r="W173" i="14"/>
  <c r="V173" i="14"/>
  <c r="AO172" i="14"/>
  <c r="AN172" i="14"/>
  <c r="AM172" i="14"/>
  <c r="AL172" i="14"/>
  <c r="AK172" i="14"/>
  <c r="AJ172" i="14"/>
  <c r="AI172" i="14"/>
  <c r="AH172" i="14"/>
  <c r="AG172" i="14"/>
  <c r="AF172" i="14"/>
  <c r="AE172" i="14"/>
  <c r="AD172" i="14"/>
  <c r="AC172" i="14"/>
  <c r="AB172" i="14"/>
  <c r="AA172" i="14"/>
  <c r="Z172" i="14"/>
  <c r="Y172" i="14"/>
  <c r="X172" i="14"/>
  <c r="W172" i="14"/>
  <c r="V172" i="14"/>
  <c r="AO171" i="14"/>
  <c r="AN171" i="14"/>
  <c r="AM171" i="14"/>
  <c r="AL171" i="14"/>
  <c r="AK171" i="14"/>
  <c r="AJ171" i="14"/>
  <c r="AI171" i="14"/>
  <c r="AH171" i="14"/>
  <c r="AG171" i="14"/>
  <c r="AF171" i="14"/>
  <c r="AE171" i="14"/>
  <c r="AD171" i="14"/>
  <c r="AC171" i="14"/>
  <c r="AB171" i="14"/>
  <c r="AA171" i="14"/>
  <c r="Z171" i="14"/>
  <c r="Y171" i="14"/>
  <c r="X171" i="14"/>
  <c r="W171" i="14"/>
  <c r="V171" i="14"/>
  <c r="AO170" i="14"/>
  <c r="AN170" i="14"/>
  <c r="AM170" i="14"/>
  <c r="AL170" i="14"/>
  <c r="AK170" i="14"/>
  <c r="AJ170" i="14"/>
  <c r="AI170" i="14"/>
  <c r="AH170" i="14"/>
  <c r="AG170" i="14"/>
  <c r="AF170" i="14"/>
  <c r="AE170" i="14"/>
  <c r="AD170" i="14"/>
  <c r="AC170" i="14"/>
  <c r="AB170" i="14"/>
  <c r="AA170" i="14"/>
  <c r="Z170" i="14"/>
  <c r="Y170" i="14"/>
  <c r="X170" i="14"/>
  <c r="W170" i="14"/>
  <c r="V170" i="14"/>
  <c r="AO169" i="14"/>
  <c r="AN169" i="14"/>
  <c r="AM169" i="14"/>
  <c r="AL169" i="14"/>
  <c r="AK169" i="14"/>
  <c r="AJ169" i="14"/>
  <c r="AI169" i="14"/>
  <c r="AH169" i="14"/>
  <c r="AG169" i="14"/>
  <c r="AF169" i="14"/>
  <c r="AE169" i="14"/>
  <c r="AD169" i="14"/>
  <c r="AC169" i="14"/>
  <c r="AB169" i="14"/>
  <c r="AA169" i="14"/>
  <c r="Z169" i="14"/>
  <c r="Y169" i="14"/>
  <c r="X169" i="14"/>
  <c r="W169" i="14"/>
  <c r="V169" i="14"/>
  <c r="AO168" i="14"/>
  <c r="AN168" i="14"/>
  <c r="AM168" i="14"/>
  <c r="AL168" i="14"/>
  <c r="X95" i="14" s="1"/>
  <c r="AK168" i="14"/>
  <c r="AJ168" i="14"/>
  <c r="AI168" i="14"/>
  <c r="AH168" i="14"/>
  <c r="AG168" i="14"/>
  <c r="AF168" i="14"/>
  <c r="AE168" i="14"/>
  <c r="AD168" i="14"/>
  <c r="AD95" i="14" s="1"/>
  <c r="AC168" i="14"/>
  <c r="AC95" i="14" s="1"/>
  <c r="AB168" i="14"/>
  <c r="AB95" i="14" s="1"/>
  <c r="AA168" i="14"/>
  <c r="AA95" i="14" s="1"/>
  <c r="Z168" i="14"/>
  <c r="Y168" i="14"/>
  <c r="Y95" i="14" s="1"/>
  <c r="X168" i="14"/>
  <c r="W168" i="14"/>
  <c r="W95" i="14" s="1"/>
  <c r="V168" i="14"/>
  <c r="V95" i="14" s="1"/>
  <c r="AO167" i="14"/>
  <c r="AN167" i="14"/>
  <c r="AM167" i="14"/>
  <c r="AL167" i="14"/>
  <c r="X94" i="14" s="1"/>
  <c r="AK167" i="14"/>
  <c r="AJ167" i="14"/>
  <c r="AI167" i="14"/>
  <c r="AH167" i="14"/>
  <c r="AG167" i="14"/>
  <c r="AF167" i="14"/>
  <c r="AE167" i="14"/>
  <c r="AD167" i="14"/>
  <c r="AD94" i="14" s="1"/>
  <c r="AC167" i="14"/>
  <c r="AC94" i="14" s="1"/>
  <c r="AB167" i="14"/>
  <c r="AA167" i="14"/>
  <c r="AA94" i="14" s="1"/>
  <c r="Z167" i="14"/>
  <c r="Z94" i="14" s="1"/>
  <c r="Y167" i="14"/>
  <c r="Y94" i="14" s="1"/>
  <c r="X167" i="14"/>
  <c r="W167" i="14"/>
  <c r="W94" i="14" s="1"/>
  <c r="V167" i="14"/>
  <c r="V94" i="14" s="1"/>
  <c r="AO166" i="14"/>
  <c r="AN166" i="14"/>
  <c r="AM166" i="14"/>
  <c r="AL166" i="14"/>
  <c r="X93" i="14" s="1"/>
  <c r="AK166" i="14"/>
  <c r="AJ166" i="14"/>
  <c r="AI166" i="14"/>
  <c r="AH166" i="14"/>
  <c r="AG166" i="14"/>
  <c r="AF166" i="14"/>
  <c r="AE166" i="14"/>
  <c r="AD166" i="14"/>
  <c r="AC166" i="14"/>
  <c r="AC93" i="14" s="1"/>
  <c r="AB166" i="14"/>
  <c r="AB93" i="14" s="1"/>
  <c r="AA166" i="14"/>
  <c r="AA93" i="14" s="1"/>
  <c r="Z166" i="14"/>
  <c r="Y166" i="14"/>
  <c r="Y93" i="14" s="1"/>
  <c r="X166" i="14"/>
  <c r="W166" i="14"/>
  <c r="W93" i="14" s="1"/>
  <c r="V166" i="14"/>
  <c r="V93" i="14" s="1"/>
  <c r="AO165" i="14"/>
  <c r="AN165" i="14"/>
  <c r="AM165" i="14"/>
  <c r="AL165" i="14"/>
  <c r="AK165" i="14"/>
  <c r="AJ165" i="14"/>
  <c r="AI165" i="14"/>
  <c r="AH165" i="14"/>
  <c r="AG165" i="14"/>
  <c r="AF165" i="14"/>
  <c r="AE165" i="14"/>
  <c r="AD165" i="14"/>
  <c r="AD92" i="14" s="1"/>
  <c r="AC165" i="14"/>
  <c r="AC92" i="14" s="1"/>
  <c r="AB165" i="14"/>
  <c r="AB92" i="14" s="1"/>
  <c r="AA165" i="14"/>
  <c r="AA92" i="14" s="1"/>
  <c r="Z165" i="14"/>
  <c r="Z92" i="14" s="1"/>
  <c r="Y165" i="14"/>
  <c r="X165" i="14"/>
  <c r="W165" i="14"/>
  <c r="W92" i="14" s="1"/>
  <c r="V165" i="14"/>
  <c r="V92" i="14" s="1"/>
  <c r="AO164" i="14"/>
  <c r="AN164" i="14"/>
  <c r="AM164" i="14"/>
  <c r="AL164" i="14"/>
  <c r="X91" i="14" s="1"/>
  <c r="AK164" i="14"/>
  <c r="AJ164" i="14"/>
  <c r="AI164" i="14"/>
  <c r="AH164" i="14"/>
  <c r="AG164" i="14"/>
  <c r="AF164" i="14"/>
  <c r="AE164" i="14"/>
  <c r="AD164" i="14"/>
  <c r="AD91" i="14" s="1"/>
  <c r="AC164" i="14"/>
  <c r="AC91" i="14" s="1"/>
  <c r="AB164" i="14"/>
  <c r="AA164" i="14"/>
  <c r="AA91" i="14" s="1"/>
  <c r="Z164" i="14"/>
  <c r="Z91" i="14" s="1"/>
  <c r="Y164" i="14"/>
  <c r="Y91" i="14" s="1"/>
  <c r="X164" i="14"/>
  <c r="W164" i="14"/>
  <c r="W91" i="14" s="1"/>
  <c r="V164" i="14"/>
  <c r="AO163" i="14"/>
  <c r="AN163" i="14"/>
  <c r="AM163" i="14"/>
  <c r="AL163" i="14"/>
  <c r="AK163" i="14"/>
  <c r="AJ163" i="14"/>
  <c r="AI163" i="14"/>
  <c r="AH163" i="14"/>
  <c r="AG163" i="14"/>
  <c r="AF163" i="14"/>
  <c r="AE163" i="14"/>
  <c r="AD163" i="14"/>
  <c r="AD90" i="14" s="1"/>
  <c r="AC163" i="14"/>
  <c r="AC90" i="14" s="1"/>
  <c r="AB163" i="14"/>
  <c r="AB90" i="14" s="1"/>
  <c r="AA163" i="14"/>
  <c r="AA90" i="14" s="1"/>
  <c r="Z163" i="14"/>
  <c r="Z90" i="14" s="1"/>
  <c r="Y163" i="14"/>
  <c r="Y90" i="14" s="1"/>
  <c r="X163" i="14"/>
  <c r="W163" i="14"/>
  <c r="W90" i="14" s="1"/>
  <c r="V163" i="14"/>
  <c r="V90" i="14" s="1"/>
  <c r="AO162" i="14"/>
  <c r="AN162" i="14"/>
  <c r="AM162" i="14"/>
  <c r="AL162" i="14"/>
  <c r="X89" i="14" s="1"/>
  <c r="AK162" i="14"/>
  <c r="AJ162" i="14"/>
  <c r="AI162" i="14"/>
  <c r="AH162" i="14"/>
  <c r="AG162" i="14"/>
  <c r="AF162" i="14"/>
  <c r="AE162" i="14"/>
  <c r="AD162" i="14"/>
  <c r="AD89" i="14" s="1"/>
  <c r="AC162" i="14"/>
  <c r="AC89" i="14" s="1"/>
  <c r="AB162" i="14"/>
  <c r="AB89" i="14" s="1"/>
  <c r="AA162" i="14"/>
  <c r="AA89" i="14" s="1"/>
  <c r="Z162" i="14"/>
  <c r="Y162" i="14"/>
  <c r="Y89" i="14" s="1"/>
  <c r="X162" i="14"/>
  <c r="W162" i="14"/>
  <c r="W89" i="14" s="1"/>
  <c r="V162" i="14"/>
  <c r="AO161" i="14"/>
  <c r="AN161" i="14"/>
  <c r="AM161" i="14"/>
  <c r="AL161" i="14"/>
  <c r="X88" i="14" s="1"/>
  <c r="AK161" i="14"/>
  <c r="AJ161" i="14"/>
  <c r="AI161" i="14"/>
  <c r="AH161" i="14"/>
  <c r="AG161" i="14"/>
  <c r="AF161" i="14"/>
  <c r="AE161" i="14"/>
  <c r="AD161" i="14"/>
  <c r="AD88" i="14" s="1"/>
  <c r="AC161" i="14"/>
  <c r="AC88" i="14" s="1"/>
  <c r="AB161" i="14"/>
  <c r="AA161" i="14"/>
  <c r="AA88" i="14" s="1"/>
  <c r="Z161" i="14"/>
  <c r="Z88" i="14" s="1"/>
  <c r="Y161" i="14"/>
  <c r="Y88" i="14" s="1"/>
  <c r="X161" i="14"/>
  <c r="W161" i="14"/>
  <c r="W88" i="14" s="1"/>
  <c r="V161" i="14"/>
  <c r="V88" i="14" s="1"/>
  <c r="AO160" i="14"/>
  <c r="AN160" i="14"/>
  <c r="AM160" i="14"/>
  <c r="AL160" i="14"/>
  <c r="X87" i="14" s="1"/>
  <c r="AK160" i="14"/>
  <c r="AJ160" i="14"/>
  <c r="AI160" i="14"/>
  <c r="AH160" i="14"/>
  <c r="AG160" i="14"/>
  <c r="AF160" i="14"/>
  <c r="AE160" i="14"/>
  <c r="AD160" i="14"/>
  <c r="AC160" i="14"/>
  <c r="AC87" i="14" s="1"/>
  <c r="AB160" i="14"/>
  <c r="AB87" i="14" s="1"/>
  <c r="AA160" i="14"/>
  <c r="AA87" i="14" s="1"/>
  <c r="Z160" i="14"/>
  <c r="Z87" i="14" s="1"/>
  <c r="Y160" i="14"/>
  <c r="Y87" i="14" s="1"/>
  <c r="X160" i="14"/>
  <c r="W160" i="14"/>
  <c r="W87" i="14" s="1"/>
  <c r="V160" i="14"/>
  <c r="V87" i="14" s="1"/>
  <c r="AO159" i="14"/>
  <c r="AN159" i="14"/>
  <c r="AM159" i="14"/>
  <c r="AL159" i="14"/>
  <c r="AK159" i="14"/>
  <c r="AJ159" i="14"/>
  <c r="AI159" i="14"/>
  <c r="AH159" i="14"/>
  <c r="AG159" i="14"/>
  <c r="AF159" i="14"/>
  <c r="AE159" i="14"/>
  <c r="AD159" i="14"/>
  <c r="AC159" i="14"/>
  <c r="AB159" i="14"/>
  <c r="AA159" i="14"/>
  <c r="Z159" i="14"/>
  <c r="Y159" i="14"/>
  <c r="X159" i="14"/>
  <c r="W159" i="14"/>
  <c r="V159" i="14"/>
  <c r="AO158" i="14"/>
  <c r="AN158" i="14"/>
  <c r="AM158" i="14"/>
  <c r="AL158" i="14"/>
  <c r="AK158" i="14"/>
  <c r="AJ158" i="14"/>
  <c r="AI158" i="14"/>
  <c r="AH158" i="14"/>
  <c r="AG158" i="14"/>
  <c r="AF158" i="14"/>
  <c r="AE158" i="14"/>
  <c r="AD158" i="14"/>
  <c r="AC158" i="14"/>
  <c r="AB158" i="14"/>
  <c r="AA158" i="14"/>
  <c r="Z158" i="14"/>
  <c r="Y158" i="14"/>
  <c r="X158" i="14"/>
  <c r="W158" i="14"/>
  <c r="V158" i="14"/>
  <c r="AO157" i="14"/>
  <c r="AN157" i="14"/>
  <c r="AM157" i="14"/>
  <c r="AL157" i="14"/>
  <c r="AK157" i="14"/>
  <c r="AJ157" i="14"/>
  <c r="AI157" i="14"/>
  <c r="AH157" i="14"/>
  <c r="AG157" i="14"/>
  <c r="AF157" i="14"/>
  <c r="AE157" i="14"/>
  <c r="AD157" i="14"/>
  <c r="AC157" i="14"/>
  <c r="AB157" i="14"/>
  <c r="AA157" i="14"/>
  <c r="Z157" i="14"/>
  <c r="Y157" i="14"/>
  <c r="X157" i="14"/>
  <c r="W157" i="14"/>
  <c r="V157" i="14"/>
  <c r="AO156" i="14"/>
  <c r="AN156" i="14"/>
  <c r="AM156" i="14"/>
  <c r="AL156" i="14"/>
  <c r="AK156" i="14"/>
  <c r="AJ156" i="14"/>
  <c r="AI156" i="14"/>
  <c r="AH156" i="14"/>
  <c r="AG156" i="14"/>
  <c r="AF156" i="14"/>
  <c r="AE156" i="14"/>
  <c r="AD156" i="14"/>
  <c r="AC156" i="14"/>
  <c r="AB156" i="14"/>
  <c r="AA156" i="14"/>
  <c r="Z156" i="14"/>
  <c r="Y156" i="14"/>
  <c r="X156" i="14"/>
  <c r="W156" i="14"/>
  <c r="V156" i="14"/>
  <c r="AO155" i="14"/>
  <c r="AN155" i="14"/>
  <c r="AM155" i="14"/>
  <c r="AL155" i="14"/>
  <c r="AK155" i="14"/>
  <c r="AJ155" i="14"/>
  <c r="AI155" i="14"/>
  <c r="AH155" i="14"/>
  <c r="AG155" i="14"/>
  <c r="AF155" i="14"/>
  <c r="AE155" i="14"/>
  <c r="AD155" i="14"/>
  <c r="AC155" i="14"/>
  <c r="AB155" i="14"/>
  <c r="AA155" i="14"/>
  <c r="Z155" i="14"/>
  <c r="Y155" i="14"/>
  <c r="X155" i="14"/>
  <c r="W155" i="14"/>
  <c r="V155" i="14"/>
  <c r="AO154" i="14"/>
  <c r="AN154" i="14"/>
  <c r="AM154" i="14"/>
  <c r="AL154" i="14"/>
  <c r="AK154" i="14"/>
  <c r="AJ154" i="14"/>
  <c r="AI154" i="14"/>
  <c r="AH154" i="14"/>
  <c r="AG154" i="14"/>
  <c r="AF154" i="14"/>
  <c r="AE154" i="14"/>
  <c r="AD154" i="14"/>
  <c r="AC154" i="14"/>
  <c r="AB154" i="14"/>
  <c r="AA154" i="14"/>
  <c r="Z154" i="14"/>
  <c r="Y154" i="14"/>
  <c r="X154" i="14"/>
  <c r="W154" i="14"/>
  <c r="V154" i="14"/>
  <c r="AO153" i="14"/>
  <c r="AN153" i="14"/>
  <c r="AM153" i="14"/>
  <c r="AL153" i="14"/>
  <c r="AK153" i="14"/>
  <c r="AJ153" i="14"/>
  <c r="AI153" i="14"/>
  <c r="AH153" i="14"/>
  <c r="AG153" i="14"/>
  <c r="AF153" i="14"/>
  <c r="AE153" i="14"/>
  <c r="AD153" i="14"/>
  <c r="AC153" i="14"/>
  <c r="AB153" i="14"/>
  <c r="AA153" i="14"/>
  <c r="Z153" i="14"/>
  <c r="Y153" i="14"/>
  <c r="X153" i="14"/>
  <c r="W153" i="14"/>
  <c r="V153" i="14"/>
  <c r="AO152" i="14"/>
  <c r="AN152" i="14"/>
  <c r="AM152" i="14"/>
  <c r="AL152" i="14"/>
  <c r="AK152" i="14"/>
  <c r="AJ152" i="14"/>
  <c r="AI152" i="14"/>
  <c r="AH152" i="14"/>
  <c r="AG152" i="14"/>
  <c r="AF152" i="14"/>
  <c r="AE152" i="14"/>
  <c r="AD152" i="14"/>
  <c r="AC152" i="14"/>
  <c r="AB152" i="14"/>
  <c r="AA152" i="14"/>
  <c r="Z152" i="14"/>
  <c r="Y152" i="14"/>
  <c r="X152" i="14"/>
  <c r="W152" i="14"/>
  <c r="V152" i="14"/>
  <c r="AO151" i="14"/>
  <c r="AN151" i="14"/>
  <c r="AM151" i="14"/>
  <c r="AL151" i="14"/>
  <c r="AK151" i="14"/>
  <c r="AJ151" i="14"/>
  <c r="AI151" i="14"/>
  <c r="AH151" i="14"/>
  <c r="AG151" i="14"/>
  <c r="AF151" i="14"/>
  <c r="AE151" i="14"/>
  <c r="AD151" i="14"/>
  <c r="AC151" i="14"/>
  <c r="AB151" i="14"/>
  <c r="AA151" i="14"/>
  <c r="Z151" i="14"/>
  <c r="Y151" i="14"/>
  <c r="X151" i="14"/>
  <c r="W151" i="14"/>
  <c r="V151" i="14"/>
  <c r="AO150" i="14"/>
  <c r="AN150" i="14"/>
  <c r="AM150" i="14"/>
  <c r="AL150" i="14"/>
  <c r="AK150" i="14"/>
  <c r="AJ150" i="14"/>
  <c r="AI150" i="14"/>
  <c r="AH150" i="14"/>
  <c r="AG150" i="14"/>
  <c r="AF150" i="14"/>
  <c r="AE150" i="14"/>
  <c r="AD150" i="14"/>
  <c r="AC150" i="14"/>
  <c r="AB150" i="14"/>
  <c r="AA150" i="14"/>
  <c r="Z150" i="14"/>
  <c r="Y150" i="14"/>
  <c r="X150" i="14"/>
  <c r="W150" i="14"/>
  <c r="V150" i="14"/>
  <c r="AO149" i="14"/>
  <c r="AN149" i="14"/>
  <c r="AM149" i="14"/>
  <c r="AL149" i="14"/>
  <c r="AK149" i="14"/>
  <c r="AJ149" i="14"/>
  <c r="AI149" i="14"/>
  <c r="AH149" i="14"/>
  <c r="AG149" i="14"/>
  <c r="AF149" i="14"/>
  <c r="AE149" i="14"/>
  <c r="AD149" i="14"/>
  <c r="AC149" i="14"/>
  <c r="AB149" i="14"/>
  <c r="AA149" i="14"/>
  <c r="Z149" i="14"/>
  <c r="Y149" i="14"/>
  <c r="X149" i="14"/>
  <c r="W149" i="14"/>
  <c r="V149" i="14"/>
  <c r="AO148" i="14"/>
  <c r="AN148" i="14"/>
  <c r="AM148" i="14"/>
  <c r="AL148" i="14"/>
  <c r="AK148" i="14"/>
  <c r="AJ148" i="14"/>
  <c r="AI148" i="14"/>
  <c r="AH148" i="14"/>
  <c r="AG148" i="14"/>
  <c r="AF148" i="14"/>
  <c r="AE148" i="14"/>
  <c r="AD148" i="14"/>
  <c r="AC148" i="14"/>
  <c r="AB148" i="14"/>
  <c r="AA148" i="14"/>
  <c r="Z148" i="14"/>
  <c r="Y148" i="14"/>
  <c r="X148" i="14"/>
  <c r="W148" i="14"/>
  <c r="V148" i="14"/>
  <c r="AO147" i="14"/>
  <c r="AN147" i="14"/>
  <c r="AM147" i="14"/>
  <c r="AL147" i="14"/>
  <c r="AK147" i="14"/>
  <c r="AJ147" i="14"/>
  <c r="AI147" i="14"/>
  <c r="AH147" i="14"/>
  <c r="AG147" i="14"/>
  <c r="AF147" i="14"/>
  <c r="AE147" i="14"/>
  <c r="AD147" i="14"/>
  <c r="AC147" i="14"/>
  <c r="AB147" i="14"/>
  <c r="AA147" i="14"/>
  <c r="Z147" i="14"/>
  <c r="Y147" i="14"/>
  <c r="X147" i="14"/>
  <c r="W147" i="14"/>
  <c r="V147" i="14"/>
  <c r="AO146" i="14"/>
  <c r="AN146" i="14"/>
  <c r="AM146" i="14"/>
  <c r="AL146" i="14"/>
  <c r="AK146" i="14"/>
  <c r="AJ146" i="14"/>
  <c r="AI146" i="14"/>
  <c r="AH146" i="14"/>
  <c r="AG146" i="14"/>
  <c r="AF146" i="14"/>
  <c r="AE146" i="14"/>
  <c r="AD146" i="14"/>
  <c r="AC146" i="14"/>
  <c r="AB146" i="14"/>
  <c r="AA146" i="14"/>
  <c r="Z146" i="14"/>
  <c r="Y146" i="14"/>
  <c r="X146" i="14"/>
  <c r="W146" i="14"/>
  <c r="V146" i="14"/>
  <c r="AO145" i="14"/>
  <c r="AN145" i="14"/>
  <c r="AM145" i="14"/>
  <c r="AL145" i="14"/>
  <c r="AK145" i="14"/>
  <c r="AJ145" i="14"/>
  <c r="AI145" i="14"/>
  <c r="AH145" i="14"/>
  <c r="AG145" i="14"/>
  <c r="AF145" i="14"/>
  <c r="AE145" i="14"/>
  <c r="AD145" i="14"/>
  <c r="AC145" i="14"/>
  <c r="AB145" i="14"/>
  <c r="AA145" i="14"/>
  <c r="Z145" i="14"/>
  <c r="Y145" i="14"/>
  <c r="X145" i="14"/>
  <c r="W145" i="14"/>
  <c r="V145" i="14"/>
  <c r="AO144" i="14"/>
  <c r="AN144" i="14"/>
  <c r="AM144" i="14"/>
  <c r="AL144" i="14"/>
  <c r="AK144" i="14"/>
  <c r="AJ144" i="14"/>
  <c r="AI144" i="14"/>
  <c r="AH144" i="14"/>
  <c r="AG144" i="14"/>
  <c r="AF144" i="14"/>
  <c r="AE144" i="14"/>
  <c r="AD144" i="14"/>
  <c r="AC144" i="14"/>
  <c r="AB144" i="14"/>
  <c r="AA144" i="14"/>
  <c r="Z144" i="14"/>
  <c r="Y144" i="14"/>
  <c r="X144" i="14"/>
  <c r="W144" i="14"/>
  <c r="V144" i="14"/>
  <c r="AO143" i="14"/>
  <c r="AN143" i="14"/>
  <c r="AM143" i="14"/>
  <c r="AL143" i="14"/>
  <c r="AK143" i="14"/>
  <c r="AJ143" i="14"/>
  <c r="AI143" i="14"/>
  <c r="AH143" i="14"/>
  <c r="AG143" i="14"/>
  <c r="AF143" i="14"/>
  <c r="AE143" i="14"/>
  <c r="AD143" i="14"/>
  <c r="AC143" i="14"/>
  <c r="AB143" i="14"/>
  <c r="AA143" i="14"/>
  <c r="Z143" i="14"/>
  <c r="Y143" i="14"/>
  <c r="X143" i="14"/>
  <c r="W143" i="14"/>
  <c r="V143" i="14"/>
  <c r="AO142" i="14"/>
  <c r="AN142" i="14"/>
  <c r="AM142" i="14"/>
  <c r="AL142" i="14"/>
  <c r="AK142" i="14"/>
  <c r="AJ142" i="14"/>
  <c r="AI142" i="14"/>
  <c r="AH142" i="14"/>
  <c r="AG142" i="14"/>
  <c r="AF142" i="14"/>
  <c r="AE142" i="14"/>
  <c r="AD142" i="14"/>
  <c r="AC142" i="14"/>
  <c r="AB142" i="14"/>
  <c r="AA142" i="14"/>
  <c r="Z142" i="14"/>
  <c r="Y142" i="14"/>
  <c r="X142" i="14"/>
  <c r="W142" i="14"/>
  <c r="V142" i="14"/>
  <c r="AO141" i="14"/>
  <c r="AN141" i="14"/>
  <c r="AM141" i="14"/>
  <c r="AL141" i="14"/>
  <c r="AK141" i="14"/>
  <c r="AJ141" i="14"/>
  <c r="AI141" i="14"/>
  <c r="AH141" i="14"/>
  <c r="AG141" i="14"/>
  <c r="AF141" i="14"/>
  <c r="AE141" i="14"/>
  <c r="AD141" i="14"/>
  <c r="AC141" i="14"/>
  <c r="AB141" i="14"/>
  <c r="AA141" i="14"/>
  <c r="Z141" i="14"/>
  <c r="Y141" i="14"/>
  <c r="X141" i="14"/>
  <c r="W141" i="14"/>
  <c r="V141" i="14"/>
  <c r="AO140" i="14"/>
  <c r="AN140" i="14"/>
  <c r="AM140" i="14"/>
  <c r="AL140" i="14"/>
  <c r="AK140" i="14"/>
  <c r="AJ140" i="14"/>
  <c r="AI140" i="14"/>
  <c r="AH140" i="14"/>
  <c r="AG140" i="14"/>
  <c r="AF140" i="14"/>
  <c r="AE140" i="14"/>
  <c r="AD140" i="14"/>
  <c r="AC140" i="14"/>
  <c r="AB140" i="14"/>
  <c r="AA140" i="14"/>
  <c r="Z140" i="14"/>
  <c r="Y140" i="14"/>
  <c r="X140" i="14"/>
  <c r="W140" i="14"/>
  <c r="V140" i="14"/>
  <c r="AO139" i="14"/>
  <c r="AN139" i="14"/>
  <c r="AM139" i="14"/>
  <c r="AL139" i="14"/>
  <c r="AK139" i="14"/>
  <c r="AJ139" i="14"/>
  <c r="AI139" i="14"/>
  <c r="AH139" i="14"/>
  <c r="AG139" i="14"/>
  <c r="AF139" i="14"/>
  <c r="AE139" i="14"/>
  <c r="AD139" i="14"/>
  <c r="AC139" i="14"/>
  <c r="AB139" i="14"/>
  <c r="AA139" i="14"/>
  <c r="Z139" i="14"/>
  <c r="Y139" i="14"/>
  <c r="X139" i="14"/>
  <c r="W139" i="14"/>
  <c r="V139" i="14"/>
  <c r="AO138" i="14"/>
  <c r="AN138" i="14"/>
  <c r="AM138" i="14"/>
  <c r="AL138" i="14"/>
  <c r="AK138" i="14"/>
  <c r="AJ138" i="14"/>
  <c r="AI138" i="14"/>
  <c r="AH138" i="14"/>
  <c r="AG138" i="14"/>
  <c r="AF138" i="14"/>
  <c r="AE138" i="14"/>
  <c r="AD138" i="14"/>
  <c r="AC138" i="14"/>
  <c r="AB138" i="14"/>
  <c r="AA138" i="14"/>
  <c r="Z138" i="14"/>
  <c r="Y138" i="14"/>
  <c r="X138" i="14"/>
  <c r="W138" i="14"/>
  <c r="V138" i="14"/>
  <c r="AO137" i="14"/>
  <c r="AN137" i="14"/>
  <c r="AM137" i="14"/>
  <c r="AL137" i="14"/>
  <c r="AK137" i="14"/>
  <c r="AJ137" i="14"/>
  <c r="AI137" i="14"/>
  <c r="AH137" i="14"/>
  <c r="AG137" i="14"/>
  <c r="AF137" i="14"/>
  <c r="AE137" i="14"/>
  <c r="AD137" i="14"/>
  <c r="AC137" i="14"/>
  <c r="AB137" i="14"/>
  <c r="AA137" i="14"/>
  <c r="Z137" i="14"/>
  <c r="Y137" i="14"/>
  <c r="X137" i="14"/>
  <c r="W137" i="14"/>
  <c r="V137" i="14"/>
  <c r="AO136" i="14"/>
  <c r="AN136" i="14"/>
  <c r="AM136" i="14"/>
  <c r="AL136" i="14"/>
  <c r="AK136" i="14"/>
  <c r="AJ136" i="14"/>
  <c r="AI136" i="14"/>
  <c r="AH136" i="14"/>
  <c r="AG136" i="14"/>
  <c r="AF136" i="14"/>
  <c r="AE136" i="14"/>
  <c r="AD136" i="14"/>
  <c r="AC136" i="14"/>
  <c r="AB136" i="14"/>
  <c r="AA136" i="14"/>
  <c r="Z136" i="14"/>
  <c r="Y136" i="14"/>
  <c r="X136" i="14"/>
  <c r="W136" i="14"/>
  <c r="V136" i="14"/>
  <c r="AO135" i="14"/>
  <c r="AN135" i="14"/>
  <c r="AM135" i="14"/>
  <c r="AL135" i="14"/>
  <c r="AK135" i="14"/>
  <c r="AJ135" i="14"/>
  <c r="AI135" i="14"/>
  <c r="AH135" i="14"/>
  <c r="AG135" i="14"/>
  <c r="AF135" i="14"/>
  <c r="AE135" i="14"/>
  <c r="AD135" i="14"/>
  <c r="AC135" i="14"/>
  <c r="AB135" i="14"/>
  <c r="AA135" i="14"/>
  <c r="Z135" i="14"/>
  <c r="Y135" i="14"/>
  <c r="X135" i="14"/>
  <c r="W135" i="14"/>
  <c r="V135" i="14"/>
  <c r="AO134" i="14"/>
  <c r="AN134" i="14"/>
  <c r="AM134" i="14"/>
  <c r="AL134" i="14"/>
  <c r="AK134" i="14"/>
  <c r="AJ134" i="14"/>
  <c r="AI134" i="14"/>
  <c r="AH134" i="14"/>
  <c r="AG134" i="14"/>
  <c r="AF134" i="14"/>
  <c r="AE134" i="14"/>
  <c r="AD134" i="14"/>
  <c r="AC134" i="14"/>
  <c r="AB134" i="14"/>
  <c r="AA134" i="14"/>
  <c r="Z134" i="14"/>
  <c r="Y134" i="14"/>
  <c r="X134" i="14"/>
  <c r="W134" i="14"/>
  <c r="V134" i="14"/>
  <c r="AO133" i="14"/>
  <c r="AN133" i="14"/>
  <c r="AM133" i="14"/>
  <c r="AL133" i="14"/>
  <c r="AK133" i="14"/>
  <c r="AJ133" i="14"/>
  <c r="AI133" i="14"/>
  <c r="AH133" i="14"/>
  <c r="AG133" i="14"/>
  <c r="AF133" i="14"/>
  <c r="AE133" i="14"/>
  <c r="AD133" i="14"/>
  <c r="AC133" i="14"/>
  <c r="AB133" i="14"/>
  <c r="AA133" i="14"/>
  <c r="Z133" i="14"/>
  <c r="Y133" i="14"/>
  <c r="X133" i="14"/>
  <c r="W133" i="14"/>
  <c r="V133" i="14"/>
  <c r="AO132" i="14"/>
  <c r="AN132" i="14"/>
  <c r="AM132" i="14"/>
  <c r="AL132" i="14"/>
  <c r="AK132" i="14"/>
  <c r="AJ132" i="14"/>
  <c r="AI132" i="14"/>
  <c r="AH132" i="14"/>
  <c r="AG132" i="14"/>
  <c r="AF132" i="14"/>
  <c r="AE132" i="14"/>
  <c r="AD132" i="14"/>
  <c r="AC132" i="14"/>
  <c r="AB132" i="14"/>
  <c r="AA132" i="14"/>
  <c r="Z132" i="14"/>
  <c r="Y132" i="14"/>
  <c r="X132" i="14"/>
  <c r="W132" i="14"/>
  <c r="V132" i="14"/>
  <c r="AO131" i="14"/>
  <c r="AN131" i="14"/>
  <c r="AM131" i="14"/>
  <c r="AL131" i="14"/>
  <c r="AK131" i="14"/>
  <c r="AJ131" i="14"/>
  <c r="AI131" i="14"/>
  <c r="AH131" i="14"/>
  <c r="AG131" i="14"/>
  <c r="AF131" i="14"/>
  <c r="AE131" i="14"/>
  <c r="AD131" i="14"/>
  <c r="AC131" i="14"/>
  <c r="AB131" i="14"/>
  <c r="AA131" i="14"/>
  <c r="Z131" i="14"/>
  <c r="Y131" i="14"/>
  <c r="X131" i="14"/>
  <c r="W131" i="14"/>
  <c r="V131" i="14"/>
  <c r="AO130" i="14"/>
  <c r="AN130" i="14"/>
  <c r="AM130" i="14"/>
  <c r="AL130" i="14"/>
  <c r="AK130" i="14"/>
  <c r="AJ130" i="14"/>
  <c r="AI130" i="14"/>
  <c r="AH130" i="14"/>
  <c r="AG130" i="14"/>
  <c r="AF130" i="14"/>
  <c r="AE130" i="14"/>
  <c r="AD130" i="14"/>
  <c r="AC130" i="14"/>
  <c r="AB130" i="14"/>
  <c r="AA130" i="14"/>
  <c r="Z130" i="14"/>
  <c r="Y130" i="14"/>
  <c r="X130" i="14"/>
  <c r="W130" i="14"/>
  <c r="V130" i="14"/>
  <c r="AO129" i="14"/>
  <c r="AN129" i="14"/>
  <c r="AM129" i="14"/>
  <c r="AL129" i="14"/>
  <c r="AK129" i="14"/>
  <c r="AJ129" i="14"/>
  <c r="AI129" i="14"/>
  <c r="AH129" i="14"/>
  <c r="AG129" i="14"/>
  <c r="AF129" i="14"/>
  <c r="AE129" i="14"/>
  <c r="AD129" i="14"/>
  <c r="AC129" i="14"/>
  <c r="AB129" i="14"/>
  <c r="AA129" i="14"/>
  <c r="Z129" i="14"/>
  <c r="Y129" i="14"/>
  <c r="X129" i="14"/>
  <c r="W129" i="14"/>
  <c r="V129" i="14"/>
  <c r="AO128" i="14"/>
  <c r="AN128" i="14"/>
  <c r="AM128" i="14"/>
  <c r="AL128" i="14"/>
  <c r="AK128" i="14"/>
  <c r="AJ128" i="14"/>
  <c r="AI128" i="14"/>
  <c r="AH128" i="14"/>
  <c r="AG128" i="14"/>
  <c r="AF128" i="14"/>
  <c r="AE128" i="14"/>
  <c r="AD128" i="14"/>
  <c r="AC128" i="14"/>
  <c r="AB128" i="14"/>
  <c r="AA128" i="14"/>
  <c r="Z128" i="14"/>
  <c r="Y128" i="14"/>
  <c r="X128" i="14"/>
  <c r="W128" i="14"/>
  <c r="V128" i="14"/>
  <c r="AO127" i="14"/>
  <c r="AN127" i="14"/>
  <c r="AM127" i="14"/>
  <c r="AL127" i="14"/>
  <c r="AK127" i="14"/>
  <c r="AJ127" i="14"/>
  <c r="AI127" i="14"/>
  <c r="AH127" i="14"/>
  <c r="AG127" i="14"/>
  <c r="AF127" i="14"/>
  <c r="AE127" i="14"/>
  <c r="AD127" i="14"/>
  <c r="AC127" i="14"/>
  <c r="AB127" i="14"/>
  <c r="AA127" i="14"/>
  <c r="Z127" i="14"/>
  <c r="Y127" i="14"/>
  <c r="X127" i="14"/>
  <c r="W127" i="14"/>
  <c r="V127" i="14"/>
  <c r="AO126" i="14"/>
  <c r="AN126" i="14"/>
  <c r="AM126" i="14"/>
  <c r="AL126" i="14"/>
  <c r="AK126" i="14"/>
  <c r="AJ126" i="14"/>
  <c r="AI126" i="14"/>
  <c r="AH126" i="14"/>
  <c r="AG126" i="14"/>
  <c r="AF126" i="14"/>
  <c r="AE126" i="14"/>
  <c r="AD126" i="14"/>
  <c r="AC126" i="14"/>
  <c r="AB126" i="14"/>
  <c r="AA126" i="14"/>
  <c r="Z126" i="14"/>
  <c r="Y126" i="14"/>
  <c r="X126" i="14"/>
  <c r="W126" i="14"/>
  <c r="V126" i="14"/>
  <c r="AO125" i="14"/>
  <c r="AN125" i="14"/>
  <c r="AM125" i="14"/>
  <c r="AL125" i="14"/>
  <c r="AK125" i="14"/>
  <c r="AJ125" i="14"/>
  <c r="AI125" i="14"/>
  <c r="AH125" i="14"/>
  <c r="AG125" i="14"/>
  <c r="AF125" i="14"/>
  <c r="AE125" i="14"/>
  <c r="AD125" i="14"/>
  <c r="AC125" i="14"/>
  <c r="AB125" i="14"/>
  <c r="AA125" i="14"/>
  <c r="Z125" i="14"/>
  <c r="Y125" i="14"/>
  <c r="X125" i="14"/>
  <c r="W125" i="14"/>
  <c r="V125" i="14"/>
  <c r="AO124" i="14"/>
  <c r="AN124" i="14"/>
  <c r="AM124" i="14"/>
  <c r="AL124" i="14"/>
  <c r="AK124" i="14"/>
  <c r="AJ124" i="14"/>
  <c r="AI124" i="14"/>
  <c r="AH124" i="14"/>
  <c r="AG124" i="14"/>
  <c r="AF124" i="14"/>
  <c r="AE124" i="14"/>
  <c r="AD124" i="14"/>
  <c r="AC124" i="14"/>
  <c r="AB124" i="14"/>
  <c r="AA124" i="14"/>
  <c r="Z124" i="14"/>
  <c r="Y124" i="14"/>
  <c r="X124" i="14"/>
  <c r="W124" i="14"/>
  <c r="V124" i="14"/>
  <c r="AO123" i="14"/>
  <c r="AN123" i="14"/>
  <c r="AM123" i="14"/>
  <c r="AL123" i="14"/>
  <c r="AK123" i="14"/>
  <c r="AJ123" i="14"/>
  <c r="AI123" i="14"/>
  <c r="AH123" i="14"/>
  <c r="AG123" i="14"/>
  <c r="AF123" i="14"/>
  <c r="AE123" i="14"/>
  <c r="AD123" i="14"/>
  <c r="AC123" i="14"/>
  <c r="AB123" i="14"/>
  <c r="AA123" i="14"/>
  <c r="Z123" i="14"/>
  <c r="Y123" i="14"/>
  <c r="X123" i="14"/>
  <c r="W123" i="14"/>
  <c r="V123" i="14"/>
  <c r="AO122" i="14"/>
  <c r="AN122" i="14"/>
  <c r="AM122" i="14"/>
  <c r="AL122" i="14"/>
  <c r="AK122" i="14"/>
  <c r="AJ122" i="14"/>
  <c r="AI122" i="14"/>
  <c r="AH122" i="14"/>
  <c r="AG122" i="14"/>
  <c r="AF122" i="14"/>
  <c r="AE122" i="14"/>
  <c r="AD122" i="14"/>
  <c r="AC122" i="14"/>
  <c r="AB122" i="14"/>
  <c r="AA122" i="14"/>
  <c r="Z122" i="14"/>
  <c r="Y122" i="14"/>
  <c r="X122" i="14"/>
  <c r="W122" i="14"/>
  <c r="V122" i="14"/>
  <c r="AO121" i="14"/>
  <c r="AN121" i="14"/>
  <c r="AM121" i="14"/>
  <c r="AL121" i="14"/>
  <c r="AK121" i="14"/>
  <c r="AJ121" i="14"/>
  <c r="AI121" i="14"/>
  <c r="AH121" i="14"/>
  <c r="AG121" i="14"/>
  <c r="AF121" i="14"/>
  <c r="AE121" i="14"/>
  <c r="AD121" i="14"/>
  <c r="AC121" i="14"/>
  <c r="AB121" i="14"/>
  <c r="AA121" i="14"/>
  <c r="Z121" i="14"/>
  <c r="Y121" i="14"/>
  <c r="X121" i="14"/>
  <c r="W121" i="14"/>
  <c r="V121" i="14"/>
  <c r="AO120" i="14"/>
  <c r="AN120" i="14"/>
  <c r="AM120" i="14"/>
  <c r="AL120" i="14"/>
  <c r="AK120" i="14"/>
  <c r="AJ120" i="14"/>
  <c r="AI120" i="14"/>
  <c r="AH120" i="14"/>
  <c r="AG120" i="14"/>
  <c r="AF120" i="14"/>
  <c r="AE120" i="14"/>
  <c r="AD120" i="14"/>
  <c r="AC120" i="14"/>
  <c r="AB120" i="14"/>
  <c r="AA120" i="14"/>
  <c r="Z120" i="14"/>
  <c r="Y120" i="14"/>
  <c r="X120" i="14"/>
  <c r="W120" i="14"/>
  <c r="V120" i="14"/>
  <c r="AO119" i="14"/>
  <c r="AN119" i="14"/>
  <c r="AM119" i="14"/>
  <c r="AL119" i="14"/>
  <c r="AK119" i="14"/>
  <c r="AJ119" i="14"/>
  <c r="AI119" i="14"/>
  <c r="AH119" i="14"/>
  <c r="AG119" i="14"/>
  <c r="AF119" i="14"/>
  <c r="AE119" i="14"/>
  <c r="AD119" i="14"/>
  <c r="AC119" i="14"/>
  <c r="AB119" i="14"/>
  <c r="AA119" i="14"/>
  <c r="Z119" i="14"/>
  <c r="Y119" i="14"/>
  <c r="X119" i="14"/>
  <c r="W119" i="14"/>
  <c r="V119" i="14"/>
  <c r="AO118" i="14"/>
  <c r="AN118" i="14"/>
  <c r="AM118" i="14"/>
  <c r="AL118" i="14"/>
  <c r="AK118" i="14"/>
  <c r="AJ118" i="14"/>
  <c r="AI118" i="14"/>
  <c r="AH118" i="14"/>
  <c r="AG118" i="14"/>
  <c r="AF118" i="14"/>
  <c r="AE118" i="14"/>
  <c r="AD118" i="14"/>
  <c r="AC118" i="14"/>
  <c r="AB118" i="14"/>
  <c r="AA118" i="14"/>
  <c r="Z118" i="14"/>
  <c r="Y118" i="14"/>
  <c r="X118" i="14"/>
  <c r="W118" i="14"/>
  <c r="V118" i="14"/>
  <c r="AO117" i="14"/>
  <c r="AN117" i="14"/>
  <c r="AM117" i="14"/>
  <c r="AL117" i="14"/>
  <c r="AK117" i="14"/>
  <c r="AJ117" i="14"/>
  <c r="AI117" i="14"/>
  <c r="AH117" i="14"/>
  <c r="AG117" i="14"/>
  <c r="AF117" i="14"/>
  <c r="AE117" i="14"/>
  <c r="AD117" i="14"/>
  <c r="AC117" i="14"/>
  <c r="AB117" i="14"/>
  <c r="AA117" i="14"/>
  <c r="Z117" i="14"/>
  <c r="Y117" i="14"/>
  <c r="X117" i="14"/>
  <c r="W117" i="14"/>
  <c r="V117" i="14"/>
  <c r="AO116" i="14"/>
  <c r="AN116" i="14"/>
  <c r="AM116" i="14"/>
  <c r="AL116" i="14"/>
  <c r="AK116" i="14"/>
  <c r="AJ116" i="14"/>
  <c r="AI116" i="14"/>
  <c r="AH116" i="14"/>
  <c r="AG116" i="14"/>
  <c r="AF116" i="14"/>
  <c r="AE116" i="14"/>
  <c r="AD116" i="14"/>
  <c r="AC116" i="14"/>
  <c r="AB116" i="14"/>
  <c r="AA116" i="14"/>
  <c r="Z116" i="14"/>
  <c r="Y116" i="14"/>
  <c r="X116" i="14"/>
  <c r="W116" i="14"/>
  <c r="V116" i="14"/>
  <c r="AO115" i="14"/>
  <c r="AN115" i="14"/>
  <c r="AM115" i="14"/>
  <c r="AL115" i="14"/>
  <c r="AK115" i="14"/>
  <c r="AJ115" i="14"/>
  <c r="AI115" i="14"/>
  <c r="AH115" i="14"/>
  <c r="AG115" i="14"/>
  <c r="AF115" i="14"/>
  <c r="AE115" i="14"/>
  <c r="AD115" i="14"/>
  <c r="AC115" i="14"/>
  <c r="AB115" i="14"/>
  <c r="AA115" i="14"/>
  <c r="Z115" i="14"/>
  <c r="Y115" i="14"/>
  <c r="X115" i="14"/>
  <c r="W115" i="14"/>
  <c r="V115" i="14"/>
  <c r="AO114" i="14"/>
  <c r="AN114" i="14"/>
  <c r="AM114" i="14"/>
  <c r="AL114" i="14"/>
  <c r="AK114" i="14"/>
  <c r="AJ114" i="14"/>
  <c r="AI114" i="14"/>
  <c r="AH114" i="14"/>
  <c r="AG114" i="14"/>
  <c r="AF114" i="14"/>
  <c r="AE114" i="14"/>
  <c r="AD114" i="14"/>
  <c r="AC114" i="14"/>
  <c r="AB114" i="14"/>
  <c r="AA114" i="14"/>
  <c r="Z114" i="14"/>
  <c r="Y114" i="14"/>
  <c r="X114" i="14"/>
  <c r="W114" i="14"/>
  <c r="V114" i="14"/>
  <c r="AO113" i="14"/>
  <c r="AN113" i="14"/>
  <c r="AM113" i="14"/>
  <c r="AL113" i="14"/>
  <c r="AK113" i="14"/>
  <c r="AJ113" i="14"/>
  <c r="AI113" i="14"/>
  <c r="AH113" i="14"/>
  <c r="AG113" i="14"/>
  <c r="AF113" i="14"/>
  <c r="AE113" i="14"/>
  <c r="AD113" i="14"/>
  <c r="AC113" i="14"/>
  <c r="AB113" i="14"/>
  <c r="AA113" i="14"/>
  <c r="Z113" i="14"/>
  <c r="Y113" i="14"/>
  <c r="X113" i="14"/>
  <c r="W113" i="14"/>
  <c r="V113" i="14"/>
  <c r="AO112" i="14"/>
  <c r="AN112" i="14"/>
  <c r="AM112" i="14"/>
  <c r="AL112" i="14"/>
  <c r="AK112" i="14"/>
  <c r="AJ112" i="14"/>
  <c r="AI112" i="14"/>
  <c r="AH112" i="14"/>
  <c r="AG112" i="14"/>
  <c r="AF112" i="14"/>
  <c r="AE112" i="14"/>
  <c r="AD112" i="14"/>
  <c r="AC112" i="14"/>
  <c r="AB112" i="14"/>
  <c r="AA112" i="14"/>
  <c r="Z112" i="14"/>
  <c r="Y112" i="14"/>
  <c r="X112" i="14"/>
  <c r="W112" i="14"/>
  <c r="V112" i="14"/>
  <c r="AO111" i="14"/>
  <c r="AN111" i="14"/>
  <c r="AM111" i="14"/>
  <c r="AL111" i="14"/>
  <c r="AK111" i="14"/>
  <c r="AJ111" i="14"/>
  <c r="AI111" i="14"/>
  <c r="AH111" i="14"/>
  <c r="AG111" i="14"/>
  <c r="AF111" i="14"/>
  <c r="AE111" i="14"/>
  <c r="AD111" i="14"/>
  <c r="AC111" i="14"/>
  <c r="AB111" i="14"/>
  <c r="AA111" i="14"/>
  <c r="Z111" i="14"/>
  <c r="Y111" i="14"/>
  <c r="X111" i="14"/>
  <c r="W111" i="14"/>
  <c r="V111" i="14"/>
  <c r="AO110" i="14"/>
  <c r="AN110" i="14"/>
  <c r="AM110" i="14"/>
  <c r="AL110" i="14"/>
  <c r="AK110" i="14"/>
  <c r="AJ110" i="14"/>
  <c r="AI110" i="14"/>
  <c r="AH110" i="14"/>
  <c r="AG110" i="14"/>
  <c r="AF110" i="14"/>
  <c r="AE110" i="14"/>
  <c r="AD110" i="14"/>
  <c r="AC110" i="14"/>
  <c r="AB110" i="14"/>
  <c r="AA110" i="14"/>
  <c r="Z110" i="14"/>
  <c r="Y110" i="14"/>
  <c r="X110" i="14"/>
  <c r="W110" i="14"/>
  <c r="V110" i="14"/>
  <c r="AO109" i="14"/>
  <c r="AN109" i="14"/>
  <c r="AM109" i="14"/>
  <c r="AL109" i="14"/>
  <c r="AK109" i="14"/>
  <c r="AJ109" i="14"/>
  <c r="AI109" i="14"/>
  <c r="AH109" i="14"/>
  <c r="AG109" i="14"/>
  <c r="AF109" i="14"/>
  <c r="AE109" i="14"/>
  <c r="AD109" i="14"/>
  <c r="AC109" i="14"/>
  <c r="AB109" i="14"/>
  <c r="AA109" i="14"/>
  <c r="Z109" i="14"/>
  <c r="Y109" i="14"/>
  <c r="X109" i="14"/>
  <c r="W109" i="14"/>
  <c r="V109" i="14"/>
  <c r="AO108" i="14"/>
  <c r="AN108" i="14"/>
  <c r="AM108" i="14"/>
  <c r="AL108" i="14"/>
  <c r="AK108" i="14"/>
  <c r="AJ108" i="14"/>
  <c r="AI108" i="14"/>
  <c r="AH108" i="14"/>
  <c r="AG108" i="14"/>
  <c r="AF108" i="14"/>
  <c r="AE108" i="14"/>
  <c r="AD108" i="14"/>
  <c r="AC108" i="14"/>
  <c r="AB108" i="14"/>
  <c r="AA108" i="14"/>
  <c r="Z108" i="14"/>
  <c r="Y108" i="14"/>
  <c r="X108" i="14"/>
  <c r="W108" i="14"/>
  <c r="V108" i="14"/>
  <c r="AO107" i="14"/>
  <c r="AN107" i="14"/>
  <c r="AM107" i="14"/>
  <c r="AL107" i="14"/>
  <c r="AK107" i="14"/>
  <c r="AJ107" i="14"/>
  <c r="AI107" i="14"/>
  <c r="AH107" i="14"/>
  <c r="AG107" i="14"/>
  <c r="AF107" i="14"/>
  <c r="AE107" i="14"/>
  <c r="AD107" i="14"/>
  <c r="AC107" i="14"/>
  <c r="AB107" i="14"/>
  <c r="AA107" i="14"/>
  <c r="Z107" i="14"/>
  <c r="Y107" i="14"/>
  <c r="X107" i="14"/>
  <c r="W107" i="14"/>
  <c r="V107" i="14"/>
  <c r="AO106" i="14"/>
  <c r="AN106" i="14"/>
  <c r="AM106" i="14"/>
  <c r="AL106" i="14"/>
  <c r="AK106" i="14"/>
  <c r="AJ106" i="14"/>
  <c r="AI106" i="14"/>
  <c r="AH106" i="14"/>
  <c r="AG106" i="14"/>
  <c r="AF106" i="14"/>
  <c r="AE106" i="14"/>
  <c r="AD106" i="14"/>
  <c r="AC106" i="14"/>
  <c r="AB106" i="14"/>
  <c r="AA106" i="14"/>
  <c r="Z106" i="14"/>
  <c r="Y106" i="14"/>
  <c r="X106" i="14"/>
  <c r="W106" i="14"/>
  <c r="V106" i="14"/>
  <c r="AO105" i="14"/>
  <c r="AN105" i="14"/>
  <c r="AM105" i="14"/>
  <c r="AL105" i="14"/>
  <c r="AK105" i="14"/>
  <c r="AJ105" i="14"/>
  <c r="AI105" i="14"/>
  <c r="AH105" i="14"/>
  <c r="AG105" i="14"/>
  <c r="AF105" i="14"/>
  <c r="AE105" i="14"/>
  <c r="AD105" i="14"/>
  <c r="AC105" i="14"/>
  <c r="AB105" i="14"/>
  <c r="AA105" i="14"/>
  <c r="Z105" i="14"/>
  <c r="Y105" i="14"/>
  <c r="X105" i="14"/>
  <c r="W105" i="14"/>
  <c r="V105" i="14"/>
  <c r="AO104" i="14"/>
  <c r="AN104" i="14"/>
  <c r="AM104" i="14"/>
  <c r="AL104" i="14"/>
  <c r="AK104" i="14"/>
  <c r="AJ104" i="14"/>
  <c r="AI104" i="14"/>
  <c r="AH104" i="14"/>
  <c r="AG104" i="14"/>
  <c r="AF104" i="14"/>
  <c r="AE104" i="14"/>
  <c r="AD104" i="14"/>
  <c r="AC104" i="14"/>
  <c r="AB104" i="14"/>
  <c r="AA104" i="14"/>
  <c r="Z104" i="14"/>
  <c r="Y104" i="14"/>
  <c r="X104" i="14"/>
  <c r="W104" i="14"/>
  <c r="V104" i="14"/>
  <c r="AO103" i="14"/>
  <c r="AN103" i="14"/>
  <c r="AM103" i="14"/>
  <c r="AL103" i="14"/>
  <c r="AK103" i="14"/>
  <c r="AJ103" i="14"/>
  <c r="AI103" i="14"/>
  <c r="AH103" i="14"/>
  <c r="AG103" i="14"/>
  <c r="AF103" i="14"/>
  <c r="AE103" i="14"/>
  <c r="AD103" i="14"/>
  <c r="AC103" i="14"/>
  <c r="AB103" i="14"/>
  <c r="AA103" i="14"/>
  <c r="Z103" i="14"/>
  <c r="Y103" i="14"/>
  <c r="X103" i="14"/>
  <c r="W103" i="14"/>
  <c r="V103" i="14"/>
  <c r="AO102" i="14"/>
  <c r="AN102" i="14"/>
  <c r="AM102" i="14"/>
  <c r="AL102" i="14"/>
  <c r="AK102" i="14"/>
  <c r="AJ102" i="14"/>
  <c r="AI102" i="14"/>
  <c r="AH102" i="14"/>
  <c r="AG102" i="14"/>
  <c r="AF102" i="14"/>
  <c r="AE102" i="14"/>
  <c r="AD102" i="14"/>
  <c r="AC102" i="14"/>
  <c r="AB102" i="14"/>
  <c r="AA102" i="14"/>
  <c r="Z102" i="14"/>
  <c r="Y102" i="14"/>
  <c r="X102" i="14"/>
  <c r="W102" i="14"/>
  <c r="V102" i="14"/>
  <c r="AO101" i="14"/>
  <c r="AN101" i="14"/>
  <c r="AM101" i="14"/>
  <c r="AL101" i="14"/>
  <c r="AK101" i="14"/>
  <c r="AJ101" i="14"/>
  <c r="AI101" i="14"/>
  <c r="AH101" i="14"/>
  <c r="AG101" i="14"/>
  <c r="AF101" i="14"/>
  <c r="AE101" i="14"/>
  <c r="AD101" i="14"/>
  <c r="AC101" i="14"/>
  <c r="AB101" i="14"/>
  <c r="AA101" i="14"/>
  <c r="Z101" i="14"/>
  <c r="Y101" i="14"/>
  <c r="X101" i="14"/>
  <c r="W101" i="14"/>
  <c r="V101" i="14"/>
  <c r="AO100" i="14"/>
  <c r="AN100" i="14"/>
  <c r="AM100" i="14"/>
  <c r="AL100" i="14"/>
  <c r="AK100" i="14"/>
  <c r="AJ100" i="14"/>
  <c r="AI100" i="14"/>
  <c r="AH100" i="14"/>
  <c r="AG100" i="14"/>
  <c r="AF100" i="14"/>
  <c r="AE100" i="14"/>
  <c r="AD100" i="14"/>
  <c r="AC100" i="14"/>
  <c r="AB100" i="14"/>
  <c r="AA100" i="14"/>
  <c r="Z100" i="14"/>
  <c r="Y100" i="14"/>
  <c r="X100" i="14"/>
  <c r="W100" i="14"/>
  <c r="V100" i="14"/>
  <c r="Z95" i="14"/>
  <c r="AB94" i="14"/>
  <c r="AD93" i="14"/>
  <c r="Z93" i="14"/>
  <c r="Y92" i="14"/>
  <c r="X92" i="14"/>
  <c r="AB91" i="14"/>
  <c r="V91" i="14"/>
  <c r="X90" i="14"/>
  <c r="Z89" i="14"/>
  <c r="V89" i="14"/>
  <c r="AB88" i="14"/>
  <c r="AD87" i="14"/>
  <c r="Z82" i="14"/>
  <c r="Y82" i="14"/>
  <c r="X82" i="14"/>
  <c r="W82" i="14"/>
  <c r="V82" i="14"/>
  <c r="Z81" i="14"/>
  <c r="Y81" i="14"/>
  <c r="X81" i="14"/>
  <c r="W81" i="14"/>
  <c r="V81" i="14"/>
  <c r="Z80" i="14"/>
  <c r="Y80" i="14"/>
  <c r="X80" i="14"/>
  <c r="W80" i="14"/>
  <c r="V80" i="14"/>
  <c r="Z79" i="14"/>
  <c r="Y79" i="14"/>
  <c r="X79" i="14"/>
  <c r="W79" i="14"/>
  <c r="V79" i="14"/>
  <c r="Z78" i="14"/>
  <c r="Y78" i="14"/>
  <c r="X78" i="14"/>
  <c r="W78" i="14"/>
  <c r="V78" i="14"/>
  <c r="Z77" i="14"/>
  <c r="Y77" i="14"/>
  <c r="X77" i="14"/>
  <c r="W77" i="14"/>
  <c r="V77" i="14"/>
  <c r="Z76" i="14"/>
  <c r="Y76" i="14"/>
  <c r="X76" i="14"/>
  <c r="W76" i="14"/>
  <c r="V76" i="14"/>
  <c r="Z75" i="14"/>
  <c r="Y75" i="14"/>
  <c r="X75" i="14"/>
  <c r="W75" i="14"/>
  <c r="V75" i="14"/>
  <c r="Z74" i="14"/>
  <c r="Y74" i="14"/>
  <c r="X74" i="14"/>
  <c r="W74" i="14"/>
  <c r="V74" i="14"/>
  <c r="Z73" i="14"/>
  <c r="Y73" i="14"/>
  <c r="X73" i="14"/>
  <c r="W73" i="14"/>
  <c r="V73" i="14"/>
  <c r="AA68" i="14"/>
  <c r="Z68" i="14"/>
  <c r="Y68" i="14"/>
  <c r="X68" i="14"/>
  <c r="W68" i="14"/>
  <c r="V68" i="14"/>
  <c r="AA67" i="14"/>
  <c r="Z67" i="14"/>
  <c r="Y67" i="14"/>
  <c r="X67" i="14"/>
  <c r="W67" i="14"/>
  <c r="V67" i="14"/>
  <c r="Z66" i="14"/>
  <c r="Y66" i="14"/>
  <c r="X66" i="14"/>
  <c r="W66" i="14"/>
  <c r="V66" i="14"/>
  <c r="AA65" i="14"/>
  <c r="Z65" i="14"/>
  <c r="Y65" i="14"/>
  <c r="X65" i="14"/>
  <c r="W65" i="14"/>
  <c r="V65" i="14"/>
  <c r="AA64" i="14"/>
  <c r="Z64" i="14"/>
  <c r="Y64" i="14"/>
  <c r="X64" i="14"/>
  <c r="W64" i="14"/>
  <c r="V64" i="14"/>
  <c r="AA63" i="14"/>
  <c r="Z63" i="14"/>
  <c r="Y63" i="14"/>
  <c r="X63" i="14"/>
  <c r="W63" i="14"/>
  <c r="V63" i="14"/>
  <c r="AA62" i="14"/>
  <c r="Z62" i="14"/>
  <c r="Y62" i="14"/>
  <c r="X62" i="14"/>
  <c r="W62" i="14"/>
  <c r="V62" i="14"/>
  <c r="AA61" i="14"/>
  <c r="Z61" i="14"/>
  <c r="Y61" i="14"/>
  <c r="X61" i="14"/>
  <c r="W61" i="14"/>
  <c r="V61" i="14"/>
  <c r="AA60" i="14"/>
  <c r="Z60" i="14"/>
  <c r="Y60" i="14"/>
  <c r="X60" i="14"/>
  <c r="W60" i="14"/>
  <c r="V60" i="14"/>
  <c r="AA59" i="14"/>
  <c r="Z59" i="14"/>
  <c r="Y59" i="14"/>
  <c r="X59" i="14"/>
  <c r="W59" i="14"/>
  <c r="V59" i="14"/>
  <c r="AQ58" i="14"/>
  <c r="AA58" i="14"/>
  <c r="Z58" i="14"/>
  <c r="Y58" i="14"/>
  <c r="X58" i="14"/>
  <c r="W58" i="14"/>
  <c r="V58" i="14"/>
  <c r="AA57" i="14"/>
  <c r="Z57" i="14"/>
  <c r="Y57" i="14"/>
  <c r="X57" i="14"/>
  <c r="W57" i="14"/>
  <c r="V57" i="14"/>
  <c r="B57" i="14"/>
  <c r="AA56" i="14"/>
  <c r="Z56" i="14"/>
  <c r="Y56" i="14"/>
  <c r="X56" i="14"/>
  <c r="W56" i="14"/>
  <c r="V56" i="14"/>
  <c r="B55" i="14"/>
  <c r="B48" i="14"/>
  <c r="AQ35" i="14" s="1"/>
  <c r="AP44" i="14"/>
  <c r="B59" i="14" s="1"/>
  <c r="AP43" i="14"/>
  <c r="B58" i="14" s="1"/>
  <c r="AP42" i="14"/>
  <c r="X42" i="14"/>
  <c r="AP41" i="14"/>
  <c r="B56" i="14" s="1"/>
  <c r="X41" i="14"/>
  <c r="AP40" i="14"/>
  <c r="X40" i="14"/>
  <c r="E40" i="14"/>
  <c r="D40" i="14"/>
  <c r="B40" i="14"/>
  <c r="X39" i="14"/>
  <c r="X38" i="14"/>
  <c r="X37" i="14"/>
  <c r="X36" i="14"/>
  <c r="X35" i="14"/>
  <c r="Q35" i="14"/>
  <c r="P35" i="14"/>
  <c r="E35" i="14"/>
  <c r="B35" i="14"/>
  <c r="X34" i="14"/>
  <c r="J34" i="14"/>
  <c r="D35" i="14" s="1"/>
  <c r="X33" i="14"/>
  <c r="X32" i="14"/>
  <c r="AG31" i="14"/>
  <c r="X31" i="14"/>
  <c r="AC30" i="14"/>
  <c r="X30" i="14"/>
  <c r="X29" i="14"/>
  <c r="B29" i="14"/>
  <c r="X28" i="14"/>
  <c r="AQ27" i="14"/>
  <c r="B27" i="14"/>
  <c r="P25" i="14"/>
  <c r="I24" i="14" s="1"/>
  <c r="P24" i="14"/>
  <c r="G24" i="14"/>
  <c r="E24" i="14"/>
  <c r="C24" i="14"/>
  <c r="AB23" i="14"/>
  <c r="AA23" i="14"/>
  <c r="Z23" i="14"/>
  <c r="AC23" i="14" s="1"/>
  <c r="Y23" i="14"/>
  <c r="I23" i="14"/>
  <c r="G23" i="14"/>
  <c r="E23" i="14"/>
  <c r="C23" i="14"/>
  <c r="AD22" i="14"/>
  <c r="AB39" i="14" s="1"/>
  <c r="AB22" i="14"/>
  <c r="AA22" i="14"/>
  <c r="Z22" i="14"/>
  <c r="AC22" i="14" s="1"/>
  <c r="Y22" i="14"/>
  <c r="I22" i="14"/>
  <c r="G22" i="14"/>
  <c r="E22" i="14"/>
  <c r="C22" i="14"/>
  <c r="I21" i="14"/>
  <c r="G21" i="14"/>
  <c r="E21" i="14"/>
  <c r="C21" i="14"/>
  <c r="AQ20" i="14"/>
  <c r="B49" i="14" s="1"/>
  <c r="AQ36" i="14" s="1"/>
  <c r="AI20" i="14"/>
  <c r="I20" i="14"/>
  <c r="G20" i="14"/>
  <c r="AQ19" i="14"/>
  <c r="AI19" i="14"/>
  <c r="AQ18" i="14"/>
  <c r="B47" i="14" s="1"/>
  <c r="AQ34" i="14" s="1"/>
  <c r="AL18" i="14"/>
  <c r="AJ18" i="14"/>
  <c r="AI18" i="14"/>
  <c r="I18" i="14"/>
  <c r="E18" i="14"/>
  <c r="AI17" i="14"/>
  <c r="AI16" i="14"/>
  <c r="AL15" i="14"/>
  <c r="AJ15" i="14"/>
  <c r="AK15" i="14" s="1"/>
  <c r="AU26" i="14" s="1"/>
  <c r="AI15" i="14"/>
  <c r="AQ14" i="14"/>
  <c r="AI14" i="14"/>
  <c r="I14" i="14"/>
  <c r="AQ13" i="14"/>
  <c r="B45" i="14" s="1"/>
  <c r="AQ32" i="14" s="1"/>
  <c r="AI13" i="14"/>
  <c r="AQ12" i="14"/>
  <c r="B44" i="14" s="1"/>
  <c r="AQ31" i="14" s="1"/>
  <c r="AL12" i="14"/>
  <c r="AJ12" i="14"/>
  <c r="AK12" i="14" s="1"/>
  <c r="AT26" i="14" s="1"/>
  <c r="O114" i="14" s="1"/>
  <c r="AI12" i="14"/>
  <c r="AI11" i="14"/>
  <c r="AC11" i="14"/>
  <c r="AB11" i="14"/>
  <c r="AA11" i="14"/>
  <c r="Z11" i="14"/>
  <c r="Y11" i="14"/>
  <c r="AI10" i="14"/>
  <c r="AC10" i="14"/>
  <c r="AB10" i="14"/>
  <c r="AA10" i="14"/>
  <c r="Z10" i="14"/>
  <c r="Y10" i="14"/>
  <c r="AL9" i="14"/>
  <c r="AJ9" i="14"/>
  <c r="AK9" i="14" s="1"/>
  <c r="AS26" i="14" s="1"/>
  <c r="AI9" i="14"/>
  <c r="AC9" i="14"/>
  <c r="AB9" i="14"/>
  <c r="AA9" i="14"/>
  <c r="Z9" i="14"/>
  <c r="Y9" i="14"/>
  <c r="AQ8" i="14"/>
  <c r="B43" i="14" s="1"/>
  <c r="AQ30" i="14" s="1"/>
  <c r="AD8" i="14"/>
  <c r="AB36" i="14" s="1"/>
  <c r="AB8" i="14"/>
  <c r="AA8" i="14"/>
  <c r="Z8" i="14"/>
  <c r="AC8" i="14" s="1"/>
  <c r="Y8" i="14"/>
  <c r="AQ7" i="14"/>
  <c r="AQ6" i="14"/>
  <c r="B41" i="14" s="1"/>
  <c r="AQ28" i="14" s="1"/>
  <c r="AO179" i="13"/>
  <c r="AN179" i="13"/>
  <c r="AM179" i="13"/>
  <c r="AL179" i="13"/>
  <c r="AK179" i="13"/>
  <c r="AJ179" i="13"/>
  <c r="AI179" i="13"/>
  <c r="AH179" i="13"/>
  <c r="AG179" i="13"/>
  <c r="AF179" i="13"/>
  <c r="AE179" i="13"/>
  <c r="AD179" i="13"/>
  <c r="AC179" i="13"/>
  <c r="AB179" i="13"/>
  <c r="AA179" i="13"/>
  <c r="Z179" i="13"/>
  <c r="Y179" i="13"/>
  <c r="X179" i="13"/>
  <c r="W179" i="13"/>
  <c r="V179" i="13"/>
  <c r="AO178" i="13"/>
  <c r="AN178" i="13"/>
  <c r="AM178" i="13"/>
  <c r="AL178" i="13"/>
  <c r="AK178" i="13"/>
  <c r="AJ178" i="13"/>
  <c r="AI178" i="13"/>
  <c r="AH178" i="13"/>
  <c r="AG178" i="13"/>
  <c r="AF178" i="13"/>
  <c r="AE178" i="13"/>
  <c r="AD178" i="13"/>
  <c r="AC178" i="13"/>
  <c r="AB178" i="13"/>
  <c r="AA178" i="13"/>
  <c r="Z178" i="13"/>
  <c r="Y178" i="13"/>
  <c r="X178" i="13"/>
  <c r="W178" i="13"/>
  <c r="V178" i="13"/>
  <c r="AO177" i="13"/>
  <c r="AN177" i="13"/>
  <c r="AM177" i="13"/>
  <c r="AL177" i="13"/>
  <c r="AK177" i="13"/>
  <c r="AJ177" i="13"/>
  <c r="AI177" i="13"/>
  <c r="AH177" i="13"/>
  <c r="AG177" i="13"/>
  <c r="AF177" i="13"/>
  <c r="AE177" i="13"/>
  <c r="AD177" i="13"/>
  <c r="AC177" i="13"/>
  <c r="AB177" i="13"/>
  <c r="AA177" i="13"/>
  <c r="Z177" i="13"/>
  <c r="Y177" i="13"/>
  <c r="X177" i="13"/>
  <c r="W177" i="13"/>
  <c r="V177" i="13"/>
  <c r="AO176" i="13"/>
  <c r="AN176" i="13"/>
  <c r="AM176" i="13"/>
  <c r="AL176" i="13"/>
  <c r="AK176" i="13"/>
  <c r="AJ176" i="13"/>
  <c r="AI176" i="13"/>
  <c r="AH176" i="13"/>
  <c r="AG176" i="13"/>
  <c r="AF176" i="13"/>
  <c r="AE176" i="13"/>
  <c r="AD176" i="13"/>
  <c r="AC176" i="13"/>
  <c r="AB176" i="13"/>
  <c r="AA176" i="13"/>
  <c r="Z176" i="13"/>
  <c r="Y176" i="13"/>
  <c r="X176" i="13"/>
  <c r="W176" i="13"/>
  <c r="V176" i="13"/>
  <c r="AO175" i="13"/>
  <c r="AN175" i="13"/>
  <c r="AM175" i="13"/>
  <c r="AL175" i="13"/>
  <c r="AK175" i="13"/>
  <c r="AJ175" i="13"/>
  <c r="AI175" i="13"/>
  <c r="AH175" i="13"/>
  <c r="AG175" i="13"/>
  <c r="AF175" i="13"/>
  <c r="AE175" i="13"/>
  <c r="AD175" i="13"/>
  <c r="AC175" i="13"/>
  <c r="AB175" i="13"/>
  <c r="AA175" i="13"/>
  <c r="Z175" i="13"/>
  <c r="Y175" i="13"/>
  <c r="X175" i="13"/>
  <c r="W175" i="13"/>
  <c r="V175" i="13"/>
  <c r="AO174" i="13"/>
  <c r="AN174" i="13"/>
  <c r="AM174" i="13"/>
  <c r="AL174" i="13"/>
  <c r="AK174" i="13"/>
  <c r="AJ174" i="13"/>
  <c r="AI174" i="13"/>
  <c r="AH174" i="13"/>
  <c r="AG174" i="13"/>
  <c r="AF174" i="13"/>
  <c r="AE174" i="13"/>
  <c r="AD174" i="13"/>
  <c r="AC174" i="13"/>
  <c r="AB174" i="13"/>
  <c r="AA174" i="13"/>
  <c r="Z174" i="13"/>
  <c r="Y174" i="13"/>
  <c r="X174" i="13"/>
  <c r="W174" i="13"/>
  <c r="V174" i="13"/>
  <c r="AO173" i="13"/>
  <c r="AN173" i="13"/>
  <c r="AM173" i="13"/>
  <c r="AL173" i="13"/>
  <c r="AK173" i="13"/>
  <c r="AJ173" i="13"/>
  <c r="AI173" i="13"/>
  <c r="AH173" i="13"/>
  <c r="AG173" i="13"/>
  <c r="AF173" i="13"/>
  <c r="AE173" i="13"/>
  <c r="AD173" i="13"/>
  <c r="AC173" i="13"/>
  <c r="AB173" i="13"/>
  <c r="AA173" i="13"/>
  <c r="Z173" i="13"/>
  <c r="Y173" i="13"/>
  <c r="X173" i="13"/>
  <c r="W173" i="13"/>
  <c r="V173" i="13"/>
  <c r="AO172" i="13"/>
  <c r="AN172" i="13"/>
  <c r="AM172" i="13"/>
  <c r="AL172" i="13"/>
  <c r="AK172" i="13"/>
  <c r="AJ172" i="13"/>
  <c r="AI172" i="13"/>
  <c r="AH172" i="13"/>
  <c r="AG172" i="13"/>
  <c r="AF172" i="13"/>
  <c r="AE172" i="13"/>
  <c r="AD172" i="13"/>
  <c r="AC172" i="13"/>
  <c r="AB172" i="13"/>
  <c r="AA172" i="13"/>
  <c r="Z172" i="13"/>
  <c r="Y172" i="13"/>
  <c r="X172" i="13"/>
  <c r="W172" i="13"/>
  <c r="V172" i="13"/>
  <c r="AO171" i="13"/>
  <c r="AN171" i="13"/>
  <c r="AM171" i="13"/>
  <c r="AL171" i="13"/>
  <c r="AK171" i="13"/>
  <c r="AJ171" i="13"/>
  <c r="AI171" i="13"/>
  <c r="AH171" i="13"/>
  <c r="AG171" i="13"/>
  <c r="AF171" i="13"/>
  <c r="AE171" i="13"/>
  <c r="AD171" i="13"/>
  <c r="AC171" i="13"/>
  <c r="AB171" i="13"/>
  <c r="AA171" i="13"/>
  <c r="Z171" i="13"/>
  <c r="Y171" i="13"/>
  <c r="X171" i="13"/>
  <c r="W171" i="13"/>
  <c r="V171" i="13"/>
  <c r="AO170" i="13"/>
  <c r="AN170" i="13"/>
  <c r="AM170" i="13"/>
  <c r="AL170" i="13"/>
  <c r="AK170" i="13"/>
  <c r="AJ170" i="13"/>
  <c r="AI170" i="13"/>
  <c r="AH170" i="13"/>
  <c r="AG170" i="13"/>
  <c r="AF170" i="13"/>
  <c r="AE170" i="13"/>
  <c r="AD170" i="13"/>
  <c r="AC170" i="13"/>
  <c r="AB170" i="13"/>
  <c r="AA170" i="13"/>
  <c r="Z170" i="13"/>
  <c r="Y170" i="13"/>
  <c r="X170" i="13"/>
  <c r="W170" i="13"/>
  <c r="V170" i="13"/>
  <c r="AO169" i="13"/>
  <c r="AN169" i="13"/>
  <c r="AM169" i="13"/>
  <c r="AL169" i="13"/>
  <c r="AK169" i="13"/>
  <c r="AJ169" i="13"/>
  <c r="AI169" i="13"/>
  <c r="AH169" i="13"/>
  <c r="AG169" i="13"/>
  <c r="AF169" i="13"/>
  <c r="AE169" i="13"/>
  <c r="AD169" i="13"/>
  <c r="AC169" i="13"/>
  <c r="AB169" i="13"/>
  <c r="AA169" i="13"/>
  <c r="Z169" i="13"/>
  <c r="Y169" i="13"/>
  <c r="X169" i="13"/>
  <c r="W169" i="13"/>
  <c r="V169" i="13"/>
  <c r="AO168" i="13"/>
  <c r="AN168" i="13"/>
  <c r="AM168" i="13"/>
  <c r="AL168" i="13"/>
  <c r="X95" i="13" s="1"/>
  <c r="AK168" i="13"/>
  <c r="AJ168" i="13"/>
  <c r="AI168" i="13"/>
  <c r="AH168" i="13"/>
  <c r="AG168" i="13"/>
  <c r="AF168" i="13"/>
  <c r="AE168" i="13"/>
  <c r="AD168" i="13"/>
  <c r="AD95" i="13" s="1"/>
  <c r="AC168" i="13"/>
  <c r="AC95" i="13" s="1"/>
  <c r="AB168" i="13"/>
  <c r="AA168" i="13"/>
  <c r="AA95" i="13" s="1"/>
  <c r="Z168" i="13"/>
  <c r="Z95" i="13" s="1"/>
  <c r="Y168" i="13"/>
  <c r="X168" i="13"/>
  <c r="W168" i="13"/>
  <c r="W95" i="13" s="1"/>
  <c r="V168" i="13"/>
  <c r="AO167" i="13"/>
  <c r="AN167" i="13"/>
  <c r="AM167" i="13"/>
  <c r="AL167" i="13"/>
  <c r="X94" i="13" s="1"/>
  <c r="AK167" i="13"/>
  <c r="AJ167" i="13"/>
  <c r="AI167" i="13"/>
  <c r="AH167" i="13"/>
  <c r="AG167" i="13"/>
  <c r="AF167" i="13"/>
  <c r="AE167" i="13"/>
  <c r="AD167" i="13"/>
  <c r="AC167" i="13"/>
  <c r="AC94" i="13" s="1"/>
  <c r="AB167" i="13"/>
  <c r="AB94" i="13" s="1"/>
  <c r="AA167" i="13"/>
  <c r="Z167" i="13"/>
  <c r="Z94" i="13" s="1"/>
  <c r="Y167" i="13"/>
  <c r="Y94" i="13" s="1"/>
  <c r="X167" i="13"/>
  <c r="W167" i="13"/>
  <c r="W94" i="13" s="1"/>
  <c r="V167" i="13"/>
  <c r="V94" i="13" s="1"/>
  <c r="AO166" i="13"/>
  <c r="AN166" i="13"/>
  <c r="AM166" i="13"/>
  <c r="AL166" i="13"/>
  <c r="AK166" i="13"/>
  <c r="AJ166" i="13"/>
  <c r="AI166" i="13"/>
  <c r="AH166" i="13"/>
  <c r="AG166" i="13"/>
  <c r="AF166" i="13"/>
  <c r="AE166" i="13"/>
  <c r="AD166" i="13"/>
  <c r="AD93" i="13" s="1"/>
  <c r="AC166" i="13"/>
  <c r="AB166" i="13"/>
  <c r="AA166" i="13"/>
  <c r="Z166" i="13"/>
  <c r="Y166" i="13"/>
  <c r="Y93" i="13" s="1"/>
  <c r="X166" i="13"/>
  <c r="W166" i="13"/>
  <c r="V166" i="13"/>
  <c r="V93" i="13" s="1"/>
  <c r="AO165" i="13"/>
  <c r="AN165" i="13"/>
  <c r="AM165" i="13"/>
  <c r="AL165" i="13"/>
  <c r="X92" i="13" s="1"/>
  <c r="AK165" i="13"/>
  <c r="AJ165" i="13"/>
  <c r="AI165" i="13"/>
  <c r="AH165" i="13"/>
  <c r="AG165" i="13"/>
  <c r="AF165" i="13"/>
  <c r="AE165" i="13"/>
  <c r="AD165" i="13"/>
  <c r="AD92" i="13" s="1"/>
  <c r="AC165" i="13"/>
  <c r="AC92" i="13" s="1"/>
  <c r="AB165" i="13"/>
  <c r="AA165" i="13"/>
  <c r="AA92" i="13" s="1"/>
  <c r="Z165" i="13"/>
  <c r="Z92" i="13" s="1"/>
  <c r="Y165" i="13"/>
  <c r="X165" i="13"/>
  <c r="W165" i="13"/>
  <c r="W92" i="13" s="1"/>
  <c r="V165" i="13"/>
  <c r="AO164" i="13"/>
  <c r="AN164" i="13"/>
  <c r="AM164" i="13"/>
  <c r="AL164" i="13"/>
  <c r="X91" i="13" s="1"/>
  <c r="AK164" i="13"/>
  <c r="AJ164" i="13"/>
  <c r="AI164" i="13"/>
  <c r="AH164" i="13"/>
  <c r="AG164" i="13"/>
  <c r="AF164" i="13"/>
  <c r="AE164" i="13"/>
  <c r="AD164" i="13"/>
  <c r="AC164" i="13"/>
  <c r="AC91" i="13" s="1"/>
  <c r="AB164" i="13"/>
  <c r="AB91" i="13" s="1"/>
  <c r="AA164" i="13"/>
  <c r="Z164" i="13"/>
  <c r="Z91" i="13" s="1"/>
  <c r="Y164" i="13"/>
  <c r="X164" i="13"/>
  <c r="W164" i="13"/>
  <c r="V164" i="13"/>
  <c r="V91" i="13" s="1"/>
  <c r="AO163" i="13"/>
  <c r="AN163" i="13"/>
  <c r="AM163" i="13"/>
  <c r="AL163" i="13"/>
  <c r="AK163" i="13"/>
  <c r="AJ163" i="13"/>
  <c r="AI163" i="13"/>
  <c r="AH163" i="13"/>
  <c r="AG163" i="13"/>
  <c r="AF163" i="13"/>
  <c r="AE163" i="13"/>
  <c r="AD163" i="13"/>
  <c r="AD90" i="13" s="1"/>
  <c r="AC163" i="13"/>
  <c r="AB163" i="13"/>
  <c r="AB90" i="13" s="1"/>
  <c r="AA163" i="13"/>
  <c r="AA90" i="13" s="1"/>
  <c r="Z163" i="13"/>
  <c r="Y163" i="13"/>
  <c r="Y90" i="13" s="1"/>
  <c r="X163" i="13"/>
  <c r="W163" i="13"/>
  <c r="W90" i="13" s="1"/>
  <c r="V163" i="13"/>
  <c r="V90" i="13" s="1"/>
  <c r="AO162" i="13"/>
  <c r="AN162" i="13"/>
  <c r="AM162" i="13"/>
  <c r="AL162" i="13"/>
  <c r="X89" i="13" s="1"/>
  <c r="AK162" i="13"/>
  <c r="AJ162" i="13"/>
  <c r="AI162" i="13"/>
  <c r="AH162" i="13"/>
  <c r="AG162" i="13"/>
  <c r="AF162" i="13"/>
  <c r="AE162" i="13"/>
  <c r="AD162" i="13"/>
  <c r="AD89" i="13" s="1"/>
  <c r="AC162" i="13"/>
  <c r="AC89" i="13" s="1"/>
  <c r="AB162" i="13"/>
  <c r="AA162" i="13"/>
  <c r="AA89" i="13" s="1"/>
  <c r="Z162" i="13"/>
  <c r="Z89" i="13" s="1"/>
  <c r="Y162" i="13"/>
  <c r="X162" i="13"/>
  <c r="W162" i="13"/>
  <c r="V162" i="13"/>
  <c r="AO161" i="13"/>
  <c r="AN161" i="13"/>
  <c r="AM161" i="13"/>
  <c r="AL161" i="13"/>
  <c r="X88" i="13" s="1"/>
  <c r="AK161" i="13"/>
  <c r="AJ161" i="13"/>
  <c r="AI161" i="13"/>
  <c r="AH161" i="13"/>
  <c r="AG161" i="13"/>
  <c r="AF161" i="13"/>
  <c r="AE161" i="13"/>
  <c r="AD161" i="13"/>
  <c r="AC161" i="13"/>
  <c r="AC88" i="13" s="1"/>
  <c r="AB161" i="13"/>
  <c r="AB88" i="13" s="1"/>
  <c r="AA161" i="13"/>
  <c r="Z161" i="13"/>
  <c r="Z88" i="13" s="1"/>
  <c r="Y161" i="13"/>
  <c r="Y88" i="13" s="1"/>
  <c r="X161" i="13"/>
  <c r="W161" i="13"/>
  <c r="W88" i="13" s="1"/>
  <c r="V161" i="13"/>
  <c r="V88" i="13" s="1"/>
  <c r="AO160" i="13"/>
  <c r="AN160" i="13"/>
  <c r="AM160" i="13"/>
  <c r="AL160" i="13"/>
  <c r="AK160" i="13"/>
  <c r="AJ160" i="13"/>
  <c r="AI160" i="13"/>
  <c r="AH160" i="13"/>
  <c r="AG160" i="13"/>
  <c r="AF160" i="13"/>
  <c r="AE160" i="13"/>
  <c r="AD160" i="13"/>
  <c r="AD87" i="13" s="1"/>
  <c r="AC160" i="13"/>
  <c r="AB160" i="13"/>
  <c r="AB87" i="13" s="1"/>
  <c r="AA160" i="13"/>
  <c r="AA87" i="13" s="1"/>
  <c r="Z160" i="13"/>
  <c r="Y160" i="13"/>
  <c r="Y87" i="13" s="1"/>
  <c r="X160" i="13"/>
  <c r="W160" i="13"/>
  <c r="V160" i="13"/>
  <c r="V87" i="13" s="1"/>
  <c r="AO159" i="13"/>
  <c r="AN159" i="13"/>
  <c r="AM159" i="13"/>
  <c r="AL159" i="13"/>
  <c r="AK159" i="13"/>
  <c r="AJ159" i="13"/>
  <c r="AI159" i="13"/>
  <c r="AH159" i="13"/>
  <c r="AG159" i="13"/>
  <c r="AF159" i="13"/>
  <c r="AE159" i="13"/>
  <c r="AD159" i="13"/>
  <c r="AC159" i="13"/>
  <c r="AB159" i="13"/>
  <c r="AA159" i="13"/>
  <c r="Z159" i="13"/>
  <c r="Y159" i="13"/>
  <c r="X159" i="13"/>
  <c r="W159" i="13"/>
  <c r="V159" i="13"/>
  <c r="AO158" i="13"/>
  <c r="AN158" i="13"/>
  <c r="AM158" i="13"/>
  <c r="AL158" i="13"/>
  <c r="AK158" i="13"/>
  <c r="AJ158" i="13"/>
  <c r="AI158" i="13"/>
  <c r="AH158" i="13"/>
  <c r="AG158" i="13"/>
  <c r="AF158" i="13"/>
  <c r="AE158" i="13"/>
  <c r="AD158" i="13"/>
  <c r="AC158" i="13"/>
  <c r="AB158" i="13"/>
  <c r="AA158" i="13"/>
  <c r="Z158" i="13"/>
  <c r="Y158" i="13"/>
  <c r="X158" i="13"/>
  <c r="W158" i="13"/>
  <c r="V158" i="13"/>
  <c r="AO157" i="13"/>
  <c r="AN157" i="13"/>
  <c r="AM157" i="13"/>
  <c r="AL157" i="13"/>
  <c r="AK157" i="13"/>
  <c r="AJ157" i="13"/>
  <c r="AI157" i="13"/>
  <c r="AH157" i="13"/>
  <c r="AG157" i="13"/>
  <c r="AF157" i="13"/>
  <c r="AE157" i="13"/>
  <c r="AD157" i="13"/>
  <c r="AC157" i="13"/>
  <c r="AB157" i="13"/>
  <c r="AA157" i="13"/>
  <c r="Z157" i="13"/>
  <c r="Y157" i="13"/>
  <c r="X157" i="13"/>
  <c r="W157" i="13"/>
  <c r="V157" i="13"/>
  <c r="AO156" i="13"/>
  <c r="AN156" i="13"/>
  <c r="AM156" i="13"/>
  <c r="AL156" i="13"/>
  <c r="AK156" i="13"/>
  <c r="AJ156" i="13"/>
  <c r="AI156" i="13"/>
  <c r="AH156" i="13"/>
  <c r="AG156" i="13"/>
  <c r="AF156" i="13"/>
  <c r="AE156" i="13"/>
  <c r="AD156" i="13"/>
  <c r="AC156" i="13"/>
  <c r="AB156" i="13"/>
  <c r="AA156" i="13"/>
  <c r="Z156" i="13"/>
  <c r="Y156" i="13"/>
  <c r="X156" i="13"/>
  <c r="W156" i="13"/>
  <c r="V156" i="13"/>
  <c r="AO155" i="13"/>
  <c r="AN155" i="13"/>
  <c r="AM155" i="13"/>
  <c r="AL155" i="13"/>
  <c r="AK155" i="13"/>
  <c r="AJ155" i="13"/>
  <c r="AI155" i="13"/>
  <c r="AH155" i="13"/>
  <c r="AG155" i="13"/>
  <c r="AF155" i="13"/>
  <c r="AE155" i="13"/>
  <c r="AD155" i="13"/>
  <c r="AC155" i="13"/>
  <c r="AB155" i="13"/>
  <c r="AA155" i="13"/>
  <c r="Z155" i="13"/>
  <c r="Y155" i="13"/>
  <c r="X155" i="13"/>
  <c r="W155" i="13"/>
  <c r="V155" i="13"/>
  <c r="AO154" i="13"/>
  <c r="AN154" i="13"/>
  <c r="AM154" i="13"/>
  <c r="AL154" i="13"/>
  <c r="AK154" i="13"/>
  <c r="AJ154" i="13"/>
  <c r="AI154" i="13"/>
  <c r="AH154" i="13"/>
  <c r="AG154" i="13"/>
  <c r="AF154" i="13"/>
  <c r="AE154" i="13"/>
  <c r="AD154" i="13"/>
  <c r="AC154" i="13"/>
  <c r="AB154" i="13"/>
  <c r="AA154" i="13"/>
  <c r="Z154" i="13"/>
  <c r="Y154" i="13"/>
  <c r="X154" i="13"/>
  <c r="W154" i="13"/>
  <c r="V154" i="13"/>
  <c r="AO153" i="13"/>
  <c r="AN153" i="13"/>
  <c r="AM153" i="13"/>
  <c r="AL153" i="13"/>
  <c r="AK153" i="13"/>
  <c r="AJ153" i="13"/>
  <c r="AI153" i="13"/>
  <c r="AH153" i="13"/>
  <c r="AG153" i="13"/>
  <c r="AF153" i="13"/>
  <c r="AE153" i="13"/>
  <c r="AD153" i="13"/>
  <c r="AC153" i="13"/>
  <c r="AB153" i="13"/>
  <c r="AA153" i="13"/>
  <c r="Z153" i="13"/>
  <c r="Y153" i="13"/>
  <c r="X153" i="13"/>
  <c r="W153" i="13"/>
  <c r="V153" i="13"/>
  <c r="AO152" i="13"/>
  <c r="AN152" i="13"/>
  <c r="AM152" i="13"/>
  <c r="AL152" i="13"/>
  <c r="AK152" i="13"/>
  <c r="AJ152" i="13"/>
  <c r="AI152" i="13"/>
  <c r="AH152" i="13"/>
  <c r="AG152" i="13"/>
  <c r="AF152" i="13"/>
  <c r="AE152" i="13"/>
  <c r="AD152" i="13"/>
  <c r="AC152" i="13"/>
  <c r="AB152" i="13"/>
  <c r="AA152" i="13"/>
  <c r="Z152" i="13"/>
  <c r="Y152" i="13"/>
  <c r="X152" i="13"/>
  <c r="W152" i="13"/>
  <c r="V152" i="13"/>
  <c r="AO151" i="13"/>
  <c r="AN151" i="13"/>
  <c r="AM151" i="13"/>
  <c r="AL151" i="13"/>
  <c r="AK151" i="13"/>
  <c r="AJ151" i="13"/>
  <c r="AI151" i="13"/>
  <c r="AH151" i="13"/>
  <c r="AG151" i="13"/>
  <c r="AF151" i="13"/>
  <c r="AE151" i="13"/>
  <c r="AD151" i="13"/>
  <c r="AC151" i="13"/>
  <c r="AB151" i="13"/>
  <c r="AA151" i="13"/>
  <c r="Z151" i="13"/>
  <c r="Y151" i="13"/>
  <c r="X151" i="13"/>
  <c r="W151" i="13"/>
  <c r="V151" i="13"/>
  <c r="AO150" i="13"/>
  <c r="AN150" i="13"/>
  <c r="AM150" i="13"/>
  <c r="AL150" i="13"/>
  <c r="AK150" i="13"/>
  <c r="AJ150" i="13"/>
  <c r="AI150" i="13"/>
  <c r="AH150" i="13"/>
  <c r="AG150" i="13"/>
  <c r="AF150" i="13"/>
  <c r="AE150" i="13"/>
  <c r="AD150" i="13"/>
  <c r="AC150" i="13"/>
  <c r="AB150" i="13"/>
  <c r="AA150" i="13"/>
  <c r="Z150" i="13"/>
  <c r="Y150" i="13"/>
  <c r="X150" i="13"/>
  <c r="W150" i="13"/>
  <c r="V150" i="13"/>
  <c r="AO149" i="13"/>
  <c r="AN149" i="13"/>
  <c r="AM149" i="13"/>
  <c r="AL149" i="13"/>
  <c r="AK149" i="13"/>
  <c r="AJ149" i="13"/>
  <c r="AI149" i="13"/>
  <c r="AH149" i="13"/>
  <c r="AG149" i="13"/>
  <c r="AF149" i="13"/>
  <c r="AE149" i="13"/>
  <c r="AD149" i="13"/>
  <c r="AC149" i="13"/>
  <c r="AB149" i="13"/>
  <c r="AA149" i="13"/>
  <c r="Z149" i="13"/>
  <c r="Y149" i="13"/>
  <c r="X149" i="13"/>
  <c r="W149" i="13"/>
  <c r="V149" i="13"/>
  <c r="AO148" i="13"/>
  <c r="AN148" i="13"/>
  <c r="AM148" i="13"/>
  <c r="AL148" i="13"/>
  <c r="AK148" i="13"/>
  <c r="AJ148" i="13"/>
  <c r="AI148" i="13"/>
  <c r="AH148" i="13"/>
  <c r="AG148" i="13"/>
  <c r="AF148" i="13"/>
  <c r="AE148" i="13"/>
  <c r="AD148" i="13"/>
  <c r="AC148" i="13"/>
  <c r="AB148" i="13"/>
  <c r="AA148" i="13"/>
  <c r="Z148" i="13"/>
  <c r="Y148" i="13"/>
  <c r="X148" i="13"/>
  <c r="W148" i="13"/>
  <c r="V148" i="13"/>
  <c r="AO147" i="13"/>
  <c r="AN147" i="13"/>
  <c r="AM147" i="13"/>
  <c r="AL147" i="13"/>
  <c r="AK147" i="13"/>
  <c r="AJ147" i="13"/>
  <c r="AI147" i="13"/>
  <c r="AH147" i="13"/>
  <c r="AG147" i="13"/>
  <c r="AF147" i="13"/>
  <c r="AE147" i="13"/>
  <c r="AD147" i="13"/>
  <c r="AC147" i="13"/>
  <c r="AB147" i="13"/>
  <c r="AA147" i="13"/>
  <c r="Z147" i="13"/>
  <c r="Y147" i="13"/>
  <c r="X147" i="13"/>
  <c r="W147" i="13"/>
  <c r="V147" i="13"/>
  <c r="AO146" i="13"/>
  <c r="AN146" i="13"/>
  <c r="AM146" i="13"/>
  <c r="AL146" i="13"/>
  <c r="AK146" i="13"/>
  <c r="AJ146" i="13"/>
  <c r="AI146" i="13"/>
  <c r="AH146" i="13"/>
  <c r="AG146" i="13"/>
  <c r="AF146" i="13"/>
  <c r="AE146" i="13"/>
  <c r="AD146" i="13"/>
  <c r="AC146" i="13"/>
  <c r="AB146" i="13"/>
  <c r="AA146" i="13"/>
  <c r="Z146" i="13"/>
  <c r="Y146" i="13"/>
  <c r="X146" i="13"/>
  <c r="W146" i="13"/>
  <c r="V146" i="13"/>
  <c r="AO145" i="13"/>
  <c r="AN145" i="13"/>
  <c r="AM145" i="13"/>
  <c r="AL145" i="13"/>
  <c r="AK145" i="13"/>
  <c r="AJ145" i="13"/>
  <c r="AI145" i="13"/>
  <c r="AH145" i="13"/>
  <c r="AG145" i="13"/>
  <c r="AF145" i="13"/>
  <c r="AE145" i="13"/>
  <c r="AD145" i="13"/>
  <c r="AC145" i="13"/>
  <c r="AB145" i="13"/>
  <c r="AA145" i="13"/>
  <c r="Z145" i="13"/>
  <c r="Y145" i="13"/>
  <c r="X145" i="13"/>
  <c r="W145" i="13"/>
  <c r="V145" i="13"/>
  <c r="AO144" i="13"/>
  <c r="AN144" i="13"/>
  <c r="AM144" i="13"/>
  <c r="AL144" i="13"/>
  <c r="AK144" i="13"/>
  <c r="AJ144" i="13"/>
  <c r="AI144" i="13"/>
  <c r="AH144" i="13"/>
  <c r="AG144" i="13"/>
  <c r="AF144" i="13"/>
  <c r="AE144" i="13"/>
  <c r="AD144" i="13"/>
  <c r="AC144" i="13"/>
  <c r="AB144" i="13"/>
  <c r="AA144" i="13"/>
  <c r="Z144" i="13"/>
  <c r="Y144" i="13"/>
  <c r="X144" i="13"/>
  <c r="W144" i="13"/>
  <c r="V144" i="13"/>
  <c r="AO143" i="13"/>
  <c r="AN143" i="13"/>
  <c r="AM143" i="13"/>
  <c r="AL143" i="13"/>
  <c r="AK143" i="13"/>
  <c r="AJ143" i="13"/>
  <c r="AI143" i="13"/>
  <c r="AH143" i="13"/>
  <c r="AG143" i="13"/>
  <c r="AF143" i="13"/>
  <c r="AE143" i="13"/>
  <c r="AD143" i="13"/>
  <c r="AC143" i="13"/>
  <c r="AB143" i="13"/>
  <c r="AA143" i="13"/>
  <c r="Z143" i="13"/>
  <c r="Y143" i="13"/>
  <c r="X143" i="13"/>
  <c r="W143" i="13"/>
  <c r="V143" i="13"/>
  <c r="AO142" i="13"/>
  <c r="AN142" i="13"/>
  <c r="AM142" i="13"/>
  <c r="AL142" i="13"/>
  <c r="AK142" i="13"/>
  <c r="AJ142" i="13"/>
  <c r="AI142" i="13"/>
  <c r="AH142" i="13"/>
  <c r="AG142" i="13"/>
  <c r="AF142" i="13"/>
  <c r="AE142" i="13"/>
  <c r="AD142" i="13"/>
  <c r="AC142" i="13"/>
  <c r="AB142" i="13"/>
  <c r="AA142" i="13"/>
  <c r="Z142" i="13"/>
  <c r="Y142" i="13"/>
  <c r="X142" i="13"/>
  <c r="W142" i="13"/>
  <c r="V142" i="13"/>
  <c r="AO141" i="13"/>
  <c r="AN141" i="13"/>
  <c r="AM141" i="13"/>
  <c r="AL141" i="13"/>
  <c r="AK141" i="13"/>
  <c r="AJ141" i="13"/>
  <c r="AI141" i="13"/>
  <c r="AH141" i="13"/>
  <c r="AG141" i="13"/>
  <c r="AF141" i="13"/>
  <c r="AE141" i="13"/>
  <c r="AD141" i="13"/>
  <c r="AC141" i="13"/>
  <c r="AB141" i="13"/>
  <c r="AA141" i="13"/>
  <c r="Z141" i="13"/>
  <c r="Y141" i="13"/>
  <c r="X141" i="13"/>
  <c r="W141" i="13"/>
  <c r="V141" i="13"/>
  <c r="AO140" i="13"/>
  <c r="AN140" i="13"/>
  <c r="AM140" i="13"/>
  <c r="AL140" i="13"/>
  <c r="AK140" i="13"/>
  <c r="AJ140" i="13"/>
  <c r="AI140" i="13"/>
  <c r="AH140" i="13"/>
  <c r="AG140" i="13"/>
  <c r="AF140" i="13"/>
  <c r="AE140" i="13"/>
  <c r="AD140" i="13"/>
  <c r="AC140" i="13"/>
  <c r="AB140" i="13"/>
  <c r="AA140" i="13"/>
  <c r="Z140" i="13"/>
  <c r="Y140" i="13"/>
  <c r="X140" i="13"/>
  <c r="W140" i="13"/>
  <c r="V140" i="13"/>
  <c r="AO139" i="13"/>
  <c r="AN139" i="13"/>
  <c r="AM139" i="13"/>
  <c r="AL139" i="13"/>
  <c r="AK139" i="13"/>
  <c r="AJ139" i="13"/>
  <c r="AI139" i="13"/>
  <c r="AH139" i="13"/>
  <c r="AG139" i="13"/>
  <c r="AF139" i="13"/>
  <c r="AE139" i="13"/>
  <c r="AD139" i="13"/>
  <c r="AC139" i="13"/>
  <c r="AB139" i="13"/>
  <c r="AA139" i="13"/>
  <c r="Z139" i="13"/>
  <c r="Y139" i="13"/>
  <c r="X139" i="13"/>
  <c r="W139" i="13"/>
  <c r="V139" i="13"/>
  <c r="AO138" i="13"/>
  <c r="AN138" i="13"/>
  <c r="AM138" i="13"/>
  <c r="AL138" i="13"/>
  <c r="AK138" i="13"/>
  <c r="AJ138" i="13"/>
  <c r="AI138" i="13"/>
  <c r="AH138" i="13"/>
  <c r="AG138" i="13"/>
  <c r="AF138" i="13"/>
  <c r="AE138" i="13"/>
  <c r="AD138" i="13"/>
  <c r="AC138" i="13"/>
  <c r="AB138" i="13"/>
  <c r="AA138" i="13"/>
  <c r="Z138" i="13"/>
  <c r="Y138" i="13"/>
  <c r="X138" i="13"/>
  <c r="W138" i="13"/>
  <c r="V138" i="13"/>
  <c r="AO137" i="13"/>
  <c r="AN137" i="13"/>
  <c r="AM137" i="13"/>
  <c r="AL137" i="13"/>
  <c r="AK137" i="13"/>
  <c r="AJ137" i="13"/>
  <c r="AI137" i="13"/>
  <c r="AH137" i="13"/>
  <c r="AG137" i="13"/>
  <c r="AF137" i="13"/>
  <c r="AE137" i="13"/>
  <c r="AD137" i="13"/>
  <c r="AC137" i="13"/>
  <c r="AB137" i="13"/>
  <c r="AA137" i="13"/>
  <c r="Z137" i="13"/>
  <c r="Y137" i="13"/>
  <c r="X137" i="13"/>
  <c r="W137" i="13"/>
  <c r="V137" i="13"/>
  <c r="AO136" i="13"/>
  <c r="AN136" i="13"/>
  <c r="AM136" i="13"/>
  <c r="AL136" i="13"/>
  <c r="AK136" i="13"/>
  <c r="AJ136" i="13"/>
  <c r="AI136" i="13"/>
  <c r="AH136" i="13"/>
  <c r="AG136" i="13"/>
  <c r="AF136" i="13"/>
  <c r="AE136" i="13"/>
  <c r="AD136" i="13"/>
  <c r="AC136" i="13"/>
  <c r="AB136" i="13"/>
  <c r="AA136" i="13"/>
  <c r="Z136" i="13"/>
  <c r="Y136" i="13"/>
  <c r="X136" i="13"/>
  <c r="W136" i="13"/>
  <c r="V136" i="13"/>
  <c r="AO135" i="13"/>
  <c r="AN135" i="13"/>
  <c r="AM135" i="13"/>
  <c r="AL135" i="13"/>
  <c r="AK135" i="13"/>
  <c r="AJ135" i="13"/>
  <c r="AI135" i="13"/>
  <c r="AH135" i="13"/>
  <c r="AG135" i="13"/>
  <c r="AF135" i="13"/>
  <c r="AE135" i="13"/>
  <c r="AD135" i="13"/>
  <c r="AC135" i="13"/>
  <c r="AB135" i="13"/>
  <c r="AA135" i="13"/>
  <c r="Z135" i="13"/>
  <c r="Y135" i="13"/>
  <c r="X135" i="13"/>
  <c r="W135" i="13"/>
  <c r="V135" i="13"/>
  <c r="AO134" i="13"/>
  <c r="AN134" i="13"/>
  <c r="AM134" i="13"/>
  <c r="AL134" i="13"/>
  <c r="AK134" i="13"/>
  <c r="AJ134" i="13"/>
  <c r="AI134" i="13"/>
  <c r="AH134" i="13"/>
  <c r="AG134" i="13"/>
  <c r="AF134" i="13"/>
  <c r="AE134" i="13"/>
  <c r="AD134" i="13"/>
  <c r="AC134" i="13"/>
  <c r="AB134" i="13"/>
  <c r="AA134" i="13"/>
  <c r="Z134" i="13"/>
  <c r="Y134" i="13"/>
  <c r="X134" i="13"/>
  <c r="W134" i="13"/>
  <c r="V134" i="13"/>
  <c r="AO133" i="13"/>
  <c r="AN133" i="13"/>
  <c r="AM133" i="13"/>
  <c r="AL133" i="13"/>
  <c r="AK133" i="13"/>
  <c r="AJ133" i="13"/>
  <c r="AI133" i="13"/>
  <c r="AH133" i="13"/>
  <c r="AG133" i="13"/>
  <c r="AF133" i="13"/>
  <c r="AE133" i="13"/>
  <c r="AD133" i="13"/>
  <c r="AC133" i="13"/>
  <c r="AB133" i="13"/>
  <c r="AA133" i="13"/>
  <c r="Z133" i="13"/>
  <c r="Y133" i="13"/>
  <c r="X133" i="13"/>
  <c r="W133" i="13"/>
  <c r="V133" i="13"/>
  <c r="AO132" i="13"/>
  <c r="AN132" i="13"/>
  <c r="AM132" i="13"/>
  <c r="AL132" i="13"/>
  <c r="AK132" i="13"/>
  <c r="AJ132" i="13"/>
  <c r="AI132" i="13"/>
  <c r="AH132" i="13"/>
  <c r="AG132" i="13"/>
  <c r="AF132" i="13"/>
  <c r="AE132" i="13"/>
  <c r="AD132" i="13"/>
  <c r="AC132" i="13"/>
  <c r="AB132" i="13"/>
  <c r="AA132" i="13"/>
  <c r="Z132" i="13"/>
  <c r="Y132" i="13"/>
  <c r="X132" i="13"/>
  <c r="W132" i="13"/>
  <c r="V132" i="13"/>
  <c r="AO131" i="13"/>
  <c r="AN131" i="13"/>
  <c r="AM131" i="13"/>
  <c r="AL131" i="13"/>
  <c r="AK131" i="13"/>
  <c r="AJ131" i="13"/>
  <c r="AI131" i="13"/>
  <c r="AH131" i="13"/>
  <c r="AG131" i="13"/>
  <c r="AF131" i="13"/>
  <c r="AE131" i="13"/>
  <c r="AD131" i="13"/>
  <c r="AC131" i="13"/>
  <c r="AB131" i="13"/>
  <c r="AA131" i="13"/>
  <c r="Z131" i="13"/>
  <c r="Y131" i="13"/>
  <c r="X131" i="13"/>
  <c r="W131" i="13"/>
  <c r="V131" i="13"/>
  <c r="AO130" i="13"/>
  <c r="AN130" i="13"/>
  <c r="AM130" i="13"/>
  <c r="AL130" i="13"/>
  <c r="AK130" i="13"/>
  <c r="AJ130" i="13"/>
  <c r="AI130" i="13"/>
  <c r="AH130" i="13"/>
  <c r="AG130" i="13"/>
  <c r="AF130" i="13"/>
  <c r="AE130" i="13"/>
  <c r="AD130" i="13"/>
  <c r="AC130" i="13"/>
  <c r="AB130" i="13"/>
  <c r="AA130" i="13"/>
  <c r="Z130" i="13"/>
  <c r="Y130" i="13"/>
  <c r="X130" i="13"/>
  <c r="W130" i="13"/>
  <c r="V130" i="13"/>
  <c r="AO129" i="13"/>
  <c r="AN129" i="13"/>
  <c r="AM129" i="13"/>
  <c r="AL129" i="13"/>
  <c r="AK129" i="13"/>
  <c r="AJ129" i="13"/>
  <c r="AI129" i="13"/>
  <c r="AH129" i="13"/>
  <c r="AG129" i="13"/>
  <c r="AF129" i="13"/>
  <c r="AE129" i="13"/>
  <c r="AD129" i="13"/>
  <c r="AC129" i="13"/>
  <c r="AB129" i="13"/>
  <c r="AA129" i="13"/>
  <c r="Z129" i="13"/>
  <c r="Y129" i="13"/>
  <c r="X129" i="13"/>
  <c r="W129" i="13"/>
  <c r="V129" i="13"/>
  <c r="AO128" i="13"/>
  <c r="AN128" i="13"/>
  <c r="AM128" i="13"/>
  <c r="AL128" i="13"/>
  <c r="AK128" i="13"/>
  <c r="AJ128" i="13"/>
  <c r="AI128" i="13"/>
  <c r="AH128" i="13"/>
  <c r="AG128" i="13"/>
  <c r="AF128" i="13"/>
  <c r="AE128" i="13"/>
  <c r="AD128" i="13"/>
  <c r="AC128" i="13"/>
  <c r="AB128" i="13"/>
  <c r="AA128" i="13"/>
  <c r="Z128" i="13"/>
  <c r="Y128" i="13"/>
  <c r="X128" i="13"/>
  <c r="W128" i="13"/>
  <c r="V128" i="13"/>
  <c r="AO127" i="13"/>
  <c r="AN127" i="13"/>
  <c r="AM127" i="13"/>
  <c r="AL127" i="13"/>
  <c r="AK127" i="13"/>
  <c r="AJ127" i="13"/>
  <c r="AI127" i="13"/>
  <c r="AH127" i="13"/>
  <c r="AG127" i="13"/>
  <c r="AF127" i="13"/>
  <c r="AE127" i="13"/>
  <c r="AD127" i="13"/>
  <c r="AC127" i="13"/>
  <c r="AB127" i="13"/>
  <c r="AA127" i="13"/>
  <c r="Z127" i="13"/>
  <c r="Y127" i="13"/>
  <c r="X127" i="13"/>
  <c r="W127" i="13"/>
  <c r="V127" i="13"/>
  <c r="AO126" i="13"/>
  <c r="AN126" i="13"/>
  <c r="AM126" i="13"/>
  <c r="AL126" i="13"/>
  <c r="AK126" i="13"/>
  <c r="AJ126" i="13"/>
  <c r="AI126" i="13"/>
  <c r="AH126" i="13"/>
  <c r="AG126" i="13"/>
  <c r="AF126" i="13"/>
  <c r="AE126" i="13"/>
  <c r="AD126" i="13"/>
  <c r="AC126" i="13"/>
  <c r="AB126" i="13"/>
  <c r="AA126" i="13"/>
  <c r="Z126" i="13"/>
  <c r="Y126" i="13"/>
  <c r="X126" i="13"/>
  <c r="W126" i="13"/>
  <c r="V126" i="13"/>
  <c r="AO125" i="13"/>
  <c r="AN125" i="13"/>
  <c r="AM125" i="13"/>
  <c r="AL125" i="13"/>
  <c r="AK125" i="13"/>
  <c r="AJ125" i="13"/>
  <c r="AI125" i="13"/>
  <c r="AH125" i="13"/>
  <c r="AG125" i="13"/>
  <c r="AF125" i="13"/>
  <c r="AE125" i="13"/>
  <c r="AD125" i="13"/>
  <c r="AC125" i="13"/>
  <c r="AB125" i="13"/>
  <c r="AA125" i="13"/>
  <c r="Z125" i="13"/>
  <c r="Y125" i="13"/>
  <c r="X125" i="13"/>
  <c r="W125" i="13"/>
  <c r="V125" i="13"/>
  <c r="AO124" i="13"/>
  <c r="AN124" i="13"/>
  <c r="AM124" i="13"/>
  <c r="AL124" i="13"/>
  <c r="AK124" i="13"/>
  <c r="AJ124" i="13"/>
  <c r="AI124" i="13"/>
  <c r="AH124" i="13"/>
  <c r="AG124" i="13"/>
  <c r="AF124" i="13"/>
  <c r="AE124" i="13"/>
  <c r="AD124" i="13"/>
  <c r="AC124" i="13"/>
  <c r="AB124" i="13"/>
  <c r="AA124" i="13"/>
  <c r="Z124" i="13"/>
  <c r="Y124" i="13"/>
  <c r="X124" i="13"/>
  <c r="W124" i="13"/>
  <c r="V124" i="13"/>
  <c r="AO123" i="13"/>
  <c r="AN123" i="13"/>
  <c r="AM123" i="13"/>
  <c r="AL123" i="13"/>
  <c r="AK123" i="13"/>
  <c r="AJ123" i="13"/>
  <c r="AI123" i="13"/>
  <c r="AH123" i="13"/>
  <c r="AG123" i="13"/>
  <c r="AF123" i="13"/>
  <c r="AE123" i="13"/>
  <c r="AD123" i="13"/>
  <c r="AC123" i="13"/>
  <c r="AB123" i="13"/>
  <c r="AA123" i="13"/>
  <c r="Z123" i="13"/>
  <c r="Y123" i="13"/>
  <c r="X123" i="13"/>
  <c r="W123" i="13"/>
  <c r="V123" i="13"/>
  <c r="AO122" i="13"/>
  <c r="AN122" i="13"/>
  <c r="AM122" i="13"/>
  <c r="AL122" i="13"/>
  <c r="AK122" i="13"/>
  <c r="AJ122" i="13"/>
  <c r="AI122" i="13"/>
  <c r="AH122" i="13"/>
  <c r="AG122" i="13"/>
  <c r="AF122" i="13"/>
  <c r="AE122" i="13"/>
  <c r="AD122" i="13"/>
  <c r="AC122" i="13"/>
  <c r="AB122" i="13"/>
  <c r="AA122" i="13"/>
  <c r="Z122" i="13"/>
  <c r="Y122" i="13"/>
  <c r="X122" i="13"/>
  <c r="W122" i="13"/>
  <c r="V122" i="13"/>
  <c r="AO121" i="13"/>
  <c r="AN121" i="13"/>
  <c r="AM121" i="13"/>
  <c r="AL121" i="13"/>
  <c r="AK121" i="13"/>
  <c r="AJ121" i="13"/>
  <c r="AI121" i="13"/>
  <c r="AH121" i="13"/>
  <c r="AG121" i="13"/>
  <c r="AF121" i="13"/>
  <c r="AE121" i="13"/>
  <c r="AD121" i="13"/>
  <c r="AC121" i="13"/>
  <c r="AB121" i="13"/>
  <c r="AA121" i="13"/>
  <c r="Z121" i="13"/>
  <c r="Y121" i="13"/>
  <c r="X121" i="13"/>
  <c r="W121" i="13"/>
  <c r="V121" i="13"/>
  <c r="AO120" i="13"/>
  <c r="AN120" i="13"/>
  <c r="AM120" i="13"/>
  <c r="AL120" i="13"/>
  <c r="AK120" i="13"/>
  <c r="AJ120" i="13"/>
  <c r="AI120" i="13"/>
  <c r="AH120" i="13"/>
  <c r="AG120" i="13"/>
  <c r="AF120" i="13"/>
  <c r="AE120" i="13"/>
  <c r="AD120" i="13"/>
  <c r="AC120" i="13"/>
  <c r="AB120" i="13"/>
  <c r="AA120" i="13"/>
  <c r="Z120" i="13"/>
  <c r="Y120" i="13"/>
  <c r="X120" i="13"/>
  <c r="W120" i="13"/>
  <c r="V120" i="13"/>
  <c r="AO119" i="13"/>
  <c r="AN119" i="13"/>
  <c r="AM119" i="13"/>
  <c r="AL119" i="13"/>
  <c r="AK119" i="13"/>
  <c r="AJ119" i="13"/>
  <c r="AI119" i="13"/>
  <c r="AH119" i="13"/>
  <c r="AG119" i="13"/>
  <c r="AF119" i="13"/>
  <c r="AE119" i="13"/>
  <c r="AD119" i="13"/>
  <c r="AC119" i="13"/>
  <c r="AB119" i="13"/>
  <c r="AA119" i="13"/>
  <c r="Z119" i="13"/>
  <c r="Y119" i="13"/>
  <c r="X119" i="13"/>
  <c r="W119" i="13"/>
  <c r="V119" i="13"/>
  <c r="AO118" i="13"/>
  <c r="AN118" i="13"/>
  <c r="AM118" i="13"/>
  <c r="AL118" i="13"/>
  <c r="AK118" i="13"/>
  <c r="AJ118" i="13"/>
  <c r="AI118" i="13"/>
  <c r="AH118" i="13"/>
  <c r="AG118" i="13"/>
  <c r="AF118" i="13"/>
  <c r="AE118" i="13"/>
  <c r="AD118" i="13"/>
  <c r="AC118" i="13"/>
  <c r="AB118" i="13"/>
  <c r="AA118" i="13"/>
  <c r="Z118" i="13"/>
  <c r="Y118" i="13"/>
  <c r="X118" i="13"/>
  <c r="W118" i="13"/>
  <c r="V118" i="13"/>
  <c r="AO117" i="13"/>
  <c r="AN117" i="13"/>
  <c r="AM117" i="13"/>
  <c r="AL117" i="13"/>
  <c r="AK117" i="13"/>
  <c r="AJ117" i="13"/>
  <c r="AI117" i="13"/>
  <c r="AH117" i="13"/>
  <c r="AG117" i="13"/>
  <c r="AF117" i="13"/>
  <c r="AE117" i="13"/>
  <c r="AD117" i="13"/>
  <c r="AC117" i="13"/>
  <c r="AB117" i="13"/>
  <c r="AA117" i="13"/>
  <c r="Z117" i="13"/>
  <c r="Y117" i="13"/>
  <c r="X117" i="13"/>
  <c r="W117" i="13"/>
  <c r="V117" i="13"/>
  <c r="AO116" i="13"/>
  <c r="AN116" i="13"/>
  <c r="AM116" i="13"/>
  <c r="AL116" i="13"/>
  <c r="AK116" i="13"/>
  <c r="AJ116" i="13"/>
  <c r="AI116" i="13"/>
  <c r="AH116" i="13"/>
  <c r="AG116" i="13"/>
  <c r="AF116" i="13"/>
  <c r="AE116" i="13"/>
  <c r="AD116" i="13"/>
  <c r="AC116" i="13"/>
  <c r="AB116" i="13"/>
  <c r="AA116" i="13"/>
  <c r="Z116" i="13"/>
  <c r="Y116" i="13"/>
  <c r="X116" i="13"/>
  <c r="W116" i="13"/>
  <c r="V116" i="13"/>
  <c r="AO115" i="13"/>
  <c r="AN115" i="13"/>
  <c r="AM115" i="13"/>
  <c r="AL115" i="13"/>
  <c r="AK115" i="13"/>
  <c r="AJ115" i="13"/>
  <c r="AI115" i="13"/>
  <c r="AH115" i="13"/>
  <c r="AG115" i="13"/>
  <c r="AF115" i="13"/>
  <c r="AE115" i="13"/>
  <c r="AD115" i="13"/>
  <c r="AC115" i="13"/>
  <c r="AB115" i="13"/>
  <c r="AA115" i="13"/>
  <c r="Z115" i="13"/>
  <c r="Y115" i="13"/>
  <c r="X115" i="13"/>
  <c r="W115" i="13"/>
  <c r="V115" i="13"/>
  <c r="AO114" i="13"/>
  <c r="AN114" i="13"/>
  <c r="AM114" i="13"/>
  <c r="AL114" i="13"/>
  <c r="AK114" i="13"/>
  <c r="AJ114" i="13"/>
  <c r="AI114" i="13"/>
  <c r="AH114" i="13"/>
  <c r="AG114" i="13"/>
  <c r="AF114" i="13"/>
  <c r="AE114" i="13"/>
  <c r="AD114" i="13"/>
  <c r="AC114" i="13"/>
  <c r="AB114" i="13"/>
  <c r="AA114" i="13"/>
  <c r="Z114" i="13"/>
  <c r="Y114" i="13"/>
  <c r="X114" i="13"/>
  <c r="W114" i="13"/>
  <c r="V114" i="13"/>
  <c r="AO113" i="13"/>
  <c r="AN113" i="13"/>
  <c r="AM113" i="13"/>
  <c r="AL113" i="13"/>
  <c r="AK113" i="13"/>
  <c r="AJ113" i="13"/>
  <c r="AI113" i="13"/>
  <c r="AH113" i="13"/>
  <c r="AG113" i="13"/>
  <c r="AF113" i="13"/>
  <c r="AE113" i="13"/>
  <c r="AD113" i="13"/>
  <c r="AC113" i="13"/>
  <c r="AB113" i="13"/>
  <c r="AA113" i="13"/>
  <c r="Z113" i="13"/>
  <c r="Y113" i="13"/>
  <c r="X113" i="13"/>
  <c r="W113" i="13"/>
  <c r="V113" i="13"/>
  <c r="AO112" i="13"/>
  <c r="AN112" i="13"/>
  <c r="AM112" i="13"/>
  <c r="AL112" i="13"/>
  <c r="AK112" i="13"/>
  <c r="AJ112" i="13"/>
  <c r="AI112" i="13"/>
  <c r="AH112" i="13"/>
  <c r="AG112" i="13"/>
  <c r="AF112" i="13"/>
  <c r="AE112" i="13"/>
  <c r="AD112" i="13"/>
  <c r="AC112" i="13"/>
  <c r="AB112" i="13"/>
  <c r="AA112" i="13"/>
  <c r="Z112" i="13"/>
  <c r="Y112" i="13"/>
  <c r="X112" i="13"/>
  <c r="W112" i="13"/>
  <c r="V112" i="13"/>
  <c r="AO111" i="13"/>
  <c r="AN111" i="13"/>
  <c r="AM111" i="13"/>
  <c r="AL111" i="13"/>
  <c r="AK111" i="13"/>
  <c r="AJ111" i="13"/>
  <c r="AI111" i="13"/>
  <c r="AH111" i="13"/>
  <c r="AG111" i="13"/>
  <c r="AF111" i="13"/>
  <c r="AE111" i="13"/>
  <c r="AD111" i="13"/>
  <c r="AC111" i="13"/>
  <c r="AB111" i="13"/>
  <c r="AA111" i="13"/>
  <c r="Z111" i="13"/>
  <c r="Y111" i="13"/>
  <c r="X111" i="13"/>
  <c r="W111" i="13"/>
  <c r="V111" i="13"/>
  <c r="AO110" i="13"/>
  <c r="AN110" i="13"/>
  <c r="AM110" i="13"/>
  <c r="AL110" i="13"/>
  <c r="AK110" i="13"/>
  <c r="AJ110" i="13"/>
  <c r="AI110" i="13"/>
  <c r="AH110" i="13"/>
  <c r="AG110" i="13"/>
  <c r="AF110" i="13"/>
  <c r="AE110" i="13"/>
  <c r="AD110" i="13"/>
  <c r="AC110" i="13"/>
  <c r="AB110" i="13"/>
  <c r="AA110" i="13"/>
  <c r="Z110" i="13"/>
  <c r="Y110" i="13"/>
  <c r="X110" i="13"/>
  <c r="W110" i="13"/>
  <c r="V110" i="13"/>
  <c r="AO109" i="13"/>
  <c r="AN109" i="13"/>
  <c r="AM109" i="13"/>
  <c r="AL109" i="13"/>
  <c r="AK109" i="13"/>
  <c r="AJ109" i="13"/>
  <c r="AI109" i="13"/>
  <c r="AH109" i="13"/>
  <c r="AG109" i="13"/>
  <c r="AF109" i="13"/>
  <c r="AE109" i="13"/>
  <c r="AD109" i="13"/>
  <c r="AC109" i="13"/>
  <c r="AB109" i="13"/>
  <c r="AA109" i="13"/>
  <c r="Z109" i="13"/>
  <c r="Y109" i="13"/>
  <c r="X109" i="13"/>
  <c r="W109" i="13"/>
  <c r="V109" i="13"/>
  <c r="AO108" i="13"/>
  <c r="AN108" i="13"/>
  <c r="AM108" i="13"/>
  <c r="AL108" i="13"/>
  <c r="AK108" i="13"/>
  <c r="AJ108" i="13"/>
  <c r="AI108" i="13"/>
  <c r="AH108" i="13"/>
  <c r="AG108" i="13"/>
  <c r="AF108" i="13"/>
  <c r="AE108" i="13"/>
  <c r="AD108" i="13"/>
  <c r="AC108" i="13"/>
  <c r="AB108" i="13"/>
  <c r="AA108" i="13"/>
  <c r="Z108" i="13"/>
  <c r="Y108" i="13"/>
  <c r="X108" i="13"/>
  <c r="W108" i="13"/>
  <c r="V108" i="13"/>
  <c r="AO107" i="13"/>
  <c r="AN107" i="13"/>
  <c r="AM107" i="13"/>
  <c r="AL107" i="13"/>
  <c r="AK107" i="13"/>
  <c r="AJ107" i="13"/>
  <c r="AI107" i="13"/>
  <c r="AH107" i="13"/>
  <c r="AG107" i="13"/>
  <c r="AF107" i="13"/>
  <c r="AE107" i="13"/>
  <c r="AD107" i="13"/>
  <c r="AC107" i="13"/>
  <c r="AB107" i="13"/>
  <c r="AA107" i="13"/>
  <c r="Z107" i="13"/>
  <c r="Y107" i="13"/>
  <c r="X107" i="13"/>
  <c r="W107" i="13"/>
  <c r="V107" i="13"/>
  <c r="AO106" i="13"/>
  <c r="AN106" i="13"/>
  <c r="AM106" i="13"/>
  <c r="AL106" i="13"/>
  <c r="AK106" i="13"/>
  <c r="AJ106" i="13"/>
  <c r="AI106" i="13"/>
  <c r="AH106" i="13"/>
  <c r="AG106" i="13"/>
  <c r="AF106" i="13"/>
  <c r="AE106" i="13"/>
  <c r="AD106" i="13"/>
  <c r="AC106" i="13"/>
  <c r="AB106" i="13"/>
  <c r="AA106" i="13"/>
  <c r="Z106" i="13"/>
  <c r="Y106" i="13"/>
  <c r="X106" i="13"/>
  <c r="W106" i="13"/>
  <c r="V106" i="13"/>
  <c r="AO105" i="13"/>
  <c r="AN105" i="13"/>
  <c r="AM105" i="13"/>
  <c r="AL105" i="13"/>
  <c r="AK105" i="13"/>
  <c r="AJ105" i="13"/>
  <c r="AI105" i="13"/>
  <c r="AH105" i="13"/>
  <c r="AG105" i="13"/>
  <c r="AF105" i="13"/>
  <c r="AE105" i="13"/>
  <c r="AD105" i="13"/>
  <c r="AC105" i="13"/>
  <c r="AB105" i="13"/>
  <c r="AA105" i="13"/>
  <c r="Z105" i="13"/>
  <c r="Y105" i="13"/>
  <c r="X105" i="13"/>
  <c r="W105" i="13"/>
  <c r="V105" i="13"/>
  <c r="AO104" i="13"/>
  <c r="AN104" i="13"/>
  <c r="AM104" i="13"/>
  <c r="AL104" i="13"/>
  <c r="AK104" i="13"/>
  <c r="AJ104" i="13"/>
  <c r="AI104" i="13"/>
  <c r="AH104" i="13"/>
  <c r="AG104" i="13"/>
  <c r="AF104" i="13"/>
  <c r="AE104" i="13"/>
  <c r="AD104" i="13"/>
  <c r="AC104" i="13"/>
  <c r="AB104" i="13"/>
  <c r="AA104" i="13"/>
  <c r="Z104" i="13"/>
  <c r="Y104" i="13"/>
  <c r="X104" i="13"/>
  <c r="W104" i="13"/>
  <c r="V104" i="13"/>
  <c r="AO103" i="13"/>
  <c r="AN103" i="13"/>
  <c r="AM103" i="13"/>
  <c r="AL103" i="13"/>
  <c r="AK103" i="13"/>
  <c r="AJ103" i="13"/>
  <c r="AI103" i="13"/>
  <c r="AH103" i="13"/>
  <c r="AG103" i="13"/>
  <c r="AF103" i="13"/>
  <c r="AE103" i="13"/>
  <c r="AD103" i="13"/>
  <c r="AC103" i="13"/>
  <c r="AB103" i="13"/>
  <c r="AA103" i="13"/>
  <c r="Z103" i="13"/>
  <c r="Y103" i="13"/>
  <c r="X103" i="13"/>
  <c r="W103" i="13"/>
  <c r="V103" i="13"/>
  <c r="AO102" i="13"/>
  <c r="AN102" i="13"/>
  <c r="AM102" i="13"/>
  <c r="AL102" i="13"/>
  <c r="AK102" i="13"/>
  <c r="AJ102" i="13"/>
  <c r="AI102" i="13"/>
  <c r="AH102" i="13"/>
  <c r="AG102" i="13"/>
  <c r="AF102" i="13"/>
  <c r="AE102" i="13"/>
  <c r="AD102" i="13"/>
  <c r="AC102" i="13"/>
  <c r="AB102" i="13"/>
  <c r="AA102" i="13"/>
  <c r="Z102" i="13"/>
  <c r="Y102" i="13"/>
  <c r="X102" i="13"/>
  <c r="W102" i="13"/>
  <c r="V102" i="13"/>
  <c r="AO101" i="13"/>
  <c r="AN101" i="13"/>
  <c r="AM101" i="13"/>
  <c r="AL101" i="13"/>
  <c r="AK101" i="13"/>
  <c r="AJ101" i="13"/>
  <c r="AI101" i="13"/>
  <c r="AH101" i="13"/>
  <c r="AG101" i="13"/>
  <c r="AF101" i="13"/>
  <c r="AE101" i="13"/>
  <c r="AD101" i="13"/>
  <c r="AC101" i="13"/>
  <c r="AB101" i="13"/>
  <c r="AA101" i="13"/>
  <c r="Z101" i="13"/>
  <c r="Y101" i="13"/>
  <c r="X101" i="13"/>
  <c r="W101" i="13"/>
  <c r="V101" i="13"/>
  <c r="AO100" i="13"/>
  <c r="AN100" i="13"/>
  <c r="AM100" i="13"/>
  <c r="AL100" i="13"/>
  <c r="AK100" i="13"/>
  <c r="AJ100" i="13"/>
  <c r="AI100" i="13"/>
  <c r="AH100" i="13"/>
  <c r="AG100" i="13"/>
  <c r="AF100" i="13"/>
  <c r="AE100" i="13"/>
  <c r="AD100" i="13"/>
  <c r="AC100" i="13"/>
  <c r="AB100" i="13"/>
  <c r="AA100" i="13"/>
  <c r="Z100" i="13"/>
  <c r="Y100" i="13"/>
  <c r="X100" i="13"/>
  <c r="W100" i="13"/>
  <c r="V100" i="13"/>
  <c r="AV95" i="13"/>
  <c r="AB95" i="13"/>
  <c r="Y95" i="13"/>
  <c r="V95" i="13"/>
  <c r="AV94" i="13"/>
  <c r="AD94" i="13"/>
  <c r="AA94" i="13"/>
  <c r="AV93" i="13"/>
  <c r="AC93" i="13"/>
  <c r="AB93" i="13"/>
  <c r="AA93" i="13"/>
  <c r="Z93" i="13"/>
  <c r="X93" i="13"/>
  <c r="W93" i="13"/>
  <c r="AV92" i="13"/>
  <c r="AB92" i="13"/>
  <c r="Y92" i="13"/>
  <c r="V92" i="13"/>
  <c r="AV91" i="13"/>
  <c r="AD91" i="13"/>
  <c r="AA91" i="13"/>
  <c r="Y91" i="13"/>
  <c r="W91" i="13"/>
  <c r="AV90" i="13"/>
  <c r="AC90" i="13"/>
  <c r="Z90" i="13"/>
  <c r="X90" i="13"/>
  <c r="AV89" i="13"/>
  <c r="AB89" i="13"/>
  <c r="Y89" i="13"/>
  <c r="W89" i="13"/>
  <c r="V89" i="13"/>
  <c r="AV88" i="13"/>
  <c r="AD88" i="13"/>
  <c r="AA88" i="13"/>
  <c r="AV87" i="13"/>
  <c r="AC87" i="13"/>
  <c r="Z87" i="13"/>
  <c r="X87" i="13"/>
  <c r="W87" i="13"/>
  <c r="AV86" i="13"/>
  <c r="AV85" i="13"/>
  <c r="AV84" i="13"/>
  <c r="AV83" i="13"/>
  <c r="AV82" i="13"/>
  <c r="Z82" i="13"/>
  <c r="Y82" i="13"/>
  <c r="X82" i="13"/>
  <c r="W82" i="13"/>
  <c r="V82" i="13"/>
  <c r="AV81" i="13"/>
  <c r="Z81" i="13"/>
  <c r="Y81" i="13"/>
  <c r="X81" i="13"/>
  <c r="W81" i="13"/>
  <c r="V81" i="13"/>
  <c r="AV80" i="13"/>
  <c r="Z80" i="13"/>
  <c r="Y80" i="13"/>
  <c r="X80" i="13"/>
  <c r="W80" i="13"/>
  <c r="V80" i="13"/>
  <c r="AV79" i="13"/>
  <c r="Z79" i="13"/>
  <c r="Y79" i="13"/>
  <c r="X79" i="13"/>
  <c r="W79" i="13"/>
  <c r="V79" i="13"/>
  <c r="AV78" i="13"/>
  <c r="Z78" i="13"/>
  <c r="Y78" i="13"/>
  <c r="X78" i="13"/>
  <c r="W78" i="13"/>
  <c r="V78" i="13"/>
  <c r="AV77" i="13"/>
  <c r="Z77" i="13"/>
  <c r="Y77" i="13"/>
  <c r="X77" i="13"/>
  <c r="W77" i="13"/>
  <c r="V77" i="13"/>
  <c r="AV76" i="13"/>
  <c r="Z76" i="13"/>
  <c r="Y76" i="13"/>
  <c r="X76" i="13"/>
  <c r="W76" i="13"/>
  <c r="V76" i="13"/>
  <c r="AV75" i="13"/>
  <c r="Z75" i="13"/>
  <c r="Y75" i="13"/>
  <c r="X75" i="13"/>
  <c r="W75" i="13"/>
  <c r="V75" i="13"/>
  <c r="AV74" i="13"/>
  <c r="Z74" i="13"/>
  <c r="Y74" i="13"/>
  <c r="X74" i="13"/>
  <c r="W74" i="13"/>
  <c r="V74" i="13"/>
  <c r="AV73" i="13"/>
  <c r="Z73" i="13"/>
  <c r="Y73" i="13"/>
  <c r="X73" i="13"/>
  <c r="W73" i="13"/>
  <c r="V73" i="13"/>
  <c r="AV72" i="13"/>
  <c r="AV71" i="13"/>
  <c r="AV70" i="13"/>
  <c r="AV69" i="13"/>
  <c r="AV68" i="13"/>
  <c r="AA68" i="13"/>
  <c r="Z68" i="13"/>
  <c r="Y68" i="13"/>
  <c r="X68" i="13"/>
  <c r="W68" i="13"/>
  <c r="V68" i="13"/>
  <c r="AV67" i="13"/>
  <c r="AA67" i="13"/>
  <c r="Z67" i="13"/>
  <c r="Y67" i="13"/>
  <c r="X67" i="13"/>
  <c r="W67" i="13"/>
  <c r="V67" i="13"/>
  <c r="AV66" i="13"/>
  <c r="Z66" i="13"/>
  <c r="Y66" i="13"/>
  <c r="X66" i="13"/>
  <c r="W66" i="13"/>
  <c r="V66" i="13"/>
  <c r="AV65" i="13"/>
  <c r="AA65" i="13"/>
  <c r="Z65" i="13"/>
  <c r="Y65" i="13"/>
  <c r="X65" i="13"/>
  <c r="W65" i="13"/>
  <c r="V65" i="13"/>
  <c r="AV64" i="13"/>
  <c r="AA64" i="13"/>
  <c r="Z64" i="13"/>
  <c r="Y64" i="13"/>
  <c r="X64" i="13"/>
  <c r="W64" i="13"/>
  <c r="V64" i="13"/>
  <c r="AV63" i="13"/>
  <c r="AA63" i="13"/>
  <c r="Z63" i="13"/>
  <c r="Y63" i="13"/>
  <c r="X63" i="13"/>
  <c r="W63" i="13"/>
  <c r="V63" i="13"/>
  <c r="AV62" i="13"/>
  <c r="AA62" i="13"/>
  <c r="Z62" i="13"/>
  <c r="Y62" i="13"/>
  <c r="X62" i="13"/>
  <c r="W62" i="13"/>
  <c r="V62" i="13"/>
  <c r="AV61" i="13"/>
  <c r="AA61" i="13"/>
  <c r="Z61" i="13"/>
  <c r="Y61" i="13"/>
  <c r="X61" i="13"/>
  <c r="W61" i="13"/>
  <c r="V61" i="13"/>
  <c r="AV60" i="13"/>
  <c r="AA60" i="13"/>
  <c r="Z60" i="13"/>
  <c r="Y60" i="13"/>
  <c r="X60" i="13"/>
  <c r="W60" i="13"/>
  <c r="V60" i="13"/>
  <c r="AV59" i="13"/>
  <c r="AA59" i="13"/>
  <c r="Z59" i="13"/>
  <c r="Y59" i="13"/>
  <c r="X59" i="13"/>
  <c r="W59" i="13"/>
  <c r="V59" i="13"/>
  <c r="AV58" i="13"/>
  <c r="AQ58" i="13"/>
  <c r="AQ59" i="13" s="1"/>
  <c r="D40" i="13" s="1"/>
  <c r="AA58" i="13"/>
  <c r="Z58" i="13"/>
  <c r="Y58" i="13"/>
  <c r="X58" i="13"/>
  <c r="W58" i="13"/>
  <c r="V58" i="13"/>
  <c r="AV57" i="13"/>
  <c r="AA57" i="13"/>
  <c r="Z57" i="13"/>
  <c r="Y57" i="13"/>
  <c r="X57" i="13"/>
  <c r="W57" i="13"/>
  <c r="V57" i="13"/>
  <c r="B57" i="13"/>
  <c r="AV56" i="13"/>
  <c r="AA56" i="13"/>
  <c r="Z56" i="13"/>
  <c r="Y56" i="13"/>
  <c r="X56" i="13"/>
  <c r="W56" i="13"/>
  <c r="V56" i="13"/>
  <c r="AV55" i="13"/>
  <c r="AV54" i="13"/>
  <c r="AV53" i="13"/>
  <c r="AV52" i="13"/>
  <c r="AV51" i="13"/>
  <c r="AP44" i="13"/>
  <c r="B59" i="13" s="1"/>
  <c r="B44" i="13"/>
  <c r="AQ31" i="13" s="1"/>
  <c r="AP43" i="13"/>
  <c r="B58" i="13" s="1"/>
  <c r="AP42" i="13"/>
  <c r="X42" i="13"/>
  <c r="AP41" i="13"/>
  <c r="B56" i="13" s="1"/>
  <c r="X41" i="13"/>
  <c r="B41" i="13"/>
  <c r="AQ28" i="13" s="1"/>
  <c r="AP40" i="13"/>
  <c r="B55" i="13" s="1"/>
  <c r="X40" i="13"/>
  <c r="B40" i="13"/>
  <c r="X39" i="13"/>
  <c r="X38" i="13"/>
  <c r="X37" i="13"/>
  <c r="AQ36" i="13"/>
  <c r="X36" i="13"/>
  <c r="X35" i="13"/>
  <c r="Q35" i="13"/>
  <c r="P35" i="13"/>
  <c r="E18" i="13" s="1"/>
  <c r="B35" i="13"/>
  <c r="X34" i="13"/>
  <c r="J34" i="13"/>
  <c r="J35" i="13" s="1"/>
  <c r="E36" i="13" s="1"/>
  <c r="X33" i="13"/>
  <c r="X32" i="13"/>
  <c r="AG31" i="13"/>
  <c r="X31" i="13"/>
  <c r="AC30" i="13"/>
  <c r="O99" i="13" s="1"/>
  <c r="X30" i="13"/>
  <c r="X29" i="13"/>
  <c r="B29" i="13"/>
  <c r="AQ27" i="13" s="1"/>
  <c r="X28" i="13"/>
  <c r="B27" i="13"/>
  <c r="P25" i="13"/>
  <c r="I24" i="13" s="1"/>
  <c r="P24" i="13"/>
  <c r="G24" i="13"/>
  <c r="E24" i="13"/>
  <c r="C24" i="13"/>
  <c r="AB23" i="13"/>
  <c r="AA23" i="13"/>
  <c r="Z23" i="13"/>
  <c r="AC23" i="13" s="1"/>
  <c r="Y23" i="13"/>
  <c r="I23" i="13"/>
  <c r="G23" i="13"/>
  <c r="E23" i="13"/>
  <c r="C23" i="13"/>
  <c r="AC22" i="13"/>
  <c r="AB22" i="13"/>
  <c r="AA22" i="13"/>
  <c r="Z22" i="13"/>
  <c r="Y22" i="13"/>
  <c r="I22" i="13"/>
  <c r="G22" i="13"/>
  <c r="E22" i="13"/>
  <c r="C22" i="13"/>
  <c r="I21" i="13"/>
  <c r="G21" i="13"/>
  <c r="E21" i="13"/>
  <c r="C21" i="13"/>
  <c r="AQ20" i="13"/>
  <c r="B49" i="13" s="1"/>
  <c r="AI20" i="13"/>
  <c r="I20" i="13"/>
  <c r="AQ19" i="13"/>
  <c r="AI19" i="13"/>
  <c r="AQ18" i="13"/>
  <c r="B47" i="13" s="1"/>
  <c r="AQ34" i="13" s="1"/>
  <c r="AJ18" i="13"/>
  <c r="AI18" i="13"/>
  <c r="I18" i="13"/>
  <c r="AI17" i="13"/>
  <c r="AI16" i="13"/>
  <c r="AL15" i="13"/>
  <c r="AI15" i="13"/>
  <c r="AJ15" i="13" s="1"/>
  <c r="AK15" i="13" s="1"/>
  <c r="AU26" i="13" s="1"/>
  <c r="AQ14" i="13"/>
  <c r="AI14" i="13"/>
  <c r="I14" i="13"/>
  <c r="AQ13" i="13"/>
  <c r="B45" i="13" s="1"/>
  <c r="AQ32" i="13" s="1"/>
  <c r="AI13" i="13"/>
  <c r="AQ12" i="13"/>
  <c r="AJ12" i="13"/>
  <c r="AI12" i="13"/>
  <c r="AI11" i="13"/>
  <c r="AB11" i="13"/>
  <c r="AA11" i="13"/>
  <c r="AC11" i="13" s="1"/>
  <c r="Z11" i="13"/>
  <c r="Y11" i="13"/>
  <c r="AI10" i="13"/>
  <c r="AC10" i="13"/>
  <c r="AB10" i="13"/>
  <c r="AA10" i="13"/>
  <c r="Z10" i="13"/>
  <c r="Y10" i="13"/>
  <c r="AL9" i="13"/>
  <c r="AI9" i="13"/>
  <c r="AJ9" i="13" s="1"/>
  <c r="AC9" i="13"/>
  <c r="AB9" i="13"/>
  <c r="AA9" i="13"/>
  <c r="Z9" i="13"/>
  <c r="Y9" i="13"/>
  <c r="AQ8" i="13"/>
  <c r="B43" i="13" s="1"/>
  <c r="AQ30" i="13" s="1"/>
  <c r="AC8" i="13"/>
  <c r="AB8" i="13"/>
  <c r="AA8" i="13"/>
  <c r="Z8" i="13"/>
  <c r="Y8" i="13"/>
  <c r="AQ7" i="13"/>
  <c r="B42" i="13" s="1"/>
  <c r="AQ6" i="13"/>
  <c r="AO179" i="12"/>
  <c r="AN179" i="12"/>
  <c r="AM179" i="12"/>
  <c r="AL179" i="12"/>
  <c r="AK179" i="12"/>
  <c r="AJ179" i="12"/>
  <c r="AI179" i="12"/>
  <c r="AH179" i="12"/>
  <c r="AG179" i="12"/>
  <c r="AF179" i="12"/>
  <c r="AE179" i="12"/>
  <c r="AD179" i="12"/>
  <c r="AC179" i="12"/>
  <c r="AB179" i="12"/>
  <c r="AA179" i="12"/>
  <c r="Z179" i="12"/>
  <c r="Y179" i="12"/>
  <c r="X179" i="12"/>
  <c r="W179" i="12"/>
  <c r="V179" i="12"/>
  <c r="AO178" i="12"/>
  <c r="AN178" i="12"/>
  <c r="AM178" i="12"/>
  <c r="AL178" i="12"/>
  <c r="AK178" i="12"/>
  <c r="AJ178" i="12"/>
  <c r="AI178" i="12"/>
  <c r="AH178" i="12"/>
  <c r="AG178" i="12"/>
  <c r="AF178" i="12"/>
  <c r="AE178" i="12"/>
  <c r="AD178" i="12"/>
  <c r="AC178" i="12"/>
  <c r="AB178" i="12"/>
  <c r="AA178" i="12"/>
  <c r="Z178" i="12"/>
  <c r="Y178" i="12"/>
  <c r="X178" i="12"/>
  <c r="W178" i="12"/>
  <c r="V178" i="12"/>
  <c r="AO177" i="12"/>
  <c r="AN177" i="12"/>
  <c r="AM177" i="12"/>
  <c r="AL177" i="12"/>
  <c r="AK177" i="12"/>
  <c r="AJ177" i="12"/>
  <c r="AI177" i="12"/>
  <c r="AH177" i="12"/>
  <c r="AG177" i="12"/>
  <c r="AF177" i="12"/>
  <c r="AE177" i="12"/>
  <c r="AD177" i="12"/>
  <c r="AC177" i="12"/>
  <c r="AB177" i="12"/>
  <c r="AA177" i="12"/>
  <c r="Z177" i="12"/>
  <c r="Y177" i="12"/>
  <c r="X177" i="12"/>
  <c r="W177" i="12"/>
  <c r="V177" i="12"/>
  <c r="AO176" i="12"/>
  <c r="AN176" i="12"/>
  <c r="AM176" i="12"/>
  <c r="AL176" i="12"/>
  <c r="AK176" i="12"/>
  <c r="AJ176" i="12"/>
  <c r="AI176" i="12"/>
  <c r="AH176" i="12"/>
  <c r="AG176" i="12"/>
  <c r="AF176" i="12"/>
  <c r="AE176" i="12"/>
  <c r="AD176" i="12"/>
  <c r="AC176" i="12"/>
  <c r="AB176" i="12"/>
  <c r="AA176" i="12"/>
  <c r="Z176" i="12"/>
  <c r="Y176" i="12"/>
  <c r="X176" i="12"/>
  <c r="W176" i="12"/>
  <c r="V176" i="12"/>
  <c r="AO175" i="12"/>
  <c r="AN175" i="12"/>
  <c r="AM175" i="12"/>
  <c r="AL175" i="12"/>
  <c r="AK175" i="12"/>
  <c r="AJ175" i="12"/>
  <c r="AI175" i="12"/>
  <c r="AH175" i="12"/>
  <c r="AG175" i="12"/>
  <c r="AF175" i="12"/>
  <c r="AE175" i="12"/>
  <c r="AD175" i="12"/>
  <c r="AC175" i="12"/>
  <c r="AB175" i="12"/>
  <c r="AA175" i="12"/>
  <c r="Z175" i="12"/>
  <c r="Y175" i="12"/>
  <c r="X175" i="12"/>
  <c r="W175" i="12"/>
  <c r="V175" i="12"/>
  <c r="AO174" i="12"/>
  <c r="AN174" i="12"/>
  <c r="AM174" i="12"/>
  <c r="AL174" i="12"/>
  <c r="AK174" i="12"/>
  <c r="AJ174" i="12"/>
  <c r="AI174" i="12"/>
  <c r="AH174" i="12"/>
  <c r="AG174" i="12"/>
  <c r="AF174" i="12"/>
  <c r="AE174" i="12"/>
  <c r="AD174" i="12"/>
  <c r="AC174" i="12"/>
  <c r="AB174" i="12"/>
  <c r="AA174" i="12"/>
  <c r="Z174" i="12"/>
  <c r="Y174" i="12"/>
  <c r="X174" i="12"/>
  <c r="W174" i="12"/>
  <c r="V174" i="12"/>
  <c r="AO173" i="12"/>
  <c r="AN173" i="12"/>
  <c r="AM173" i="12"/>
  <c r="AL173" i="12"/>
  <c r="AK173" i="12"/>
  <c r="AJ173" i="12"/>
  <c r="AI173" i="12"/>
  <c r="AH173" i="12"/>
  <c r="AG173" i="12"/>
  <c r="AF173" i="12"/>
  <c r="AE173" i="12"/>
  <c r="AD173" i="12"/>
  <c r="AC173" i="12"/>
  <c r="AB173" i="12"/>
  <c r="AA173" i="12"/>
  <c r="Z173" i="12"/>
  <c r="Y173" i="12"/>
  <c r="X173" i="12"/>
  <c r="W173" i="12"/>
  <c r="V173" i="12"/>
  <c r="AO172" i="12"/>
  <c r="AN172" i="12"/>
  <c r="AM172" i="12"/>
  <c r="AL172" i="12"/>
  <c r="AK172" i="12"/>
  <c r="AJ172" i="12"/>
  <c r="AI172" i="12"/>
  <c r="AH172" i="12"/>
  <c r="AG172" i="12"/>
  <c r="AF172" i="12"/>
  <c r="AE172" i="12"/>
  <c r="AD172" i="12"/>
  <c r="AC172" i="12"/>
  <c r="AB172" i="12"/>
  <c r="AA172" i="12"/>
  <c r="Z172" i="12"/>
  <c r="Y172" i="12"/>
  <c r="X172" i="12"/>
  <c r="W172" i="12"/>
  <c r="V172" i="12"/>
  <c r="AO171" i="12"/>
  <c r="AN171" i="12"/>
  <c r="AM171" i="12"/>
  <c r="AL171" i="12"/>
  <c r="AK171" i="12"/>
  <c r="AJ171" i="12"/>
  <c r="AI171" i="12"/>
  <c r="AH171" i="12"/>
  <c r="AG171" i="12"/>
  <c r="AF171" i="12"/>
  <c r="AE171" i="12"/>
  <c r="AD171" i="12"/>
  <c r="AC171" i="12"/>
  <c r="AB171" i="12"/>
  <c r="AA171" i="12"/>
  <c r="Z171" i="12"/>
  <c r="Y171" i="12"/>
  <c r="X171" i="12"/>
  <c r="W171" i="12"/>
  <c r="V171" i="12"/>
  <c r="AO170" i="12"/>
  <c r="AN170" i="12"/>
  <c r="AM170" i="12"/>
  <c r="AL170" i="12"/>
  <c r="AK170" i="12"/>
  <c r="AJ170" i="12"/>
  <c r="AI170" i="12"/>
  <c r="AH170" i="12"/>
  <c r="AG170" i="12"/>
  <c r="AF170" i="12"/>
  <c r="AE170" i="12"/>
  <c r="AD170" i="12"/>
  <c r="AC170" i="12"/>
  <c r="AB170" i="12"/>
  <c r="AA170" i="12"/>
  <c r="Z170" i="12"/>
  <c r="Y170" i="12"/>
  <c r="X170" i="12"/>
  <c r="W170" i="12"/>
  <c r="V170" i="12"/>
  <c r="AO169" i="12"/>
  <c r="AN169" i="12"/>
  <c r="AM169" i="12"/>
  <c r="AL169" i="12"/>
  <c r="AK169" i="12"/>
  <c r="AJ169" i="12"/>
  <c r="AI169" i="12"/>
  <c r="AH169" i="12"/>
  <c r="AG169" i="12"/>
  <c r="AF169" i="12"/>
  <c r="AE169" i="12"/>
  <c r="AD169" i="12"/>
  <c r="AC169" i="12"/>
  <c r="AB169" i="12"/>
  <c r="AA169" i="12"/>
  <c r="Z169" i="12"/>
  <c r="Y169" i="12"/>
  <c r="X169" i="12"/>
  <c r="W169" i="12"/>
  <c r="V169" i="12"/>
  <c r="AO168" i="12"/>
  <c r="AN168" i="12"/>
  <c r="AM168" i="12"/>
  <c r="AL168" i="12"/>
  <c r="X95" i="12" s="1"/>
  <c r="AK168" i="12"/>
  <c r="AJ168" i="12"/>
  <c r="AI168" i="12"/>
  <c r="AH168" i="12"/>
  <c r="AG168" i="12"/>
  <c r="AF168" i="12"/>
  <c r="AE168" i="12"/>
  <c r="AD168" i="12"/>
  <c r="AD95" i="12" s="1"/>
  <c r="AC168" i="12"/>
  <c r="AB168" i="12"/>
  <c r="AA168" i="12"/>
  <c r="Z168" i="12"/>
  <c r="Z95" i="12" s="1"/>
  <c r="Y168" i="12"/>
  <c r="X168" i="12"/>
  <c r="W168" i="12"/>
  <c r="W95" i="12" s="1"/>
  <c r="V168" i="12"/>
  <c r="V95" i="12" s="1"/>
  <c r="AO167" i="12"/>
  <c r="AN167" i="12"/>
  <c r="AM167" i="12"/>
  <c r="AL167" i="12"/>
  <c r="X94" i="12" s="1"/>
  <c r="AK167" i="12"/>
  <c r="AJ167" i="12"/>
  <c r="AI167" i="12"/>
  <c r="AH167" i="12"/>
  <c r="AG167" i="12"/>
  <c r="AF167" i="12"/>
  <c r="AE167" i="12"/>
  <c r="AD167" i="12"/>
  <c r="AD94" i="12" s="1"/>
  <c r="AC167" i="12"/>
  <c r="AC94" i="12" s="1"/>
  <c r="AB167" i="12"/>
  <c r="AB94" i="12" s="1"/>
  <c r="AA167" i="12"/>
  <c r="Z167" i="12"/>
  <c r="Z94" i="12" s="1"/>
  <c r="Y167" i="12"/>
  <c r="Y94" i="12" s="1"/>
  <c r="X167" i="12"/>
  <c r="W167" i="12"/>
  <c r="W94" i="12" s="1"/>
  <c r="V167" i="12"/>
  <c r="V94" i="12" s="1"/>
  <c r="AO166" i="12"/>
  <c r="AN166" i="12"/>
  <c r="AM166" i="12"/>
  <c r="AL166" i="12"/>
  <c r="X93" i="12" s="1"/>
  <c r="AK166" i="12"/>
  <c r="AJ166" i="12"/>
  <c r="AI166" i="12"/>
  <c r="AH166" i="12"/>
  <c r="AG166" i="12"/>
  <c r="AF166" i="12"/>
  <c r="AE166" i="12"/>
  <c r="AD166" i="12"/>
  <c r="AD93" i="12" s="1"/>
  <c r="AC166" i="12"/>
  <c r="AB166" i="12"/>
  <c r="AB93" i="12" s="1"/>
  <c r="AA166" i="12"/>
  <c r="AA93" i="12" s="1"/>
  <c r="Z166" i="12"/>
  <c r="Z93" i="12" s="1"/>
  <c r="Y166" i="12"/>
  <c r="Y93" i="12" s="1"/>
  <c r="X166" i="12"/>
  <c r="W166" i="12"/>
  <c r="V166" i="12"/>
  <c r="V93" i="12" s="1"/>
  <c r="AO165" i="12"/>
  <c r="AN165" i="12"/>
  <c r="AM165" i="12"/>
  <c r="AL165" i="12"/>
  <c r="X92" i="12" s="1"/>
  <c r="AK165" i="12"/>
  <c r="AJ165" i="12"/>
  <c r="AI165" i="12"/>
  <c r="AH165" i="12"/>
  <c r="AG165" i="12"/>
  <c r="AF165" i="12"/>
  <c r="AE165" i="12"/>
  <c r="AD165" i="12"/>
  <c r="AD92" i="12" s="1"/>
  <c r="AC165" i="12"/>
  <c r="AC92" i="12" s="1"/>
  <c r="AB165" i="12"/>
  <c r="AB92" i="12" s="1"/>
  <c r="AA165" i="12"/>
  <c r="AA92" i="12" s="1"/>
  <c r="Z165" i="12"/>
  <c r="Z92" i="12" s="1"/>
  <c r="Y165" i="12"/>
  <c r="Y92" i="12" s="1"/>
  <c r="X165" i="12"/>
  <c r="W165" i="12"/>
  <c r="W92" i="12" s="1"/>
  <c r="V165" i="12"/>
  <c r="V92" i="12" s="1"/>
  <c r="AO164" i="12"/>
  <c r="AN164" i="12"/>
  <c r="AM164" i="12"/>
  <c r="AL164" i="12"/>
  <c r="X91" i="12" s="1"/>
  <c r="AK164" i="12"/>
  <c r="AJ164" i="12"/>
  <c r="AI164" i="12"/>
  <c r="AH164" i="12"/>
  <c r="AG164" i="12"/>
  <c r="AF164" i="12"/>
  <c r="AE164" i="12"/>
  <c r="AD164" i="12"/>
  <c r="AD91" i="12" s="1"/>
  <c r="AC164" i="12"/>
  <c r="AC91" i="12" s="1"/>
  <c r="AB164" i="12"/>
  <c r="AB91" i="12" s="1"/>
  <c r="AA164" i="12"/>
  <c r="Z164" i="12"/>
  <c r="Z91" i="12" s="1"/>
  <c r="Y164" i="12"/>
  <c r="Y91" i="12" s="1"/>
  <c r="X164" i="12"/>
  <c r="W164" i="12"/>
  <c r="W91" i="12" s="1"/>
  <c r="V164" i="12"/>
  <c r="V91" i="12" s="1"/>
  <c r="AO163" i="12"/>
  <c r="AN163" i="12"/>
  <c r="AM163" i="12"/>
  <c r="AL163" i="12"/>
  <c r="X90" i="12" s="1"/>
  <c r="AK163" i="12"/>
  <c r="AJ163" i="12"/>
  <c r="AI163" i="12"/>
  <c r="AH163" i="12"/>
  <c r="AG163" i="12"/>
  <c r="AF163" i="12"/>
  <c r="AE163" i="12"/>
  <c r="AD163" i="12"/>
  <c r="AD90" i="12" s="1"/>
  <c r="AC163" i="12"/>
  <c r="AC90" i="12" s="1"/>
  <c r="AB163" i="12"/>
  <c r="AA163" i="12"/>
  <c r="AA90" i="12" s="1"/>
  <c r="Z163" i="12"/>
  <c r="Z90" i="12" s="1"/>
  <c r="Y163" i="12"/>
  <c r="Y90" i="12" s="1"/>
  <c r="X163" i="12"/>
  <c r="W163" i="12"/>
  <c r="V163" i="12"/>
  <c r="V90" i="12" s="1"/>
  <c r="AO162" i="12"/>
  <c r="AN162" i="12"/>
  <c r="AM162" i="12"/>
  <c r="AL162" i="12"/>
  <c r="X89" i="12" s="1"/>
  <c r="AK162" i="12"/>
  <c r="AJ162" i="12"/>
  <c r="AI162" i="12"/>
  <c r="AH162" i="12"/>
  <c r="AG162" i="12"/>
  <c r="AF162" i="12"/>
  <c r="AE162" i="12"/>
  <c r="AD162" i="12"/>
  <c r="AD89" i="12" s="1"/>
  <c r="AC162" i="12"/>
  <c r="AC89" i="12" s="1"/>
  <c r="AB162" i="12"/>
  <c r="AB89" i="12" s="1"/>
  <c r="AA162" i="12"/>
  <c r="AA89" i="12" s="1"/>
  <c r="Z162" i="12"/>
  <c r="Z89" i="12" s="1"/>
  <c r="Y162" i="12"/>
  <c r="X162" i="12"/>
  <c r="W162" i="12"/>
  <c r="W89" i="12" s="1"/>
  <c r="V162" i="12"/>
  <c r="V89" i="12" s="1"/>
  <c r="AO161" i="12"/>
  <c r="AN161" i="12"/>
  <c r="AM161" i="12"/>
  <c r="AL161" i="12"/>
  <c r="X88" i="12" s="1"/>
  <c r="AK161" i="12"/>
  <c r="AJ161" i="12"/>
  <c r="AI161" i="12"/>
  <c r="AH161" i="12"/>
  <c r="AG161" i="12"/>
  <c r="AF161" i="12"/>
  <c r="AE161" i="12"/>
  <c r="AD161" i="12"/>
  <c r="AD88" i="12" s="1"/>
  <c r="AC161" i="12"/>
  <c r="AC88" i="12" s="1"/>
  <c r="AB161" i="12"/>
  <c r="AB88" i="12" s="1"/>
  <c r="AA161" i="12"/>
  <c r="Z161" i="12"/>
  <c r="Z88" i="12" s="1"/>
  <c r="Y161" i="12"/>
  <c r="Y88" i="12" s="1"/>
  <c r="X161" i="12"/>
  <c r="W161" i="12"/>
  <c r="W88" i="12" s="1"/>
  <c r="V161" i="12"/>
  <c r="V88" i="12" s="1"/>
  <c r="AO160" i="12"/>
  <c r="AN160" i="12"/>
  <c r="AM160" i="12"/>
  <c r="AL160" i="12"/>
  <c r="X87" i="12" s="1"/>
  <c r="AK160" i="12"/>
  <c r="AJ160" i="12"/>
  <c r="AI160" i="12"/>
  <c r="AH160" i="12"/>
  <c r="AG160" i="12"/>
  <c r="AF160" i="12"/>
  <c r="AE160" i="12"/>
  <c r="AD160" i="12"/>
  <c r="AD87" i="12" s="1"/>
  <c r="AC160" i="12"/>
  <c r="AC87" i="12" s="1"/>
  <c r="AB160" i="12"/>
  <c r="AB87" i="12" s="1"/>
  <c r="AA160" i="12"/>
  <c r="AA87" i="12" s="1"/>
  <c r="Z160" i="12"/>
  <c r="Z87" i="12" s="1"/>
  <c r="Y160" i="12"/>
  <c r="Y87" i="12" s="1"/>
  <c r="X160" i="12"/>
  <c r="W160" i="12"/>
  <c r="V160" i="12"/>
  <c r="V87" i="12" s="1"/>
  <c r="AO159" i="12"/>
  <c r="AN159" i="12"/>
  <c r="AM159" i="12"/>
  <c r="AL159" i="12"/>
  <c r="AK159" i="12"/>
  <c r="AJ159" i="12"/>
  <c r="AI159" i="12"/>
  <c r="AH159" i="12"/>
  <c r="AG159" i="12"/>
  <c r="AF159" i="12"/>
  <c r="AE159" i="12"/>
  <c r="AD159" i="12"/>
  <c r="AC159" i="12"/>
  <c r="AB159" i="12"/>
  <c r="AA159" i="12"/>
  <c r="Z159" i="12"/>
  <c r="Y159" i="12"/>
  <c r="X159" i="12"/>
  <c r="W159" i="12"/>
  <c r="V159" i="12"/>
  <c r="AO158" i="12"/>
  <c r="AN158" i="12"/>
  <c r="AM158" i="12"/>
  <c r="AL158" i="12"/>
  <c r="AK158" i="12"/>
  <c r="AJ158" i="12"/>
  <c r="AI158" i="12"/>
  <c r="AH158" i="12"/>
  <c r="AG158" i="12"/>
  <c r="AF158" i="12"/>
  <c r="AE158" i="12"/>
  <c r="AD158" i="12"/>
  <c r="AC158" i="12"/>
  <c r="AB158" i="12"/>
  <c r="AA158" i="12"/>
  <c r="Z158" i="12"/>
  <c r="Y158" i="12"/>
  <c r="X158" i="12"/>
  <c r="W158" i="12"/>
  <c r="V158" i="12"/>
  <c r="AO157" i="12"/>
  <c r="AN157" i="12"/>
  <c r="AM157" i="12"/>
  <c r="AL157" i="12"/>
  <c r="AK157" i="12"/>
  <c r="AJ157" i="12"/>
  <c r="AI157" i="12"/>
  <c r="AH157" i="12"/>
  <c r="AG157" i="12"/>
  <c r="AF157" i="12"/>
  <c r="AE157" i="12"/>
  <c r="AD157" i="12"/>
  <c r="AC157" i="12"/>
  <c r="AB157" i="12"/>
  <c r="AA157" i="12"/>
  <c r="Z157" i="12"/>
  <c r="Y157" i="12"/>
  <c r="X157" i="12"/>
  <c r="W157" i="12"/>
  <c r="V157" i="12"/>
  <c r="AO156" i="12"/>
  <c r="AN156" i="12"/>
  <c r="AM156" i="12"/>
  <c r="AL156" i="12"/>
  <c r="AK156" i="12"/>
  <c r="AJ156" i="12"/>
  <c r="AI156" i="12"/>
  <c r="AH156" i="12"/>
  <c r="AG156" i="12"/>
  <c r="AF156" i="12"/>
  <c r="AE156" i="12"/>
  <c r="AD156" i="12"/>
  <c r="AC156" i="12"/>
  <c r="AB156" i="12"/>
  <c r="AA156" i="12"/>
  <c r="Z156" i="12"/>
  <c r="Y156" i="12"/>
  <c r="X156" i="12"/>
  <c r="W156" i="12"/>
  <c r="V156" i="12"/>
  <c r="AO155" i="12"/>
  <c r="AN155" i="12"/>
  <c r="AM155" i="12"/>
  <c r="AL155" i="12"/>
  <c r="AK155" i="12"/>
  <c r="AJ155" i="12"/>
  <c r="AI155" i="12"/>
  <c r="AH155" i="12"/>
  <c r="AG155" i="12"/>
  <c r="AF155" i="12"/>
  <c r="AE155" i="12"/>
  <c r="AD155" i="12"/>
  <c r="AC155" i="12"/>
  <c r="AB155" i="12"/>
  <c r="AA155" i="12"/>
  <c r="Z155" i="12"/>
  <c r="Y155" i="12"/>
  <c r="X155" i="12"/>
  <c r="W155" i="12"/>
  <c r="V155" i="12"/>
  <c r="AO154" i="12"/>
  <c r="AN154" i="12"/>
  <c r="AM154" i="12"/>
  <c r="AL154" i="12"/>
  <c r="AK154" i="12"/>
  <c r="AJ154" i="12"/>
  <c r="AI154" i="12"/>
  <c r="AH154" i="12"/>
  <c r="AG154" i="12"/>
  <c r="AF154" i="12"/>
  <c r="AE154" i="12"/>
  <c r="AD154" i="12"/>
  <c r="AC154" i="12"/>
  <c r="AB154" i="12"/>
  <c r="AA154" i="12"/>
  <c r="Z154" i="12"/>
  <c r="Y154" i="12"/>
  <c r="X154" i="12"/>
  <c r="W154" i="12"/>
  <c r="V154" i="12"/>
  <c r="AO153" i="12"/>
  <c r="AN153" i="12"/>
  <c r="AM153" i="12"/>
  <c r="AL153" i="12"/>
  <c r="AK153" i="12"/>
  <c r="AJ153" i="12"/>
  <c r="AI153" i="12"/>
  <c r="AH153" i="12"/>
  <c r="AG153" i="12"/>
  <c r="AF153" i="12"/>
  <c r="AE153" i="12"/>
  <c r="AD153" i="12"/>
  <c r="AC153" i="12"/>
  <c r="AB153" i="12"/>
  <c r="AA153" i="12"/>
  <c r="Z153" i="12"/>
  <c r="Y153" i="12"/>
  <c r="X153" i="12"/>
  <c r="W153" i="12"/>
  <c r="V153" i="12"/>
  <c r="AO152" i="12"/>
  <c r="AN152" i="12"/>
  <c r="AM152" i="12"/>
  <c r="AL152" i="12"/>
  <c r="AK152" i="12"/>
  <c r="AJ152" i="12"/>
  <c r="AI152" i="12"/>
  <c r="AH152" i="12"/>
  <c r="AG152" i="12"/>
  <c r="AF152" i="12"/>
  <c r="AE152" i="12"/>
  <c r="AD152" i="12"/>
  <c r="AC152" i="12"/>
  <c r="AB152" i="12"/>
  <c r="AA152" i="12"/>
  <c r="Z152" i="12"/>
  <c r="Y152" i="12"/>
  <c r="X152" i="12"/>
  <c r="W152" i="12"/>
  <c r="V152" i="12"/>
  <c r="AO151" i="12"/>
  <c r="AN151" i="12"/>
  <c r="AM151" i="12"/>
  <c r="AL151" i="12"/>
  <c r="AK151" i="12"/>
  <c r="AJ151" i="12"/>
  <c r="AI151" i="12"/>
  <c r="AH151" i="12"/>
  <c r="AG151" i="12"/>
  <c r="AF151" i="12"/>
  <c r="AE151" i="12"/>
  <c r="AD151" i="12"/>
  <c r="AC151" i="12"/>
  <c r="AB151" i="12"/>
  <c r="AA151" i="12"/>
  <c r="Z151" i="12"/>
  <c r="Y151" i="12"/>
  <c r="X151" i="12"/>
  <c r="W151" i="12"/>
  <c r="V151" i="12"/>
  <c r="AO150" i="12"/>
  <c r="AN150" i="12"/>
  <c r="AM150" i="12"/>
  <c r="AL150" i="12"/>
  <c r="AK150" i="12"/>
  <c r="AJ150" i="12"/>
  <c r="AI150" i="12"/>
  <c r="AH150" i="12"/>
  <c r="AG150" i="12"/>
  <c r="AF150" i="12"/>
  <c r="AE150" i="12"/>
  <c r="AD150" i="12"/>
  <c r="AC150" i="12"/>
  <c r="AB150" i="12"/>
  <c r="AA150" i="12"/>
  <c r="Z150" i="12"/>
  <c r="Y150" i="12"/>
  <c r="X150" i="12"/>
  <c r="W150" i="12"/>
  <c r="V150" i="12"/>
  <c r="AO149" i="12"/>
  <c r="AN149" i="12"/>
  <c r="AM149" i="12"/>
  <c r="AL149" i="12"/>
  <c r="AK149" i="12"/>
  <c r="AJ149" i="12"/>
  <c r="AI149" i="12"/>
  <c r="AH149" i="12"/>
  <c r="AG149" i="12"/>
  <c r="AF149" i="12"/>
  <c r="AE149" i="12"/>
  <c r="AD149" i="12"/>
  <c r="AC149" i="12"/>
  <c r="AB149" i="12"/>
  <c r="AA149" i="12"/>
  <c r="Z149" i="12"/>
  <c r="Y149" i="12"/>
  <c r="X149" i="12"/>
  <c r="W149" i="12"/>
  <c r="V149" i="12"/>
  <c r="AO148" i="12"/>
  <c r="AN148" i="12"/>
  <c r="AM148" i="12"/>
  <c r="AL148" i="12"/>
  <c r="AK148" i="12"/>
  <c r="AJ148" i="12"/>
  <c r="AI148" i="12"/>
  <c r="AH148" i="12"/>
  <c r="AG148" i="12"/>
  <c r="AF148" i="12"/>
  <c r="AE148" i="12"/>
  <c r="AD148" i="12"/>
  <c r="AC148" i="12"/>
  <c r="AB148" i="12"/>
  <c r="AA148" i="12"/>
  <c r="Z148" i="12"/>
  <c r="Y148" i="12"/>
  <c r="X148" i="12"/>
  <c r="W148" i="12"/>
  <c r="V148" i="12"/>
  <c r="AO147" i="12"/>
  <c r="AN147" i="12"/>
  <c r="AM147" i="12"/>
  <c r="AL147" i="12"/>
  <c r="AK147" i="12"/>
  <c r="AJ147" i="12"/>
  <c r="AI147" i="12"/>
  <c r="AH147" i="12"/>
  <c r="AG147" i="12"/>
  <c r="AF147" i="12"/>
  <c r="AE147" i="12"/>
  <c r="AD147" i="12"/>
  <c r="AC147" i="12"/>
  <c r="AB147" i="12"/>
  <c r="AA147" i="12"/>
  <c r="Z147" i="12"/>
  <c r="Y147" i="12"/>
  <c r="X147" i="12"/>
  <c r="W147" i="12"/>
  <c r="V147" i="12"/>
  <c r="AO146" i="12"/>
  <c r="AN146" i="12"/>
  <c r="AM146" i="12"/>
  <c r="AL146" i="12"/>
  <c r="AK146" i="12"/>
  <c r="AJ146" i="12"/>
  <c r="AI146" i="12"/>
  <c r="AH146" i="12"/>
  <c r="AG146" i="12"/>
  <c r="AF146" i="12"/>
  <c r="AE146" i="12"/>
  <c r="AD146" i="12"/>
  <c r="AC146" i="12"/>
  <c r="AB146" i="12"/>
  <c r="AA146" i="12"/>
  <c r="Z146" i="12"/>
  <c r="Y146" i="12"/>
  <c r="X146" i="12"/>
  <c r="W146" i="12"/>
  <c r="V146" i="12"/>
  <c r="AO145" i="12"/>
  <c r="AN145" i="12"/>
  <c r="AM145" i="12"/>
  <c r="AL145" i="12"/>
  <c r="AK145" i="12"/>
  <c r="AJ145" i="12"/>
  <c r="AI145" i="12"/>
  <c r="AH145" i="12"/>
  <c r="AG145" i="12"/>
  <c r="AF145" i="12"/>
  <c r="AE145" i="12"/>
  <c r="AD145" i="12"/>
  <c r="AC145" i="12"/>
  <c r="AB145" i="12"/>
  <c r="AA145" i="12"/>
  <c r="Z145" i="12"/>
  <c r="Y145" i="12"/>
  <c r="X145" i="12"/>
  <c r="W145" i="12"/>
  <c r="V145" i="12"/>
  <c r="AO144" i="12"/>
  <c r="AN144" i="12"/>
  <c r="AM144" i="12"/>
  <c r="AL144" i="12"/>
  <c r="AK144" i="12"/>
  <c r="AJ144" i="12"/>
  <c r="AI144" i="12"/>
  <c r="AH144" i="12"/>
  <c r="AG144" i="12"/>
  <c r="AF144" i="12"/>
  <c r="AE144" i="12"/>
  <c r="AD144" i="12"/>
  <c r="AC144" i="12"/>
  <c r="AB144" i="12"/>
  <c r="AA144" i="12"/>
  <c r="Z144" i="12"/>
  <c r="Y144" i="12"/>
  <c r="X144" i="12"/>
  <c r="W144" i="12"/>
  <c r="V144" i="12"/>
  <c r="AO143" i="12"/>
  <c r="AN143" i="12"/>
  <c r="AM143" i="12"/>
  <c r="AL143" i="12"/>
  <c r="AK143" i="12"/>
  <c r="AJ143" i="12"/>
  <c r="AI143" i="12"/>
  <c r="AH143" i="12"/>
  <c r="AG143" i="12"/>
  <c r="AF143" i="12"/>
  <c r="AE143" i="12"/>
  <c r="AD143" i="12"/>
  <c r="AC143" i="12"/>
  <c r="AB143" i="12"/>
  <c r="AA143" i="12"/>
  <c r="Z143" i="12"/>
  <c r="Y143" i="12"/>
  <c r="X143" i="12"/>
  <c r="W143" i="12"/>
  <c r="V143" i="12"/>
  <c r="AO142" i="12"/>
  <c r="AN142" i="12"/>
  <c r="AM142" i="12"/>
  <c r="AL142" i="12"/>
  <c r="AK142" i="12"/>
  <c r="AJ142" i="12"/>
  <c r="AI142" i="12"/>
  <c r="AH142" i="12"/>
  <c r="AG142" i="12"/>
  <c r="AF142" i="12"/>
  <c r="AE142" i="12"/>
  <c r="AD142" i="12"/>
  <c r="AC142" i="12"/>
  <c r="AB142" i="12"/>
  <c r="AA142" i="12"/>
  <c r="Z142" i="12"/>
  <c r="Y142" i="12"/>
  <c r="X142" i="12"/>
  <c r="W142" i="12"/>
  <c r="V142" i="12"/>
  <c r="AO141" i="12"/>
  <c r="AN141" i="12"/>
  <c r="AM141" i="12"/>
  <c r="AL141" i="12"/>
  <c r="AK141" i="12"/>
  <c r="AJ141" i="12"/>
  <c r="AI141" i="12"/>
  <c r="AH141" i="12"/>
  <c r="AG141" i="12"/>
  <c r="AF141" i="12"/>
  <c r="AE141" i="12"/>
  <c r="AD141" i="12"/>
  <c r="AC141" i="12"/>
  <c r="AB141" i="12"/>
  <c r="AA141" i="12"/>
  <c r="Z141" i="12"/>
  <c r="Y141" i="12"/>
  <c r="X141" i="12"/>
  <c r="W141" i="12"/>
  <c r="V141" i="12"/>
  <c r="AO140" i="12"/>
  <c r="AN140" i="12"/>
  <c r="AM140" i="12"/>
  <c r="AL140" i="12"/>
  <c r="AK140" i="12"/>
  <c r="AJ140" i="12"/>
  <c r="AI140" i="12"/>
  <c r="AH140" i="12"/>
  <c r="AG140" i="12"/>
  <c r="AF140" i="12"/>
  <c r="AE140" i="12"/>
  <c r="AD140" i="12"/>
  <c r="AC140" i="12"/>
  <c r="AB140" i="12"/>
  <c r="AA140" i="12"/>
  <c r="Z140" i="12"/>
  <c r="Y140" i="12"/>
  <c r="X140" i="12"/>
  <c r="W140" i="12"/>
  <c r="V140" i="12"/>
  <c r="AO139" i="12"/>
  <c r="AN139" i="12"/>
  <c r="AM139" i="12"/>
  <c r="AL139" i="12"/>
  <c r="AK139" i="12"/>
  <c r="AJ139" i="12"/>
  <c r="AI139" i="12"/>
  <c r="AH139" i="12"/>
  <c r="AG139" i="12"/>
  <c r="AF139" i="12"/>
  <c r="AE139" i="12"/>
  <c r="AD139" i="12"/>
  <c r="AC139" i="12"/>
  <c r="AB139" i="12"/>
  <c r="AA139" i="12"/>
  <c r="Z139" i="12"/>
  <c r="Y139" i="12"/>
  <c r="X139" i="12"/>
  <c r="W139" i="12"/>
  <c r="V139" i="12"/>
  <c r="AO138" i="12"/>
  <c r="AN138" i="12"/>
  <c r="AM138" i="12"/>
  <c r="AL138" i="12"/>
  <c r="AK138" i="12"/>
  <c r="AJ138" i="12"/>
  <c r="AI138" i="12"/>
  <c r="AH138" i="12"/>
  <c r="AG138" i="12"/>
  <c r="AF138" i="12"/>
  <c r="AE138" i="12"/>
  <c r="AD138" i="12"/>
  <c r="AC138" i="12"/>
  <c r="AB138" i="12"/>
  <c r="AA138" i="12"/>
  <c r="Z138" i="12"/>
  <c r="Y138" i="12"/>
  <c r="X138" i="12"/>
  <c r="W138" i="12"/>
  <c r="V138" i="12"/>
  <c r="AO137" i="12"/>
  <c r="AN137" i="12"/>
  <c r="AM137" i="12"/>
  <c r="AL137" i="12"/>
  <c r="AK137" i="12"/>
  <c r="AJ137" i="12"/>
  <c r="AI137" i="12"/>
  <c r="AH137" i="12"/>
  <c r="AG137" i="12"/>
  <c r="AF137" i="12"/>
  <c r="AE137" i="12"/>
  <c r="AD137" i="12"/>
  <c r="AC137" i="12"/>
  <c r="AB137" i="12"/>
  <c r="AA137" i="12"/>
  <c r="Z137" i="12"/>
  <c r="Y137" i="12"/>
  <c r="X137" i="12"/>
  <c r="W137" i="12"/>
  <c r="V137" i="12"/>
  <c r="AO136" i="12"/>
  <c r="AN136" i="12"/>
  <c r="AM136" i="12"/>
  <c r="AL136" i="12"/>
  <c r="AK136" i="12"/>
  <c r="AJ136" i="12"/>
  <c r="AI136" i="12"/>
  <c r="AH136" i="12"/>
  <c r="AG136" i="12"/>
  <c r="AF136" i="12"/>
  <c r="AE136" i="12"/>
  <c r="AD136" i="12"/>
  <c r="AC136" i="12"/>
  <c r="AB136" i="12"/>
  <c r="AA136" i="12"/>
  <c r="Z136" i="12"/>
  <c r="Y136" i="12"/>
  <c r="X136" i="12"/>
  <c r="W136" i="12"/>
  <c r="V136" i="12"/>
  <c r="AO135" i="12"/>
  <c r="AN135" i="12"/>
  <c r="AM135" i="12"/>
  <c r="AL135" i="12"/>
  <c r="AK135" i="12"/>
  <c r="AJ135" i="12"/>
  <c r="AI135" i="12"/>
  <c r="AH135" i="12"/>
  <c r="AG135" i="12"/>
  <c r="AF135" i="12"/>
  <c r="AE135" i="12"/>
  <c r="AD135" i="12"/>
  <c r="AC135" i="12"/>
  <c r="AB135" i="12"/>
  <c r="AA135" i="12"/>
  <c r="Z135" i="12"/>
  <c r="Y135" i="12"/>
  <c r="X135" i="12"/>
  <c r="W135" i="12"/>
  <c r="V135" i="12"/>
  <c r="AO134" i="12"/>
  <c r="AN134" i="12"/>
  <c r="AM134" i="12"/>
  <c r="AL134" i="12"/>
  <c r="AK134" i="12"/>
  <c r="AJ134" i="12"/>
  <c r="AI134" i="12"/>
  <c r="AH134" i="12"/>
  <c r="AG134" i="12"/>
  <c r="AF134" i="12"/>
  <c r="AE134" i="12"/>
  <c r="AD134" i="12"/>
  <c r="AC134" i="12"/>
  <c r="AB134" i="12"/>
  <c r="AA134" i="12"/>
  <c r="Z134" i="12"/>
  <c r="Y134" i="12"/>
  <c r="X134" i="12"/>
  <c r="W134" i="12"/>
  <c r="V134" i="12"/>
  <c r="AO133" i="12"/>
  <c r="AN133" i="12"/>
  <c r="AM133" i="12"/>
  <c r="AL133" i="12"/>
  <c r="AK133" i="12"/>
  <c r="AJ133" i="12"/>
  <c r="AI133" i="12"/>
  <c r="AH133" i="12"/>
  <c r="AG133" i="12"/>
  <c r="AF133" i="12"/>
  <c r="AE133" i="12"/>
  <c r="AD133" i="12"/>
  <c r="AC133" i="12"/>
  <c r="AB133" i="12"/>
  <c r="AA133" i="12"/>
  <c r="Z133" i="12"/>
  <c r="Y133" i="12"/>
  <c r="X133" i="12"/>
  <c r="W133" i="12"/>
  <c r="V133" i="12"/>
  <c r="AO132" i="12"/>
  <c r="AN132" i="12"/>
  <c r="AM132" i="12"/>
  <c r="AL132" i="12"/>
  <c r="AK132" i="12"/>
  <c r="AJ132" i="12"/>
  <c r="AI132" i="12"/>
  <c r="AH132" i="12"/>
  <c r="AG132" i="12"/>
  <c r="AF132" i="12"/>
  <c r="AE132" i="12"/>
  <c r="AD132" i="12"/>
  <c r="AC132" i="12"/>
  <c r="AB132" i="12"/>
  <c r="AA132" i="12"/>
  <c r="Z132" i="12"/>
  <c r="Y132" i="12"/>
  <c r="X132" i="12"/>
  <c r="W132" i="12"/>
  <c r="V132" i="12"/>
  <c r="AO131" i="12"/>
  <c r="AN131" i="12"/>
  <c r="AM131" i="12"/>
  <c r="AL131" i="12"/>
  <c r="AK131" i="12"/>
  <c r="AJ131" i="12"/>
  <c r="AI131" i="12"/>
  <c r="AH131" i="12"/>
  <c r="AG131" i="12"/>
  <c r="AF131" i="12"/>
  <c r="AE131" i="12"/>
  <c r="AD131" i="12"/>
  <c r="AC131" i="12"/>
  <c r="AB131" i="12"/>
  <c r="AA131" i="12"/>
  <c r="Z131" i="12"/>
  <c r="Y131" i="12"/>
  <c r="X131" i="12"/>
  <c r="W131" i="12"/>
  <c r="V131" i="12"/>
  <c r="AO130" i="12"/>
  <c r="AN130" i="12"/>
  <c r="AM130" i="12"/>
  <c r="AL130" i="12"/>
  <c r="AK130" i="12"/>
  <c r="AJ130" i="12"/>
  <c r="AI130" i="12"/>
  <c r="AH130" i="12"/>
  <c r="AG130" i="12"/>
  <c r="AF130" i="12"/>
  <c r="AE130" i="12"/>
  <c r="AD130" i="12"/>
  <c r="AC130" i="12"/>
  <c r="AB130" i="12"/>
  <c r="AA130" i="12"/>
  <c r="Z130" i="12"/>
  <c r="Y130" i="12"/>
  <c r="X130" i="12"/>
  <c r="W130" i="12"/>
  <c r="V130" i="12"/>
  <c r="AO129" i="12"/>
  <c r="AN129" i="12"/>
  <c r="AM129" i="12"/>
  <c r="AL129" i="12"/>
  <c r="AK129" i="12"/>
  <c r="AJ129" i="12"/>
  <c r="AI129" i="12"/>
  <c r="AH129" i="12"/>
  <c r="AG129" i="12"/>
  <c r="AF129" i="12"/>
  <c r="AE129" i="12"/>
  <c r="AD129" i="12"/>
  <c r="AC129" i="12"/>
  <c r="AB129" i="12"/>
  <c r="AA129" i="12"/>
  <c r="Z129" i="12"/>
  <c r="Y129" i="12"/>
  <c r="X129" i="12"/>
  <c r="W129" i="12"/>
  <c r="V129" i="12"/>
  <c r="AO128" i="12"/>
  <c r="AN128" i="12"/>
  <c r="AM128" i="12"/>
  <c r="AL128" i="12"/>
  <c r="AK128" i="12"/>
  <c r="AJ128" i="12"/>
  <c r="AI128" i="12"/>
  <c r="AH128" i="12"/>
  <c r="AG128" i="12"/>
  <c r="AF128" i="12"/>
  <c r="AE128" i="12"/>
  <c r="AD128" i="12"/>
  <c r="AC128" i="12"/>
  <c r="AB128" i="12"/>
  <c r="AA128" i="12"/>
  <c r="Z128" i="12"/>
  <c r="Y128" i="12"/>
  <c r="X128" i="12"/>
  <c r="W128" i="12"/>
  <c r="V128" i="12"/>
  <c r="AO127" i="12"/>
  <c r="AN127" i="12"/>
  <c r="AM127" i="12"/>
  <c r="AL127" i="12"/>
  <c r="AK127" i="12"/>
  <c r="AJ127" i="12"/>
  <c r="AI127" i="12"/>
  <c r="AH127" i="12"/>
  <c r="AG127" i="12"/>
  <c r="AF127" i="12"/>
  <c r="AE127" i="12"/>
  <c r="AD127" i="12"/>
  <c r="AC127" i="12"/>
  <c r="AB127" i="12"/>
  <c r="AA127" i="12"/>
  <c r="Z127" i="12"/>
  <c r="Y127" i="12"/>
  <c r="X127" i="12"/>
  <c r="W127" i="12"/>
  <c r="V127" i="12"/>
  <c r="AO126" i="12"/>
  <c r="AN126" i="12"/>
  <c r="AM126" i="12"/>
  <c r="AL126" i="12"/>
  <c r="AK126" i="12"/>
  <c r="AJ126" i="12"/>
  <c r="AI126" i="12"/>
  <c r="AH126" i="12"/>
  <c r="AG126" i="12"/>
  <c r="AF126" i="12"/>
  <c r="AE126" i="12"/>
  <c r="AD126" i="12"/>
  <c r="AC126" i="12"/>
  <c r="AB126" i="12"/>
  <c r="AA126" i="12"/>
  <c r="Z126" i="12"/>
  <c r="Y126" i="12"/>
  <c r="X126" i="12"/>
  <c r="W126" i="12"/>
  <c r="V126" i="12"/>
  <c r="AO125" i="12"/>
  <c r="AN125" i="12"/>
  <c r="AM125" i="12"/>
  <c r="AL125" i="12"/>
  <c r="AK125" i="12"/>
  <c r="AJ125" i="12"/>
  <c r="AI125" i="12"/>
  <c r="AH125" i="12"/>
  <c r="AG125" i="12"/>
  <c r="AF125" i="12"/>
  <c r="AE125" i="12"/>
  <c r="AD125" i="12"/>
  <c r="AC125" i="12"/>
  <c r="AB125" i="12"/>
  <c r="AA125" i="12"/>
  <c r="Z125" i="12"/>
  <c r="Y125" i="12"/>
  <c r="X125" i="12"/>
  <c r="W125" i="12"/>
  <c r="V125" i="12"/>
  <c r="AO124" i="12"/>
  <c r="AN124" i="12"/>
  <c r="AM124" i="12"/>
  <c r="AL124" i="12"/>
  <c r="AK124" i="12"/>
  <c r="AJ124" i="12"/>
  <c r="AI124" i="12"/>
  <c r="AH124" i="12"/>
  <c r="AG124" i="12"/>
  <c r="AF124" i="12"/>
  <c r="AE124" i="12"/>
  <c r="AD124" i="12"/>
  <c r="AC124" i="12"/>
  <c r="AB124" i="12"/>
  <c r="AA124" i="12"/>
  <c r="Z124" i="12"/>
  <c r="Y124" i="12"/>
  <c r="X124" i="12"/>
  <c r="W124" i="12"/>
  <c r="V124" i="12"/>
  <c r="AO123" i="12"/>
  <c r="AN123" i="12"/>
  <c r="AM123" i="12"/>
  <c r="AL123" i="12"/>
  <c r="AK123" i="12"/>
  <c r="AJ123" i="12"/>
  <c r="AI123" i="12"/>
  <c r="AH123" i="12"/>
  <c r="AG123" i="12"/>
  <c r="AF123" i="12"/>
  <c r="AE123" i="12"/>
  <c r="AD123" i="12"/>
  <c r="AC123" i="12"/>
  <c r="AB123" i="12"/>
  <c r="AA123" i="12"/>
  <c r="Z123" i="12"/>
  <c r="Y123" i="12"/>
  <c r="X123" i="12"/>
  <c r="W123" i="12"/>
  <c r="V123" i="12"/>
  <c r="AO122" i="12"/>
  <c r="AN122" i="12"/>
  <c r="AM122" i="12"/>
  <c r="AL122" i="12"/>
  <c r="AK122" i="12"/>
  <c r="AJ122" i="12"/>
  <c r="AI122" i="12"/>
  <c r="AH122" i="12"/>
  <c r="AG122" i="12"/>
  <c r="AF122" i="12"/>
  <c r="AE122" i="12"/>
  <c r="AD122" i="12"/>
  <c r="AC122" i="12"/>
  <c r="AB122" i="12"/>
  <c r="AA122" i="12"/>
  <c r="Z122" i="12"/>
  <c r="Y122" i="12"/>
  <c r="X122" i="12"/>
  <c r="W122" i="12"/>
  <c r="V122" i="12"/>
  <c r="AO121" i="12"/>
  <c r="AN121" i="12"/>
  <c r="AM121" i="12"/>
  <c r="AL121" i="12"/>
  <c r="AK121" i="12"/>
  <c r="AJ121" i="12"/>
  <c r="AI121" i="12"/>
  <c r="AH121" i="12"/>
  <c r="AG121" i="12"/>
  <c r="AF121" i="12"/>
  <c r="AE121" i="12"/>
  <c r="AD121" i="12"/>
  <c r="AC121" i="12"/>
  <c r="AB121" i="12"/>
  <c r="AA121" i="12"/>
  <c r="Z121" i="12"/>
  <c r="Y121" i="12"/>
  <c r="X121" i="12"/>
  <c r="W121" i="12"/>
  <c r="V121" i="12"/>
  <c r="AO120" i="12"/>
  <c r="AN120" i="12"/>
  <c r="AM120" i="12"/>
  <c r="AL120" i="12"/>
  <c r="AK120" i="12"/>
  <c r="AJ120" i="12"/>
  <c r="AI120" i="12"/>
  <c r="AH120" i="12"/>
  <c r="AG120" i="12"/>
  <c r="AF120" i="12"/>
  <c r="AE120" i="12"/>
  <c r="AD120" i="12"/>
  <c r="AC120" i="12"/>
  <c r="AB120" i="12"/>
  <c r="AA120" i="12"/>
  <c r="Z120" i="12"/>
  <c r="Y120" i="12"/>
  <c r="X120" i="12"/>
  <c r="W120" i="12"/>
  <c r="V120" i="12"/>
  <c r="AO119" i="12"/>
  <c r="AN119" i="12"/>
  <c r="AM119" i="12"/>
  <c r="AL119" i="12"/>
  <c r="AK119" i="12"/>
  <c r="AJ119" i="12"/>
  <c r="AI119" i="12"/>
  <c r="AH119" i="12"/>
  <c r="AG119" i="12"/>
  <c r="AF119" i="12"/>
  <c r="AE119" i="12"/>
  <c r="AD119" i="12"/>
  <c r="AC119" i="12"/>
  <c r="AB119" i="12"/>
  <c r="AA119" i="12"/>
  <c r="Z119" i="12"/>
  <c r="Y119" i="12"/>
  <c r="X119" i="12"/>
  <c r="W119" i="12"/>
  <c r="V119" i="12"/>
  <c r="AO118" i="12"/>
  <c r="AN118" i="12"/>
  <c r="AM118" i="12"/>
  <c r="AL118" i="12"/>
  <c r="AK118" i="12"/>
  <c r="AJ118" i="12"/>
  <c r="AI118" i="12"/>
  <c r="AH118" i="12"/>
  <c r="AG118" i="12"/>
  <c r="AF118" i="12"/>
  <c r="AE118" i="12"/>
  <c r="AD118" i="12"/>
  <c r="AC118" i="12"/>
  <c r="AB118" i="12"/>
  <c r="AA118" i="12"/>
  <c r="Z118" i="12"/>
  <c r="Y118" i="12"/>
  <c r="X118" i="12"/>
  <c r="W118" i="12"/>
  <c r="V118" i="12"/>
  <c r="AO117" i="12"/>
  <c r="AN117" i="12"/>
  <c r="AM117" i="12"/>
  <c r="AL117" i="12"/>
  <c r="AK117" i="12"/>
  <c r="AJ117" i="12"/>
  <c r="AI117" i="12"/>
  <c r="AH117" i="12"/>
  <c r="AG117" i="12"/>
  <c r="AF117" i="12"/>
  <c r="AE117" i="12"/>
  <c r="AD117" i="12"/>
  <c r="AC117" i="12"/>
  <c r="AB117" i="12"/>
  <c r="AA117" i="12"/>
  <c r="Z117" i="12"/>
  <c r="Y117" i="12"/>
  <c r="X117" i="12"/>
  <c r="W117" i="12"/>
  <c r="V117" i="12"/>
  <c r="AO116" i="12"/>
  <c r="AN116" i="12"/>
  <c r="AM116" i="12"/>
  <c r="AL116" i="12"/>
  <c r="AK116" i="12"/>
  <c r="AJ116" i="12"/>
  <c r="AI116" i="12"/>
  <c r="AH116" i="12"/>
  <c r="AG116" i="12"/>
  <c r="AF116" i="12"/>
  <c r="AE116" i="12"/>
  <c r="AD116" i="12"/>
  <c r="AC116" i="12"/>
  <c r="AB116" i="12"/>
  <c r="AA116" i="12"/>
  <c r="Z116" i="12"/>
  <c r="Y116" i="12"/>
  <c r="X116" i="12"/>
  <c r="W116" i="12"/>
  <c r="V116" i="12"/>
  <c r="AO115" i="12"/>
  <c r="AN115" i="12"/>
  <c r="AM115" i="12"/>
  <c r="AL115" i="12"/>
  <c r="AK115" i="12"/>
  <c r="AJ115" i="12"/>
  <c r="AI115" i="12"/>
  <c r="AH115" i="12"/>
  <c r="AG115" i="12"/>
  <c r="AF115" i="12"/>
  <c r="AE115" i="12"/>
  <c r="AD115" i="12"/>
  <c r="AC115" i="12"/>
  <c r="AB115" i="12"/>
  <c r="AA115" i="12"/>
  <c r="Z115" i="12"/>
  <c r="Y115" i="12"/>
  <c r="X115" i="12"/>
  <c r="W115" i="12"/>
  <c r="V115" i="12"/>
  <c r="AO114" i="12"/>
  <c r="AN114" i="12"/>
  <c r="AM114" i="12"/>
  <c r="AL114" i="12"/>
  <c r="AK114" i="12"/>
  <c r="AJ114" i="12"/>
  <c r="AI114" i="12"/>
  <c r="AH114" i="12"/>
  <c r="AG114" i="12"/>
  <c r="AF114" i="12"/>
  <c r="AE114" i="12"/>
  <c r="AD114" i="12"/>
  <c r="AC114" i="12"/>
  <c r="AB114" i="12"/>
  <c r="AA114" i="12"/>
  <c r="Z114" i="12"/>
  <c r="Y114" i="12"/>
  <c r="X114" i="12"/>
  <c r="W114" i="12"/>
  <c r="V114" i="12"/>
  <c r="AO113" i="12"/>
  <c r="AN113" i="12"/>
  <c r="AM113" i="12"/>
  <c r="AL113" i="12"/>
  <c r="AK113" i="12"/>
  <c r="AJ113" i="12"/>
  <c r="AI113" i="12"/>
  <c r="AH113" i="12"/>
  <c r="AG113" i="12"/>
  <c r="AF113" i="12"/>
  <c r="AE113" i="12"/>
  <c r="AD113" i="12"/>
  <c r="AC113" i="12"/>
  <c r="AB113" i="12"/>
  <c r="AA113" i="12"/>
  <c r="Z113" i="12"/>
  <c r="Y113" i="12"/>
  <c r="X113" i="12"/>
  <c r="W113" i="12"/>
  <c r="V113" i="12"/>
  <c r="AO112" i="12"/>
  <c r="AN112" i="12"/>
  <c r="AM112" i="12"/>
  <c r="AL112" i="12"/>
  <c r="AK112" i="12"/>
  <c r="AJ112" i="12"/>
  <c r="AI112" i="12"/>
  <c r="AH112" i="12"/>
  <c r="AG112" i="12"/>
  <c r="AF112" i="12"/>
  <c r="AE112" i="12"/>
  <c r="AD112" i="12"/>
  <c r="AC112" i="12"/>
  <c r="AB112" i="12"/>
  <c r="AA112" i="12"/>
  <c r="Z112" i="12"/>
  <c r="Y112" i="12"/>
  <c r="X112" i="12"/>
  <c r="W112" i="12"/>
  <c r="V112" i="12"/>
  <c r="AO111" i="12"/>
  <c r="AN111" i="12"/>
  <c r="AM111" i="12"/>
  <c r="AL111" i="12"/>
  <c r="AK111" i="12"/>
  <c r="AJ111" i="12"/>
  <c r="AI111" i="12"/>
  <c r="AH111" i="12"/>
  <c r="AG111" i="12"/>
  <c r="AF111" i="12"/>
  <c r="AE111" i="12"/>
  <c r="AD111" i="12"/>
  <c r="AC111" i="12"/>
  <c r="AB111" i="12"/>
  <c r="AA111" i="12"/>
  <c r="Z111" i="12"/>
  <c r="Y111" i="12"/>
  <c r="X111" i="12"/>
  <c r="W111" i="12"/>
  <c r="V111" i="12"/>
  <c r="AO110" i="12"/>
  <c r="AN110" i="12"/>
  <c r="AM110" i="12"/>
  <c r="AL110" i="12"/>
  <c r="AK110" i="12"/>
  <c r="AJ110" i="12"/>
  <c r="AI110" i="12"/>
  <c r="AH110" i="12"/>
  <c r="AG110" i="12"/>
  <c r="AF110" i="12"/>
  <c r="AE110" i="12"/>
  <c r="AD110" i="12"/>
  <c r="AC110" i="12"/>
  <c r="AB110" i="12"/>
  <c r="AA110" i="12"/>
  <c r="Z110" i="12"/>
  <c r="Y110" i="12"/>
  <c r="X110" i="12"/>
  <c r="W110" i="12"/>
  <c r="V110" i="12"/>
  <c r="AO109" i="12"/>
  <c r="AN109" i="12"/>
  <c r="AM109" i="12"/>
  <c r="AL109" i="12"/>
  <c r="AK109" i="12"/>
  <c r="AJ109" i="12"/>
  <c r="AI109" i="12"/>
  <c r="AH109" i="12"/>
  <c r="AG109" i="12"/>
  <c r="AF109" i="12"/>
  <c r="AE109" i="12"/>
  <c r="AD109" i="12"/>
  <c r="AC109" i="12"/>
  <c r="AB109" i="12"/>
  <c r="AA109" i="12"/>
  <c r="Z109" i="12"/>
  <c r="Y109" i="12"/>
  <c r="X109" i="12"/>
  <c r="W109" i="12"/>
  <c r="V109" i="12"/>
  <c r="AO108" i="12"/>
  <c r="AN108" i="12"/>
  <c r="AM108" i="12"/>
  <c r="AL108" i="12"/>
  <c r="AK108" i="12"/>
  <c r="AJ108" i="12"/>
  <c r="AI108" i="12"/>
  <c r="AH108" i="12"/>
  <c r="AG108" i="12"/>
  <c r="AF108" i="12"/>
  <c r="AE108" i="12"/>
  <c r="AD108" i="12"/>
  <c r="AC108" i="12"/>
  <c r="AB108" i="12"/>
  <c r="AA108" i="12"/>
  <c r="Z108" i="12"/>
  <c r="Y108" i="12"/>
  <c r="X108" i="12"/>
  <c r="W108" i="12"/>
  <c r="V108" i="12"/>
  <c r="AO107" i="12"/>
  <c r="AN107" i="12"/>
  <c r="AM107" i="12"/>
  <c r="AL107" i="12"/>
  <c r="AK107" i="12"/>
  <c r="AJ107" i="12"/>
  <c r="AI107" i="12"/>
  <c r="AH107" i="12"/>
  <c r="AG107" i="12"/>
  <c r="AF107" i="12"/>
  <c r="AE107" i="12"/>
  <c r="AD107" i="12"/>
  <c r="AC107" i="12"/>
  <c r="AB107" i="12"/>
  <c r="AA107" i="12"/>
  <c r="Z107" i="12"/>
  <c r="Y107" i="12"/>
  <c r="X107" i="12"/>
  <c r="W107" i="12"/>
  <c r="V107" i="12"/>
  <c r="AO106" i="12"/>
  <c r="AN106" i="12"/>
  <c r="AM106" i="12"/>
  <c r="AL106" i="12"/>
  <c r="AK106" i="12"/>
  <c r="AJ106" i="12"/>
  <c r="AI106" i="12"/>
  <c r="AH106" i="12"/>
  <c r="AG106" i="12"/>
  <c r="AF106" i="12"/>
  <c r="AE106" i="12"/>
  <c r="AD106" i="12"/>
  <c r="AC106" i="12"/>
  <c r="AB106" i="12"/>
  <c r="AA106" i="12"/>
  <c r="Z106" i="12"/>
  <c r="Y106" i="12"/>
  <c r="X106" i="12"/>
  <c r="W106" i="12"/>
  <c r="V106" i="12"/>
  <c r="AO105" i="12"/>
  <c r="AN105" i="12"/>
  <c r="AM105" i="12"/>
  <c r="AL105" i="12"/>
  <c r="AK105" i="12"/>
  <c r="AJ105" i="12"/>
  <c r="AI105" i="12"/>
  <c r="AH105" i="12"/>
  <c r="AG105" i="12"/>
  <c r="AF105" i="12"/>
  <c r="AE105" i="12"/>
  <c r="AD105" i="12"/>
  <c r="AC105" i="12"/>
  <c r="AB105" i="12"/>
  <c r="AA105" i="12"/>
  <c r="Z105" i="12"/>
  <c r="Y105" i="12"/>
  <c r="X105" i="12"/>
  <c r="W105" i="12"/>
  <c r="V105" i="12"/>
  <c r="AO104" i="12"/>
  <c r="AN104" i="12"/>
  <c r="AM104" i="12"/>
  <c r="AL104" i="12"/>
  <c r="AK104" i="12"/>
  <c r="AJ104" i="12"/>
  <c r="AI104" i="12"/>
  <c r="AH104" i="12"/>
  <c r="AG104" i="12"/>
  <c r="AF104" i="12"/>
  <c r="AE104" i="12"/>
  <c r="AD104" i="12"/>
  <c r="AC104" i="12"/>
  <c r="AB104" i="12"/>
  <c r="AA104" i="12"/>
  <c r="Z104" i="12"/>
  <c r="Y104" i="12"/>
  <c r="X104" i="12"/>
  <c r="W104" i="12"/>
  <c r="V104" i="12"/>
  <c r="AO103" i="12"/>
  <c r="AN103" i="12"/>
  <c r="AM103" i="12"/>
  <c r="AL103" i="12"/>
  <c r="AK103" i="12"/>
  <c r="AJ103" i="12"/>
  <c r="AI103" i="12"/>
  <c r="AH103" i="12"/>
  <c r="AG103" i="12"/>
  <c r="AF103" i="12"/>
  <c r="AE103" i="12"/>
  <c r="AD103" i="12"/>
  <c r="AC103" i="12"/>
  <c r="AB103" i="12"/>
  <c r="AA103" i="12"/>
  <c r="Z103" i="12"/>
  <c r="Y103" i="12"/>
  <c r="X103" i="12"/>
  <c r="W103" i="12"/>
  <c r="V103" i="12"/>
  <c r="AO102" i="12"/>
  <c r="AN102" i="12"/>
  <c r="AM102" i="12"/>
  <c r="AL102" i="12"/>
  <c r="AK102" i="12"/>
  <c r="AJ102" i="12"/>
  <c r="AI102" i="12"/>
  <c r="AH102" i="12"/>
  <c r="AG102" i="12"/>
  <c r="AF102" i="12"/>
  <c r="AE102" i="12"/>
  <c r="AD102" i="12"/>
  <c r="AC102" i="12"/>
  <c r="AB102" i="12"/>
  <c r="AA102" i="12"/>
  <c r="Z102" i="12"/>
  <c r="Y102" i="12"/>
  <c r="X102" i="12"/>
  <c r="W102" i="12"/>
  <c r="V102" i="12"/>
  <c r="AO101" i="12"/>
  <c r="AN101" i="12"/>
  <c r="AM101" i="12"/>
  <c r="AL101" i="12"/>
  <c r="AK101" i="12"/>
  <c r="AJ101" i="12"/>
  <c r="AI101" i="12"/>
  <c r="AH101" i="12"/>
  <c r="AG101" i="12"/>
  <c r="AF101" i="12"/>
  <c r="AE101" i="12"/>
  <c r="AD101" i="12"/>
  <c r="AC101" i="12"/>
  <c r="AB101" i="12"/>
  <c r="AA101" i="12"/>
  <c r="Z101" i="12"/>
  <c r="Y101" i="12"/>
  <c r="X101" i="12"/>
  <c r="W101" i="12"/>
  <c r="V101" i="12"/>
  <c r="AO100" i="12"/>
  <c r="AN100" i="12"/>
  <c r="AM100" i="12"/>
  <c r="AL100" i="12"/>
  <c r="AK100" i="12"/>
  <c r="AJ100" i="12"/>
  <c r="AI100" i="12"/>
  <c r="AH100" i="12"/>
  <c r="AG100" i="12"/>
  <c r="AF100" i="12"/>
  <c r="AE100" i="12"/>
  <c r="AD100" i="12"/>
  <c r="AC100" i="12"/>
  <c r="AB100" i="12"/>
  <c r="AA100" i="12"/>
  <c r="Z100" i="12"/>
  <c r="Y100" i="12"/>
  <c r="X100" i="12"/>
  <c r="W100" i="12"/>
  <c r="V100" i="12"/>
  <c r="AC95" i="12"/>
  <c r="AB95" i="12"/>
  <c r="AA95" i="12"/>
  <c r="Y95" i="12"/>
  <c r="AA94" i="12"/>
  <c r="AC93" i="12"/>
  <c r="W93" i="12"/>
  <c r="AA91" i="12"/>
  <c r="AB90" i="12"/>
  <c r="AE90" i="12" s="1"/>
  <c r="W90" i="12"/>
  <c r="Y89" i="12"/>
  <c r="AA88" i="12"/>
  <c r="W87" i="12"/>
  <c r="Z82" i="12"/>
  <c r="Y82" i="12"/>
  <c r="X82" i="12"/>
  <c r="W82" i="12"/>
  <c r="V82" i="12"/>
  <c r="Z81" i="12"/>
  <c r="Y81" i="12"/>
  <c r="X81" i="12"/>
  <c r="W81" i="12"/>
  <c r="V81" i="12"/>
  <c r="Z80" i="12"/>
  <c r="Y80" i="12"/>
  <c r="X80" i="12"/>
  <c r="W80" i="12"/>
  <c r="V80" i="12"/>
  <c r="Z79" i="12"/>
  <c r="Y79" i="12"/>
  <c r="X79" i="12"/>
  <c r="W79" i="12"/>
  <c r="V79" i="12"/>
  <c r="Z78" i="12"/>
  <c r="Y78" i="12"/>
  <c r="X78" i="12"/>
  <c r="W78" i="12"/>
  <c r="V78" i="12"/>
  <c r="Z77" i="12"/>
  <c r="Y77" i="12"/>
  <c r="X77" i="12"/>
  <c r="W77" i="12"/>
  <c r="V77" i="12"/>
  <c r="Z76" i="12"/>
  <c r="Y76" i="12"/>
  <c r="X76" i="12"/>
  <c r="W76" i="12"/>
  <c r="V76" i="12"/>
  <c r="Z75" i="12"/>
  <c r="Y75" i="12"/>
  <c r="X75" i="12"/>
  <c r="W75" i="12"/>
  <c r="V75" i="12"/>
  <c r="Z74" i="12"/>
  <c r="Y74" i="12"/>
  <c r="X74" i="12"/>
  <c r="W74" i="12"/>
  <c r="V74" i="12"/>
  <c r="Z73" i="12"/>
  <c r="Y73" i="12"/>
  <c r="X73" i="12"/>
  <c r="W73" i="12"/>
  <c r="V73" i="12"/>
  <c r="AA68" i="12"/>
  <c r="Z68" i="12"/>
  <c r="Y68" i="12"/>
  <c r="X68" i="12"/>
  <c r="W68" i="12"/>
  <c r="V68" i="12"/>
  <c r="AA67" i="12"/>
  <c r="Z67" i="12"/>
  <c r="Y67" i="12"/>
  <c r="X67" i="12"/>
  <c r="W67" i="12"/>
  <c r="V67" i="12"/>
  <c r="Z66" i="12"/>
  <c r="Y66" i="12"/>
  <c r="X66" i="12"/>
  <c r="W66" i="12"/>
  <c r="V66" i="12"/>
  <c r="AA65" i="12"/>
  <c r="Z65" i="12"/>
  <c r="Y65" i="12"/>
  <c r="X65" i="12"/>
  <c r="W65" i="12"/>
  <c r="V65" i="12"/>
  <c r="AA64" i="12"/>
  <c r="Z64" i="12"/>
  <c r="Y64" i="12"/>
  <c r="X64" i="12"/>
  <c r="W64" i="12"/>
  <c r="V64" i="12"/>
  <c r="AA63" i="12"/>
  <c r="Z63" i="12"/>
  <c r="Y63" i="12"/>
  <c r="X63" i="12"/>
  <c r="W63" i="12"/>
  <c r="V63" i="12"/>
  <c r="AA62" i="12"/>
  <c r="Z62" i="12"/>
  <c r="Y62" i="12"/>
  <c r="X62" i="12"/>
  <c r="W62" i="12"/>
  <c r="V62" i="12"/>
  <c r="AA61" i="12"/>
  <c r="Z61" i="12"/>
  <c r="Y61" i="12"/>
  <c r="X61" i="12"/>
  <c r="W61" i="12"/>
  <c r="V61" i="12"/>
  <c r="AA60" i="12"/>
  <c r="Z60" i="12"/>
  <c r="Y60" i="12"/>
  <c r="X60" i="12"/>
  <c r="W60" i="12"/>
  <c r="V60" i="12"/>
  <c r="AA59" i="12"/>
  <c r="Z59" i="12"/>
  <c r="Y59" i="12"/>
  <c r="X59" i="12"/>
  <c r="W59" i="12"/>
  <c r="V59" i="12"/>
  <c r="AQ58" i="12"/>
  <c r="D40" i="12" s="1"/>
  <c r="AA58" i="12"/>
  <c r="Z58" i="12"/>
  <c r="Y58" i="12"/>
  <c r="X58" i="12"/>
  <c r="W58" i="12"/>
  <c r="V58" i="12"/>
  <c r="AA57" i="12"/>
  <c r="Z57" i="12"/>
  <c r="Y57" i="12"/>
  <c r="X57" i="12"/>
  <c r="W57" i="12"/>
  <c r="V57" i="12"/>
  <c r="AA56" i="12"/>
  <c r="Z56" i="12"/>
  <c r="Y56" i="12"/>
  <c r="X56" i="12"/>
  <c r="W56" i="12"/>
  <c r="V56" i="12"/>
  <c r="B55" i="12"/>
  <c r="AP44" i="12"/>
  <c r="B59" i="12" s="1"/>
  <c r="B44" i="12"/>
  <c r="AQ31" i="12" s="1"/>
  <c r="AP43" i="12"/>
  <c r="B58" i="12" s="1"/>
  <c r="AP42" i="12"/>
  <c r="B57" i="12" s="1"/>
  <c r="X42" i="12"/>
  <c r="AP41" i="12"/>
  <c r="B56" i="12" s="1"/>
  <c r="X41" i="12"/>
  <c r="AP40" i="12"/>
  <c r="X40" i="12"/>
  <c r="E40" i="12"/>
  <c r="B40" i="12"/>
  <c r="X39" i="12"/>
  <c r="X38" i="12"/>
  <c r="X37" i="12"/>
  <c r="X36" i="12"/>
  <c r="X35" i="12"/>
  <c r="Q35" i="12"/>
  <c r="P35" i="12"/>
  <c r="D35" i="12"/>
  <c r="B35" i="12"/>
  <c r="X34" i="12"/>
  <c r="J34" i="12"/>
  <c r="J35" i="12" s="1"/>
  <c r="D36" i="12" s="1"/>
  <c r="X33" i="12"/>
  <c r="X32" i="12"/>
  <c r="AG31" i="12"/>
  <c r="X31" i="12"/>
  <c r="X30" i="12"/>
  <c r="X29" i="12"/>
  <c r="B29" i="12"/>
  <c r="X28" i="12"/>
  <c r="AQ27" i="12"/>
  <c r="B27" i="12"/>
  <c r="P25" i="12"/>
  <c r="G24" i="12"/>
  <c r="E24" i="12"/>
  <c r="C24" i="12"/>
  <c r="AB23" i="12"/>
  <c r="AA23" i="12"/>
  <c r="Z23" i="12"/>
  <c r="AC23" i="12" s="1"/>
  <c r="Y23" i="12"/>
  <c r="I23" i="12"/>
  <c r="G23" i="12"/>
  <c r="E23" i="12"/>
  <c r="C23" i="12"/>
  <c r="AB22" i="12"/>
  <c r="AA22" i="12"/>
  <c r="Z22" i="12"/>
  <c r="AC22" i="12" s="1"/>
  <c r="AD22" i="12" s="1"/>
  <c r="AB39" i="12" s="1"/>
  <c r="AC32" i="12" s="1"/>
  <c r="Q99" i="12" s="1"/>
  <c r="Y22" i="12"/>
  <c r="I22" i="12"/>
  <c r="G22" i="12"/>
  <c r="E22" i="12"/>
  <c r="C22" i="12"/>
  <c r="I21" i="12"/>
  <c r="G21" i="12"/>
  <c r="E21" i="12"/>
  <c r="C21" i="12"/>
  <c r="AQ20" i="12"/>
  <c r="AI20" i="12"/>
  <c r="I20" i="12"/>
  <c r="AQ19" i="12"/>
  <c r="AI19" i="12"/>
  <c r="AQ18" i="12"/>
  <c r="B47" i="12" s="1"/>
  <c r="AQ34" i="12" s="1"/>
  <c r="AL18" i="12"/>
  <c r="AK18" i="12" s="1"/>
  <c r="AV26" i="12" s="1"/>
  <c r="AJ18" i="12"/>
  <c r="AI18" i="12"/>
  <c r="I18" i="12"/>
  <c r="E18" i="12"/>
  <c r="AL15" i="12" s="1"/>
  <c r="AI17" i="12"/>
  <c r="AI16" i="12"/>
  <c r="AJ15" i="12"/>
  <c r="AK15" i="12" s="1"/>
  <c r="AU26" i="12" s="1"/>
  <c r="AI15" i="12"/>
  <c r="AQ14" i="12"/>
  <c r="B46" i="12" s="1"/>
  <c r="AQ33" i="12" s="1"/>
  <c r="AI14" i="12"/>
  <c r="I14" i="12"/>
  <c r="AQ13" i="12"/>
  <c r="AI13" i="12"/>
  <c r="AQ12" i="12"/>
  <c r="AL12" i="12"/>
  <c r="AK12" i="12" s="1"/>
  <c r="AT26" i="12" s="1"/>
  <c r="O114" i="12" s="1"/>
  <c r="AJ12" i="12"/>
  <c r="AI12" i="12"/>
  <c r="AI11" i="12"/>
  <c r="AC11" i="12"/>
  <c r="AB11" i="12"/>
  <c r="AA11" i="12"/>
  <c r="Z11" i="12"/>
  <c r="Y11" i="12"/>
  <c r="AI10" i="12"/>
  <c r="AB10" i="12"/>
  <c r="AA10" i="12"/>
  <c r="Z10" i="12"/>
  <c r="AC10" i="12" s="1"/>
  <c r="Y10" i="12"/>
  <c r="AL9" i="12"/>
  <c r="AI9" i="12"/>
  <c r="AJ9" i="12" s="1"/>
  <c r="AK9" i="12" s="1"/>
  <c r="AS26" i="12" s="1"/>
  <c r="AC9" i="12"/>
  <c r="AB9" i="12"/>
  <c r="AA9" i="12"/>
  <c r="Z9" i="12"/>
  <c r="Y9" i="12"/>
  <c r="AQ8" i="12"/>
  <c r="B43" i="12" s="1"/>
  <c r="AQ30" i="12" s="1"/>
  <c r="AB8" i="12"/>
  <c r="AA8" i="12"/>
  <c r="Z8" i="12"/>
  <c r="AC8" i="12" s="1"/>
  <c r="AD8" i="12" s="1"/>
  <c r="AB36" i="12" s="1"/>
  <c r="Y8" i="12"/>
  <c r="AQ7" i="12"/>
  <c r="AQ6" i="12"/>
  <c r="AO179" i="11"/>
  <c r="AN179" i="11"/>
  <c r="AM179" i="11"/>
  <c r="AL179" i="11"/>
  <c r="AK179" i="11"/>
  <c r="AJ179" i="11"/>
  <c r="AI179" i="11"/>
  <c r="AH179" i="11"/>
  <c r="AG179" i="11"/>
  <c r="AF179" i="11"/>
  <c r="AE179" i="11"/>
  <c r="AD179" i="11"/>
  <c r="AC179" i="11"/>
  <c r="AB179" i="11"/>
  <c r="AA179" i="11"/>
  <c r="Z179" i="11"/>
  <c r="Y179" i="11"/>
  <c r="X179" i="11"/>
  <c r="W179" i="11"/>
  <c r="V179" i="11"/>
  <c r="AO178" i="11"/>
  <c r="AN178" i="11"/>
  <c r="AM178" i="11"/>
  <c r="AL178" i="11"/>
  <c r="AK178" i="11"/>
  <c r="AJ178" i="11"/>
  <c r="AI178" i="11"/>
  <c r="AH178" i="11"/>
  <c r="AG178" i="11"/>
  <c r="AF178" i="11"/>
  <c r="AE178" i="11"/>
  <c r="AD178" i="11"/>
  <c r="AC178" i="11"/>
  <c r="AB178" i="11"/>
  <c r="AA178" i="11"/>
  <c r="Z178" i="11"/>
  <c r="Y178" i="11"/>
  <c r="X178" i="11"/>
  <c r="W178" i="11"/>
  <c r="V178" i="11"/>
  <c r="AO177" i="11"/>
  <c r="AN177" i="11"/>
  <c r="AM177" i="11"/>
  <c r="AL177" i="11"/>
  <c r="AK177" i="11"/>
  <c r="AJ177" i="11"/>
  <c r="AI177" i="11"/>
  <c r="AH177" i="11"/>
  <c r="AG177" i="11"/>
  <c r="AF177" i="11"/>
  <c r="AE177" i="11"/>
  <c r="AD177" i="11"/>
  <c r="AC177" i="11"/>
  <c r="AB177" i="11"/>
  <c r="AA177" i="11"/>
  <c r="Z177" i="11"/>
  <c r="Y177" i="11"/>
  <c r="X177" i="11"/>
  <c r="W177" i="11"/>
  <c r="V177" i="11"/>
  <c r="AO176" i="11"/>
  <c r="AN176" i="11"/>
  <c r="AM176" i="11"/>
  <c r="AL176" i="11"/>
  <c r="AK176" i="11"/>
  <c r="AJ176" i="11"/>
  <c r="AI176" i="11"/>
  <c r="AH176" i="11"/>
  <c r="AG176" i="11"/>
  <c r="AF176" i="11"/>
  <c r="AE176" i="11"/>
  <c r="AD176" i="11"/>
  <c r="AC176" i="11"/>
  <c r="AB176" i="11"/>
  <c r="AA176" i="11"/>
  <c r="Z176" i="11"/>
  <c r="Y176" i="11"/>
  <c r="X176" i="11"/>
  <c r="W176" i="11"/>
  <c r="V176" i="11"/>
  <c r="AO175" i="11"/>
  <c r="AN175" i="11"/>
  <c r="AM175" i="11"/>
  <c r="AL175" i="11"/>
  <c r="AK175" i="11"/>
  <c r="AJ175" i="11"/>
  <c r="AI175" i="11"/>
  <c r="AH175" i="11"/>
  <c r="AG175" i="11"/>
  <c r="AF175" i="11"/>
  <c r="AE175" i="11"/>
  <c r="AD175" i="11"/>
  <c r="AC175" i="11"/>
  <c r="AB175" i="11"/>
  <c r="AA175" i="11"/>
  <c r="Z175" i="11"/>
  <c r="Y175" i="11"/>
  <c r="X175" i="11"/>
  <c r="W175" i="11"/>
  <c r="V175" i="11"/>
  <c r="AO174" i="11"/>
  <c r="AN174" i="11"/>
  <c r="AM174" i="11"/>
  <c r="AL174" i="11"/>
  <c r="AK174" i="11"/>
  <c r="AJ174" i="11"/>
  <c r="AI174" i="11"/>
  <c r="AH174" i="11"/>
  <c r="AG174" i="11"/>
  <c r="AF174" i="11"/>
  <c r="AE174" i="11"/>
  <c r="AD174" i="11"/>
  <c r="AC174" i="11"/>
  <c r="AB174" i="11"/>
  <c r="AA174" i="11"/>
  <c r="Z174" i="11"/>
  <c r="Y174" i="11"/>
  <c r="X174" i="11"/>
  <c r="W174" i="11"/>
  <c r="V174" i="11"/>
  <c r="AO173" i="11"/>
  <c r="AN173" i="11"/>
  <c r="AM173" i="11"/>
  <c r="AL173" i="11"/>
  <c r="AK173" i="11"/>
  <c r="AJ173" i="11"/>
  <c r="AI173" i="11"/>
  <c r="AH173" i="11"/>
  <c r="AG173" i="11"/>
  <c r="AF173" i="11"/>
  <c r="AE173" i="11"/>
  <c r="AD173" i="11"/>
  <c r="AC173" i="11"/>
  <c r="AB173" i="11"/>
  <c r="AA173" i="11"/>
  <c r="Z173" i="11"/>
  <c r="Y173" i="11"/>
  <c r="X173" i="11"/>
  <c r="W173" i="11"/>
  <c r="V173" i="11"/>
  <c r="AO172" i="11"/>
  <c r="AN172" i="11"/>
  <c r="AM172" i="11"/>
  <c r="AL172" i="11"/>
  <c r="AK172" i="11"/>
  <c r="AJ172" i="11"/>
  <c r="AI172" i="11"/>
  <c r="AH172" i="11"/>
  <c r="AG172" i="11"/>
  <c r="AF172" i="11"/>
  <c r="AE172" i="11"/>
  <c r="AD172" i="11"/>
  <c r="AC172" i="11"/>
  <c r="AB172" i="11"/>
  <c r="AA172" i="11"/>
  <c r="Z172" i="11"/>
  <c r="Y172" i="11"/>
  <c r="X172" i="11"/>
  <c r="W172" i="11"/>
  <c r="V172" i="11"/>
  <c r="AO171" i="11"/>
  <c r="AN171" i="11"/>
  <c r="AM171" i="11"/>
  <c r="AL171" i="11"/>
  <c r="AK171" i="11"/>
  <c r="AJ171" i="11"/>
  <c r="AI171" i="11"/>
  <c r="AH171" i="11"/>
  <c r="AG171" i="11"/>
  <c r="AF171" i="11"/>
  <c r="AE171" i="11"/>
  <c r="AD171" i="11"/>
  <c r="AC171" i="11"/>
  <c r="AB171" i="11"/>
  <c r="AA171" i="11"/>
  <c r="Z171" i="11"/>
  <c r="Y171" i="11"/>
  <c r="X171" i="11"/>
  <c r="W171" i="11"/>
  <c r="V171" i="11"/>
  <c r="AO170" i="11"/>
  <c r="AN170" i="11"/>
  <c r="AM170" i="11"/>
  <c r="AL170" i="11"/>
  <c r="AK170" i="11"/>
  <c r="AJ170" i="11"/>
  <c r="AI170" i="11"/>
  <c r="AH170" i="11"/>
  <c r="AG170" i="11"/>
  <c r="AF170" i="11"/>
  <c r="AE170" i="11"/>
  <c r="AD170" i="11"/>
  <c r="AC170" i="11"/>
  <c r="AB170" i="11"/>
  <c r="AA170" i="11"/>
  <c r="Z170" i="11"/>
  <c r="Y170" i="11"/>
  <c r="X170" i="11"/>
  <c r="W170" i="11"/>
  <c r="V170" i="11"/>
  <c r="AO169" i="11"/>
  <c r="AN169" i="11"/>
  <c r="AM169" i="11"/>
  <c r="AL169" i="11"/>
  <c r="AK169" i="11"/>
  <c r="AJ169" i="11"/>
  <c r="AI169" i="11"/>
  <c r="AH169" i="11"/>
  <c r="AG169" i="11"/>
  <c r="AF169" i="11"/>
  <c r="AE169" i="11"/>
  <c r="AD169" i="11"/>
  <c r="AC169" i="11"/>
  <c r="AB169" i="11"/>
  <c r="AA169" i="11"/>
  <c r="Z169" i="11"/>
  <c r="Y169" i="11"/>
  <c r="X169" i="11"/>
  <c r="W169" i="11"/>
  <c r="V169" i="11"/>
  <c r="AO168" i="11"/>
  <c r="AN168" i="11"/>
  <c r="AM168" i="11"/>
  <c r="AL168" i="11"/>
  <c r="X95" i="11" s="1"/>
  <c r="AK168" i="11"/>
  <c r="AJ168" i="11"/>
  <c r="AI168" i="11"/>
  <c r="AH168" i="11"/>
  <c r="AG168" i="11"/>
  <c r="AF168" i="11"/>
  <c r="AE168" i="11"/>
  <c r="AD168" i="11"/>
  <c r="AD95" i="11" s="1"/>
  <c r="AC168" i="11"/>
  <c r="AC95" i="11" s="1"/>
  <c r="AB168" i="11"/>
  <c r="AB95" i="11" s="1"/>
  <c r="AA168" i="11"/>
  <c r="Z168" i="11"/>
  <c r="Z95" i="11" s="1"/>
  <c r="Y168" i="11"/>
  <c r="X168" i="11"/>
  <c r="W168" i="11"/>
  <c r="W95" i="11" s="1"/>
  <c r="V168" i="11"/>
  <c r="V95" i="11" s="1"/>
  <c r="AO167" i="11"/>
  <c r="AN167" i="11"/>
  <c r="AM167" i="11"/>
  <c r="AL167" i="11"/>
  <c r="X94" i="11" s="1"/>
  <c r="AK167" i="11"/>
  <c r="AJ167" i="11"/>
  <c r="AI167" i="11"/>
  <c r="AH167" i="11"/>
  <c r="AG167" i="11"/>
  <c r="AF167" i="11"/>
  <c r="AE167" i="11"/>
  <c r="AD167" i="11"/>
  <c r="AD94" i="11" s="1"/>
  <c r="AC167" i="11"/>
  <c r="AB167" i="11"/>
  <c r="AB94" i="11" s="1"/>
  <c r="AA167" i="11"/>
  <c r="Z167" i="11"/>
  <c r="Y167" i="11"/>
  <c r="Y94" i="11" s="1"/>
  <c r="X167" i="11"/>
  <c r="W167" i="11"/>
  <c r="W94" i="11" s="1"/>
  <c r="V167" i="11"/>
  <c r="V94" i="11" s="1"/>
  <c r="AO166" i="11"/>
  <c r="AN166" i="11"/>
  <c r="AM166" i="11"/>
  <c r="AL166" i="11"/>
  <c r="X93" i="11" s="1"/>
  <c r="AK166" i="11"/>
  <c r="AJ166" i="11"/>
  <c r="AI166" i="11"/>
  <c r="AH166" i="11"/>
  <c r="AG166" i="11"/>
  <c r="AF166" i="11"/>
  <c r="AE166" i="11"/>
  <c r="AD166" i="11"/>
  <c r="AD93" i="11" s="1"/>
  <c r="AC166" i="11"/>
  <c r="AB166" i="11"/>
  <c r="AB93" i="11" s="1"/>
  <c r="AA166" i="11"/>
  <c r="AA93" i="11" s="1"/>
  <c r="Z166" i="11"/>
  <c r="Z93" i="11" s="1"/>
  <c r="Y166" i="11"/>
  <c r="Y93" i="11" s="1"/>
  <c r="X166" i="11"/>
  <c r="W166" i="11"/>
  <c r="V166" i="11"/>
  <c r="AO165" i="11"/>
  <c r="AN165" i="11"/>
  <c r="AM165" i="11"/>
  <c r="AL165" i="11"/>
  <c r="AK165" i="11"/>
  <c r="AJ165" i="11"/>
  <c r="AI165" i="11"/>
  <c r="AH165" i="11"/>
  <c r="AG165" i="11"/>
  <c r="AF165" i="11"/>
  <c r="AE165" i="11"/>
  <c r="AD165" i="11"/>
  <c r="AD92" i="11" s="1"/>
  <c r="AC165" i="11"/>
  <c r="AC92" i="11" s="1"/>
  <c r="AB165" i="11"/>
  <c r="AB92" i="11" s="1"/>
  <c r="AA165" i="11"/>
  <c r="AA92" i="11" s="1"/>
  <c r="Z165" i="11"/>
  <c r="Y165" i="11"/>
  <c r="X165" i="11"/>
  <c r="W165" i="11"/>
  <c r="W92" i="11" s="1"/>
  <c r="V165" i="11"/>
  <c r="V92" i="11" s="1"/>
  <c r="AO164" i="11"/>
  <c r="AN164" i="11"/>
  <c r="AM164" i="11"/>
  <c r="AL164" i="11"/>
  <c r="AK164" i="11"/>
  <c r="AJ164" i="11"/>
  <c r="AI164" i="11"/>
  <c r="AH164" i="11"/>
  <c r="AG164" i="11"/>
  <c r="AF164" i="11"/>
  <c r="AE164" i="11"/>
  <c r="AD164" i="11"/>
  <c r="AD91" i="11" s="1"/>
  <c r="AC164" i="11"/>
  <c r="AB164" i="11"/>
  <c r="AB91" i="11" s="1"/>
  <c r="AA164" i="11"/>
  <c r="Z164" i="11"/>
  <c r="Z91" i="11" s="1"/>
  <c r="Y164" i="11"/>
  <c r="Y91" i="11" s="1"/>
  <c r="X164" i="11"/>
  <c r="W164" i="11"/>
  <c r="W91" i="11" s="1"/>
  <c r="V164" i="11"/>
  <c r="V91" i="11" s="1"/>
  <c r="AO163" i="11"/>
  <c r="AN163" i="11"/>
  <c r="AM163" i="11"/>
  <c r="AL163" i="11"/>
  <c r="X90" i="11" s="1"/>
  <c r="AK163" i="11"/>
  <c r="AJ163" i="11"/>
  <c r="AI163" i="11"/>
  <c r="AH163" i="11"/>
  <c r="AG163" i="11"/>
  <c r="AF163" i="11"/>
  <c r="AE163" i="11"/>
  <c r="AD163" i="11"/>
  <c r="AC163" i="11"/>
  <c r="AB163" i="11"/>
  <c r="AB90" i="11" s="1"/>
  <c r="AA163" i="11"/>
  <c r="AA90" i="11" s="1"/>
  <c r="Z163" i="11"/>
  <c r="Z90" i="11" s="1"/>
  <c r="Y163" i="11"/>
  <c r="Y90" i="11" s="1"/>
  <c r="X163" i="11"/>
  <c r="W163" i="11"/>
  <c r="W90" i="11" s="1"/>
  <c r="V163" i="11"/>
  <c r="V90" i="11" s="1"/>
  <c r="AO162" i="11"/>
  <c r="AN162" i="11"/>
  <c r="AM162" i="11"/>
  <c r="AL162" i="11"/>
  <c r="X89" i="11" s="1"/>
  <c r="AK162" i="11"/>
  <c r="AJ162" i="11"/>
  <c r="AI162" i="11"/>
  <c r="AH162" i="11"/>
  <c r="AG162" i="11"/>
  <c r="AF162" i="11"/>
  <c r="AE162" i="11"/>
  <c r="AD162" i="11"/>
  <c r="AC162" i="11"/>
  <c r="AC89" i="11" s="1"/>
  <c r="AB162" i="11"/>
  <c r="AB89" i="11" s="1"/>
  <c r="AA162" i="11"/>
  <c r="AA89" i="11" s="1"/>
  <c r="Z162" i="11"/>
  <c r="Z89" i="11" s="1"/>
  <c r="Y162" i="11"/>
  <c r="X162" i="11"/>
  <c r="W162" i="11"/>
  <c r="W89" i="11" s="1"/>
  <c r="V162" i="11"/>
  <c r="V89" i="11" s="1"/>
  <c r="AO161" i="11"/>
  <c r="AN161" i="11"/>
  <c r="AM161" i="11"/>
  <c r="AL161" i="11"/>
  <c r="AK161" i="11"/>
  <c r="AJ161" i="11"/>
  <c r="AI161" i="11"/>
  <c r="AH161" i="11"/>
  <c r="AG161" i="11"/>
  <c r="AF161" i="11"/>
  <c r="AE161" i="11"/>
  <c r="AD161" i="11"/>
  <c r="AD88" i="11" s="1"/>
  <c r="AC161" i="11"/>
  <c r="AC88" i="11" s="1"/>
  <c r="AB161" i="11"/>
  <c r="AB88" i="11" s="1"/>
  <c r="AA161" i="11"/>
  <c r="Z161" i="11"/>
  <c r="Z88" i="11" s="1"/>
  <c r="Y161" i="11"/>
  <c r="Y88" i="11" s="1"/>
  <c r="X161" i="11"/>
  <c r="W161" i="11"/>
  <c r="V161" i="11"/>
  <c r="V88" i="11" s="1"/>
  <c r="AO160" i="11"/>
  <c r="AN160" i="11"/>
  <c r="AM160" i="11"/>
  <c r="AL160" i="11"/>
  <c r="X87" i="11" s="1"/>
  <c r="AK160" i="11"/>
  <c r="AJ160" i="11"/>
  <c r="AI160" i="11"/>
  <c r="AH160" i="11"/>
  <c r="AG160" i="11"/>
  <c r="AF160" i="11"/>
  <c r="AE160" i="11"/>
  <c r="AD160" i="11"/>
  <c r="AD87" i="11" s="1"/>
  <c r="AC160" i="11"/>
  <c r="AB160" i="11"/>
  <c r="AB87" i="11" s="1"/>
  <c r="AA160" i="11"/>
  <c r="AA87" i="11" s="1"/>
  <c r="Z160" i="11"/>
  <c r="Z87" i="11" s="1"/>
  <c r="Y160" i="11"/>
  <c r="Y87" i="11" s="1"/>
  <c r="X160" i="11"/>
  <c r="W160" i="11"/>
  <c r="W87" i="11" s="1"/>
  <c r="V160" i="11"/>
  <c r="V87" i="11" s="1"/>
  <c r="AO159" i="11"/>
  <c r="AN159" i="11"/>
  <c r="AM159" i="11"/>
  <c r="AL159" i="11"/>
  <c r="AK159" i="11"/>
  <c r="AJ159" i="11"/>
  <c r="AI159" i="11"/>
  <c r="AH159" i="11"/>
  <c r="AG159" i="11"/>
  <c r="AF159" i="11"/>
  <c r="AE159" i="11"/>
  <c r="AD159" i="11"/>
  <c r="AC159" i="11"/>
  <c r="AB159" i="11"/>
  <c r="AA159" i="11"/>
  <c r="Z159" i="11"/>
  <c r="Y159" i="11"/>
  <c r="X159" i="11"/>
  <c r="W159" i="11"/>
  <c r="V159" i="11"/>
  <c r="AO158" i="11"/>
  <c r="AN158" i="11"/>
  <c r="AM158" i="11"/>
  <c r="AL158" i="11"/>
  <c r="AK158" i="11"/>
  <c r="AJ158" i="11"/>
  <c r="AI158" i="11"/>
  <c r="AH158" i="11"/>
  <c r="AG158" i="11"/>
  <c r="AF158" i="11"/>
  <c r="AE158" i="11"/>
  <c r="AD158" i="11"/>
  <c r="AC158" i="11"/>
  <c r="AB158" i="11"/>
  <c r="AA158" i="11"/>
  <c r="Z158" i="11"/>
  <c r="Y158" i="11"/>
  <c r="X158" i="11"/>
  <c r="W158" i="11"/>
  <c r="V158" i="11"/>
  <c r="AO157" i="11"/>
  <c r="AN157" i="11"/>
  <c r="AM157" i="11"/>
  <c r="AL157" i="11"/>
  <c r="AK157" i="11"/>
  <c r="AJ157" i="11"/>
  <c r="AI157" i="11"/>
  <c r="AH157" i="11"/>
  <c r="AG157" i="11"/>
  <c r="AF157" i="11"/>
  <c r="AE157" i="11"/>
  <c r="AD157" i="11"/>
  <c r="AC157" i="11"/>
  <c r="AB157" i="11"/>
  <c r="AA157" i="11"/>
  <c r="Z157" i="11"/>
  <c r="Y157" i="11"/>
  <c r="X157" i="11"/>
  <c r="W157" i="11"/>
  <c r="V157" i="11"/>
  <c r="AO156" i="11"/>
  <c r="AN156" i="11"/>
  <c r="AM156" i="11"/>
  <c r="AL156" i="11"/>
  <c r="AK156" i="11"/>
  <c r="AJ156" i="11"/>
  <c r="AI156" i="11"/>
  <c r="AH156" i="11"/>
  <c r="AG156" i="11"/>
  <c r="AF156" i="11"/>
  <c r="AE156" i="11"/>
  <c r="AD156" i="11"/>
  <c r="AC156" i="11"/>
  <c r="AB156" i="11"/>
  <c r="AA156" i="11"/>
  <c r="Z156" i="11"/>
  <c r="Y156" i="11"/>
  <c r="X156" i="11"/>
  <c r="W156" i="11"/>
  <c r="V156" i="11"/>
  <c r="AO155" i="11"/>
  <c r="AN155" i="11"/>
  <c r="AM155" i="11"/>
  <c r="AL155" i="11"/>
  <c r="AK155" i="11"/>
  <c r="AJ155" i="11"/>
  <c r="AI155" i="11"/>
  <c r="AH155" i="11"/>
  <c r="AG155" i="11"/>
  <c r="AF155" i="11"/>
  <c r="AE155" i="11"/>
  <c r="AD155" i="11"/>
  <c r="AC155" i="11"/>
  <c r="AB155" i="11"/>
  <c r="AA155" i="11"/>
  <c r="Z155" i="11"/>
  <c r="Y155" i="11"/>
  <c r="X155" i="11"/>
  <c r="W155" i="11"/>
  <c r="V155" i="11"/>
  <c r="AO154" i="11"/>
  <c r="AN154" i="11"/>
  <c r="AM154" i="11"/>
  <c r="AL154" i="11"/>
  <c r="AK154" i="11"/>
  <c r="AJ154" i="11"/>
  <c r="AI154" i="11"/>
  <c r="AH154" i="11"/>
  <c r="AG154" i="11"/>
  <c r="AF154" i="11"/>
  <c r="AE154" i="11"/>
  <c r="AD154" i="11"/>
  <c r="AC154" i="11"/>
  <c r="AB154" i="11"/>
  <c r="AA154" i="11"/>
  <c r="Z154" i="11"/>
  <c r="Y154" i="11"/>
  <c r="X154" i="11"/>
  <c r="W154" i="11"/>
  <c r="V154" i="11"/>
  <c r="AO153" i="11"/>
  <c r="AN153" i="11"/>
  <c r="AM153" i="11"/>
  <c r="AL153" i="11"/>
  <c r="AK153" i="11"/>
  <c r="AJ153" i="11"/>
  <c r="AI153" i="11"/>
  <c r="AH153" i="11"/>
  <c r="AG153" i="11"/>
  <c r="AF153" i="11"/>
  <c r="AE153" i="11"/>
  <c r="AD153" i="11"/>
  <c r="AC153" i="11"/>
  <c r="AB153" i="11"/>
  <c r="AA153" i="11"/>
  <c r="Z153" i="11"/>
  <c r="Y153" i="11"/>
  <c r="X153" i="11"/>
  <c r="W153" i="11"/>
  <c r="V153" i="11"/>
  <c r="AO152" i="11"/>
  <c r="AN152" i="11"/>
  <c r="AM152" i="11"/>
  <c r="AL152" i="11"/>
  <c r="AK152" i="11"/>
  <c r="AJ152" i="11"/>
  <c r="AI152" i="11"/>
  <c r="AH152" i="11"/>
  <c r="AG152" i="11"/>
  <c r="AF152" i="11"/>
  <c r="AE152" i="11"/>
  <c r="AD152" i="11"/>
  <c r="AC152" i="11"/>
  <c r="AB152" i="11"/>
  <c r="AA152" i="11"/>
  <c r="Z152" i="11"/>
  <c r="Y152" i="11"/>
  <c r="X152" i="11"/>
  <c r="W152" i="11"/>
  <c r="V152" i="11"/>
  <c r="AO151" i="11"/>
  <c r="AN151" i="11"/>
  <c r="AM151" i="11"/>
  <c r="AL151" i="11"/>
  <c r="AK151" i="11"/>
  <c r="AJ151" i="11"/>
  <c r="AI151" i="11"/>
  <c r="AH151" i="11"/>
  <c r="AG151" i="11"/>
  <c r="AF151" i="11"/>
  <c r="AE151" i="11"/>
  <c r="AD151" i="11"/>
  <c r="AC151" i="11"/>
  <c r="AB151" i="11"/>
  <c r="AA151" i="11"/>
  <c r="Z151" i="11"/>
  <c r="Y151" i="11"/>
  <c r="X151" i="11"/>
  <c r="W151" i="11"/>
  <c r="V151" i="11"/>
  <c r="AO150" i="11"/>
  <c r="AN150" i="11"/>
  <c r="AM150" i="11"/>
  <c r="AL150" i="11"/>
  <c r="AK150" i="11"/>
  <c r="AJ150" i="11"/>
  <c r="AI150" i="11"/>
  <c r="AH150" i="11"/>
  <c r="AG150" i="11"/>
  <c r="AF150" i="11"/>
  <c r="AE150" i="11"/>
  <c r="AD150" i="11"/>
  <c r="AC150" i="11"/>
  <c r="AB150" i="11"/>
  <c r="AA150" i="11"/>
  <c r="Z150" i="11"/>
  <c r="Y150" i="11"/>
  <c r="X150" i="11"/>
  <c r="W150" i="11"/>
  <c r="V150" i="11"/>
  <c r="AO149" i="11"/>
  <c r="AN149" i="11"/>
  <c r="AM149" i="11"/>
  <c r="AL149" i="11"/>
  <c r="AK149" i="11"/>
  <c r="AJ149" i="11"/>
  <c r="AI149" i="11"/>
  <c r="AH149" i="11"/>
  <c r="AG149" i="11"/>
  <c r="AF149" i="11"/>
  <c r="AE149" i="11"/>
  <c r="AD149" i="11"/>
  <c r="AC149" i="11"/>
  <c r="AB149" i="11"/>
  <c r="AA149" i="11"/>
  <c r="Z149" i="11"/>
  <c r="Y149" i="11"/>
  <c r="X149" i="11"/>
  <c r="W149" i="11"/>
  <c r="V149" i="11"/>
  <c r="AO148" i="11"/>
  <c r="AN148" i="11"/>
  <c r="AM148" i="11"/>
  <c r="AL148" i="11"/>
  <c r="AK148" i="11"/>
  <c r="AJ148" i="11"/>
  <c r="AI148" i="11"/>
  <c r="AH148" i="11"/>
  <c r="AG148" i="11"/>
  <c r="AF148" i="11"/>
  <c r="AE148" i="11"/>
  <c r="AD148" i="11"/>
  <c r="AC148" i="11"/>
  <c r="AB148" i="11"/>
  <c r="AA148" i="11"/>
  <c r="Z148" i="11"/>
  <c r="Y148" i="11"/>
  <c r="X148" i="11"/>
  <c r="W148" i="11"/>
  <c r="V148" i="11"/>
  <c r="AO147" i="11"/>
  <c r="AN147" i="11"/>
  <c r="AM147" i="11"/>
  <c r="AL147" i="11"/>
  <c r="AK147" i="11"/>
  <c r="AJ147" i="11"/>
  <c r="AI147" i="11"/>
  <c r="AH147" i="11"/>
  <c r="AG147" i="11"/>
  <c r="AF147" i="11"/>
  <c r="AE147" i="11"/>
  <c r="AD147" i="11"/>
  <c r="AC147" i="11"/>
  <c r="AB147" i="11"/>
  <c r="AA147" i="11"/>
  <c r="Z147" i="11"/>
  <c r="Y147" i="11"/>
  <c r="X147" i="11"/>
  <c r="W147" i="11"/>
  <c r="V147" i="11"/>
  <c r="AO146" i="11"/>
  <c r="AN146" i="11"/>
  <c r="AM146" i="11"/>
  <c r="AL146" i="11"/>
  <c r="AK146" i="11"/>
  <c r="AJ146" i="11"/>
  <c r="AI146" i="11"/>
  <c r="AH146" i="11"/>
  <c r="AG146" i="11"/>
  <c r="AF146" i="11"/>
  <c r="AE146" i="11"/>
  <c r="AD146" i="11"/>
  <c r="AC146" i="11"/>
  <c r="AB146" i="11"/>
  <c r="AA146" i="11"/>
  <c r="Z146" i="11"/>
  <c r="Y146" i="11"/>
  <c r="X146" i="11"/>
  <c r="W146" i="11"/>
  <c r="V146" i="11"/>
  <c r="AO145" i="11"/>
  <c r="AN145" i="11"/>
  <c r="AM145" i="11"/>
  <c r="AL145" i="11"/>
  <c r="AK145" i="11"/>
  <c r="AJ145" i="11"/>
  <c r="AI145" i="11"/>
  <c r="AH145" i="11"/>
  <c r="AG145" i="11"/>
  <c r="AF145" i="11"/>
  <c r="AE145" i="11"/>
  <c r="AD145" i="11"/>
  <c r="AC145" i="11"/>
  <c r="AB145" i="11"/>
  <c r="AA145" i="11"/>
  <c r="Z145" i="11"/>
  <c r="Y145" i="11"/>
  <c r="X145" i="11"/>
  <c r="W145" i="11"/>
  <c r="V145" i="11"/>
  <c r="AO144" i="11"/>
  <c r="AN144" i="11"/>
  <c r="AM144" i="11"/>
  <c r="AL144" i="11"/>
  <c r="AK144" i="11"/>
  <c r="AJ144" i="11"/>
  <c r="AI144" i="11"/>
  <c r="AH144" i="11"/>
  <c r="AG144" i="11"/>
  <c r="AF144" i="11"/>
  <c r="AE144" i="11"/>
  <c r="AD144" i="11"/>
  <c r="AC144" i="11"/>
  <c r="AB144" i="11"/>
  <c r="AA144" i="11"/>
  <c r="Z144" i="11"/>
  <c r="Y144" i="11"/>
  <c r="X144" i="11"/>
  <c r="W144" i="11"/>
  <c r="V144" i="11"/>
  <c r="AO143" i="11"/>
  <c r="AN143" i="11"/>
  <c r="AM143" i="11"/>
  <c r="AL143" i="11"/>
  <c r="AK143" i="11"/>
  <c r="AJ143" i="11"/>
  <c r="AI143" i="11"/>
  <c r="AH143" i="11"/>
  <c r="AG143" i="11"/>
  <c r="AF143" i="11"/>
  <c r="AE143" i="11"/>
  <c r="AD143" i="11"/>
  <c r="AC143" i="11"/>
  <c r="AB143" i="11"/>
  <c r="AA143" i="11"/>
  <c r="Z143" i="11"/>
  <c r="Y143" i="11"/>
  <c r="X143" i="11"/>
  <c r="W143" i="11"/>
  <c r="V143" i="11"/>
  <c r="AO142" i="11"/>
  <c r="AN142" i="11"/>
  <c r="AM142" i="11"/>
  <c r="AL142" i="11"/>
  <c r="AK142" i="11"/>
  <c r="AJ142" i="11"/>
  <c r="AI142" i="11"/>
  <c r="AH142" i="11"/>
  <c r="AG142" i="11"/>
  <c r="AF142" i="11"/>
  <c r="AE142" i="11"/>
  <c r="AD142" i="11"/>
  <c r="AC142" i="11"/>
  <c r="AB142" i="11"/>
  <c r="AA142" i="11"/>
  <c r="Z142" i="11"/>
  <c r="Y142" i="11"/>
  <c r="X142" i="11"/>
  <c r="W142" i="11"/>
  <c r="V142" i="11"/>
  <c r="AO141" i="11"/>
  <c r="AN141" i="11"/>
  <c r="AM141" i="11"/>
  <c r="AL141" i="11"/>
  <c r="AK141" i="11"/>
  <c r="AJ141" i="11"/>
  <c r="AI141" i="11"/>
  <c r="AH141" i="11"/>
  <c r="AG141" i="11"/>
  <c r="AF141" i="11"/>
  <c r="AE141" i="11"/>
  <c r="AD141" i="11"/>
  <c r="AC141" i="11"/>
  <c r="AB141" i="11"/>
  <c r="AA141" i="11"/>
  <c r="Z141" i="11"/>
  <c r="Y141" i="11"/>
  <c r="X141" i="11"/>
  <c r="W141" i="11"/>
  <c r="V141" i="11"/>
  <c r="AO140" i="11"/>
  <c r="AN140" i="11"/>
  <c r="AM140" i="11"/>
  <c r="AL140" i="11"/>
  <c r="AK140" i="11"/>
  <c r="AJ140" i="11"/>
  <c r="AI140" i="11"/>
  <c r="AH140" i="11"/>
  <c r="AG140" i="11"/>
  <c r="AF140" i="11"/>
  <c r="AE140" i="11"/>
  <c r="AD140" i="11"/>
  <c r="AC140" i="11"/>
  <c r="AB140" i="11"/>
  <c r="AA140" i="11"/>
  <c r="Z140" i="11"/>
  <c r="Y140" i="11"/>
  <c r="X140" i="11"/>
  <c r="W140" i="11"/>
  <c r="V140" i="11"/>
  <c r="AO139" i="11"/>
  <c r="AN139" i="11"/>
  <c r="AM139" i="11"/>
  <c r="AL139" i="11"/>
  <c r="AK139" i="11"/>
  <c r="AJ139" i="11"/>
  <c r="AI139" i="11"/>
  <c r="AH139" i="11"/>
  <c r="AG139" i="11"/>
  <c r="AF139" i="11"/>
  <c r="AE139" i="11"/>
  <c r="AD139" i="11"/>
  <c r="AC139" i="11"/>
  <c r="AB139" i="11"/>
  <c r="AA139" i="11"/>
  <c r="Z139" i="11"/>
  <c r="Y139" i="11"/>
  <c r="X139" i="11"/>
  <c r="W139" i="11"/>
  <c r="V139" i="11"/>
  <c r="AO138" i="11"/>
  <c r="AN138" i="11"/>
  <c r="AM138" i="11"/>
  <c r="AL138" i="11"/>
  <c r="AK138" i="11"/>
  <c r="AJ138" i="11"/>
  <c r="AI138" i="11"/>
  <c r="AH138" i="11"/>
  <c r="AG138" i="11"/>
  <c r="AF138" i="11"/>
  <c r="AE138" i="11"/>
  <c r="AD138" i="11"/>
  <c r="AC138" i="11"/>
  <c r="AB138" i="11"/>
  <c r="AA138" i="11"/>
  <c r="Z138" i="11"/>
  <c r="Y138" i="11"/>
  <c r="X138" i="11"/>
  <c r="W138" i="11"/>
  <c r="V138" i="11"/>
  <c r="AO137" i="11"/>
  <c r="AN137" i="11"/>
  <c r="AM137" i="11"/>
  <c r="AL137" i="11"/>
  <c r="AK137" i="11"/>
  <c r="AJ137" i="11"/>
  <c r="AI137" i="11"/>
  <c r="AH137" i="11"/>
  <c r="AG137" i="11"/>
  <c r="AF137" i="11"/>
  <c r="AE137" i="11"/>
  <c r="AD137" i="11"/>
  <c r="AC137" i="11"/>
  <c r="AB137" i="11"/>
  <c r="AA137" i="11"/>
  <c r="Z137" i="11"/>
  <c r="Y137" i="11"/>
  <c r="X137" i="11"/>
  <c r="W137" i="11"/>
  <c r="V137" i="11"/>
  <c r="AO136" i="11"/>
  <c r="AN136" i="11"/>
  <c r="AM136" i="11"/>
  <c r="AL136" i="11"/>
  <c r="AK136" i="11"/>
  <c r="AJ136" i="11"/>
  <c r="AI136" i="11"/>
  <c r="AH136" i="11"/>
  <c r="AG136" i="11"/>
  <c r="AF136" i="11"/>
  <c r="AE136" i="11"/>
  <c r="AD136" i="11"/>
  <c r="AC136" i="11"/>
  <c r="AB136" i="11"/>
  <c r="AA136" i="11"/>
  <c r="Z136" i="11"/>
  <c r="Y136" i="11"/>
  <c r="X136" i="11"/>
  <c r="W136" i="11"/>
  <c r="V136" i="11"/>
  <c r="AO135" i="11"/>
  <c r="AN135" i="11"/>
  <c r="AM135" i="11"/>
  <c r="AL135" i="11"/>
  <c r="AK135" i="11"/>
  <c r="AJ135" i="11"/>
  <c r="AI135" i="11"/>
  <c r="AH135" i="11"/>
  <c r="AG135" i="11"/>
  <c r="AF135" i="11"/>
  <c r="AE135" i="11"/>
  <c r="AD135" i="11"/>
  <c r="AC135" i="11"/>
  <c r="AB135" i="11"/>
  <c r="AA135" i="11"/>
  <c r="Z135" i="11"/>
  <c r="Y135" i="11"/>
  <c r="X135" i="11"/>
  <c r="W135" i="11"/>
  <c r="V135" i="11"/>
  <c r="AO134" i="11"/>
  <c r="AN134" i="11"/>
  <c r="AM134" i="11"/>
  <c r="AL134" i="11"/>
  <c r="AK134" i="11"/>
  <c r="AJ134" i="11"/>
  <c r="AI134" i="11"/>
  <c r="AH134" i="11"/>
  <c r="AG134" i="11"/>
  <c r="AF134" i="11"/>
  <c r="AE134" i="11"/>
  <c r="AD134" i="11"/>
  <c r="AC134" i="11"/>
  <c r="AB134" i="11"/>
  <c r="AA134" i="11"/>
  <c r="Z134" i="11"/>
  <c r="Y134" i="11"/>
  <c r="X134" i="11"/>
  <c r="W134" i="11"/>
  <c r="V134" i="11"/>
  <c r="AO133" i="11"/>
  <c r="AN133" i="11"/>
  <c r="AM133" i="11"/>
  <c r="AL133" i="11"/>
  <c r="AK133" i="11"/>
  <c r="AJ133" i="11"/>
  <c r="AI133" i="11"/>
  <c r="AH133" i="11"/>
  <c r="AG133" i="11"/>
  <c r="AF133" i="11"/>
  <c r="AE133" i="11"/>
  <c r="AD133" i="11"/>
  <c r="AC133" i="11"/>
  <c r="AB133" i="11"/>
  <c r="AA133" i="11"/>
  <c r="Z133" i="11"/>
  <c r="Y133" i="11"/>
  <c r="X133" i="11"/>
  <c r="W133" i="11"/>
  <c r="V133" i="11"/>
  <c r="AO132" i="11"/>
  <c r="AN132" i="11"/>
  <c r="AM132" i="11"/>
  <c r="AL132" i="11"/>
  <c r="AK132" i="11"/>
  <c r="AJ132" i="11"/>
  <c r="AI132" i="11"/>
  <c r="AH132" i="11"/>
  <c r="AG132" i="11"/>
  <c r="AF132" i="11"/>
  <c r="AE132" i="11"/>
  <c r="AD132" i="11"/>
  <c r="AC132" i="11"/>
  <c r="AB132" i="11"/>
  <c r="AA132" i="11"/>
  <c r="Z132" i="11"/>
  <c r="Y132" i="11"/>
  <c r="X132" i="11"/>
  <c r="W132" i="11"/>
  <c r="V132" i="11"/>
  <c r="AO131" i="11"/>
  <c r="AN131" i="11"/>
  <c r="AM131" i="11"/>
  <c r="AL131" i="11"/>
  <c r="AK131" i="11"/>
  <c r="AJ131" i="11"/>
  <c r="AI131" i="11"/>
  <c r="AH131" i="11"/>
  <c r="AG131" i="11"/>
  <c r="AF131" i="11"/>
  <c r="AE131" i="11"/>
  <c r="AD131" i="11"/>
  <c r="AC131" i="11"/>
  <c r="AB131" i="11"/>
  <c r="AA131" i="11"/>
  <c r="Z131" i="11"/>
  <c r="Y131" i="11"/>
  <c r="X131" i="11"/>
  <c r="W131" i="11"/>
  <c r="V131" i="11"/>
  <c r="AO130" i="11"/>
  <c r="AN130" i="11"/>
  <c r="AM130" i="11"/>
  <c r="AL130" i="11"/>
  <c r="AK130" i="11"/>
  <c r="AJ130" i="11"/>
  <c r="AI130" i="11"/>
  <c r="AH130" i="11"/>
  <c r="AG130" i="11"/>
  <c r="AF130" i="11"/>
  <c r="AE130" i="11"/>
  <c r="AD130" i="11"/>
  <c r="AC130" i="11"/>
  <c r="AB130" i="11"/>
  <c r="AA130" i="11"/>
  <c r="Z130" i="11"/>
  <c r="Y130" i="11"/>
  <c r="X130" i="11"/>
  <c r="W130" i="11"/>
  <c r="V130" i="11"/>
  <c r="AO129" i="11"/>
  <c r="AN129" i="11"/>
  <c r="AM129" i="11"/>
  <c r="AL129" i="11"/>
  <c r="AK129" i="11"/>
  <c r="AJ129" i="11"/>
  <c r="AI129" i="11"/>
  <c r="AH129" i="11"/>
  <c r="AG129" i="11"/>
  <c r="AF129" i="11"/>
  <c r="AE129" i="11"/>
  <c r="AD129" i="11"/>
  <c r="AC129" i="11"/>
  <c r="AB129" i="11"/>
  <c r="AA129" i="11"/>
  <c r="Z129" i="11"/>
  <c r="Y129" i="11"/>
  <c r="X129" i="11"/>
  <c r="W129" i="11"/>
  <c r="V129" i="11"/>
  <c r="AO128" i="11"/>
  <c r="AN128" i="11"/>
  <c r="AM128" i="11"/>
  <c r="AL128" i="11"/>
  <c r="AK128" i="11"/>
  <c r="AJ128" i="11"/>
  <c r="AI128" i="11"/>
  <c r="AH128" i="11"/>
  <c r="AG128" i="11"/>
  <c r="AF128" i="11"/>
  <c r="AE128" i="11"/>
  <c r="AD128" i="11"/>
  <c r="AC128" i="11"/>
  <c r="AB128" i="11"/>
  <c r="AA128" i="11"/>
  <c r="Z128" i="11"/>
  <c r="Y128" i="11"/>
  <c r="X128" i="11"/>
  <c r="W128" i="11"/>
  <c r="V128" i="11"/>
  <c r="AO127" i="11"/>
  <c r="AN127" i="11"/>
  <c r="AM127" i="11"/>
  <c r="AL127" i="11"/>
  <c r="AK127" i="11"/>
  <c r="AJ127" i="11"/>
  <c r="AI127" i="11"/>
  <c r="AH127" i="11"/>
  <c r="AG127" i="11"/>
  <c r="AF127" i="11"/>
  <c r="AE127" i="11"/>
  <c r="AD127" i="11"/>
  <c r="AC127" i="11"/>
  <c r="AB127" i="11"/>
  <c r="AA127" i="11"/>
  <c r="Z127" i="11"/>
  <c r="Y127" i="11"/>
  <c r="X127" i="11"/>
  <c r="W127" i="11"/>
  <c r="V127" i="11"/>
  <c r="AO126" i="11"/>
  <c r="AN126" i="11"/>
  <c r="AM126" i="11"/>
  <c r="AL126" i="11"/>
  <c r="AK126" i="11"/>
  <c r="AJ126" i="11"/>
  <c r="AI126" i="11"/>
  <c r="AH126" i="11"/>
  <c r="AG126" i="11"/>
  <c r="AF126" i="11"/>
  <c r="AE126" i="11"/>
  <c r="AD126" i="11"/>
  <c r="AC126" i="11"/>
  <c r="AB126" i="11"/>
  <c r="AA126" i="11"/>
  <c r="Z126" i="11"/>
  <c r="Y126" i="11"/>
  <c r="X126" i="11"/>
  <c r="W126" i="11"/>
  <c r="V126" i="11"/>
  <c r="AO125" i="11"/>
  <c r="AN125" i="11"/>
  <c r="AM125" i="11"/>
  <c r="AL125" i="11"/>
  <c r="AK125" i="11"/>
  <c r="AJ125" i="11"/>
  <c r="AI125" i="11"/>
  <c r="AH125" i="11"/>
  <c r="AG125" i="11"/>
  <c r="AF125" i="11"/>
  <c r="AE125" i="11"/>
  <c r="AD125" i="11"/>
  <c r="AC125" i="11"/>
  <c r="AB125" i="11"/>
  <c r="AA125" i="11"/>
  <c r="Z125" i="11"/>
  <c r="Y125" i="11"/>
  <c r="X125" i="11"/>
  <c r="W125" i="11"/>
  <c r="V125" i="11"/>
  <c r="AO124" i="11"/>
  <c r="AN124" i="11"/>
  <c r="AM124" i="11"/>
  <c r="AL124" i="11"/>
  <c r="AK124" i="11"/>
  <c r="AJ124" i="11"/>
  <c r="AI124" i="11"/>
  <c r="AH124" i="11"/>
  <c r="AG124" i="11"/>
  <c r="AF124" i="11"/>
  <c r="AE124" i="11"/>
  <c r="AD124" i="11"/>
  <c r="AC124" i="11"/>
  <c r="AB124" i="11"/>
  <c r="AA124" i="11"/>
  <c r="Z124" i="11"/>
  <c r="Y124" i="11"/>
  <c r="X124" i="11"/>
  <c r="W124" i="11"/>
  <c r="V124" i="11"/>
  <c r="AO123" i="11"/>
  <c r="AN123" i="11"/>
  <c r="AM123" i="11"/>
  <c r="AL123" i="11"/>
  <c r="AK123" i="11"/>
  <c r="AJ123" i="11"/>
  <c r="AI123" i="11"/>
  <c r="AH123" i="11"/>
  <c r="AG123" i="11"/>
  <c r="AF123" i="11"/>
  <c r="AE123" i="11"/>
  <c r="AD123" i="11"/>
  <c r="AC123" i="11"/>
  <c r="AB123" i="11"/>
  <c r="AA123" i="11"/>
  <c r="Z123" i="11"/>
  <c r="Y123" i="11"/>
  <c r="X123" i="11"/>
  <c r="W123" i="11"/>
  <c r="V123" i="11"/>
  <c r="AO122" i="11"/>
  <c r="AN122" i="11"/>
  <c r="AM122" i="11"/>
  <c r="AL122" i="11"/>
  <c r="AK122" i="11"/>
  <c r="AJ122" i="11"/>
  <c r="AI122" i="11"/>
  <c r="AH122" i="11"/>
  <c r="AG122" i="11"/>
  <c r="AF122" i="11"/>
  <c r="AE122" i="11"/>
  <c r="AD122" i="11"/>
  <c r="AC122" i="11"/>
  <c r="AB122" i="11"/>
  <c r="AA122" i="11"/>
  <c r="Z122" i="11"/>
  <c r="Y122" i="11"/>
  <c r="X122" i="11"/>
  <c r="W122" i="11"/>
  <c r="V122" i="11"/>
  <c r="AO121" i="11"/>
  <c r="AN121" i="11"/>
  <c r="AM121" i="11"/>
  <c r="AL121" i="11"/>
  <c r="AK121" i="11"/>
  <c r="AJ121" i="11"/>
  <c r="AI121" i="11"/>
  <c r="AH121" i="11"/>
  <c r="AG121" i="11"/>
  <c r="AF121" i="11"/>
  <c r="AE121" i="11"/>
  <c r="AD121" i="11"/>
  <c r="AC121" i="11"/>
  <c r="AB121" i="11"/>
  <c r="AA121" i="11"/>
  <c r="Z121" i="11"/>
  <c r="Y121" i="11"/>
  <c r="X121" i="11"/>
  <c r="W121" i="11"/>
  <c r="V121" i="11"/>
  <c r="AO120" i="11"/>
  <c r="AN120" i="11"/>
  <c r="AM120" i="11"/>
  <c r="AL120" i="11"/>
  <c r="AK120" i="11"/>
  <c r="AJ120" i="11"/>
  <c r="AI120" i="11"/>
  <c r="AH120" i="11"/>
  <c r="AG120" i="11"/>
  <c r="AF120" i="11"/>
  <c r="AE120" i="11"/>
  <c r="AD120" i="11"/>
  <c r="AC120" i="11"/>
  <c r="AB120" i="11"/>
  <c r="AA120" i="11"/>
  <c r="Z120" i="11"/>
  <c r="Y120" i="11"/>
  <c r="X120" i="11"/>
  <c r="W120" i="11"/>
  <c r="V120" i="11"/>
  <c r="AO119" i="11"/>
  <c r="AN119" i="11"/>
  <c r="AM119" i="11"/>
  <c r="AL119" i="11"/>
  <c r="AK119" i="11"/>
  <c r="AJ119" i="11"/>
  <c r="AI119" i="11"/>
  <c r="AH119" i="11"/>
  <c r="AG119" i="11"/>
  <c r="AF119" i="11"/>
  <c r="AE119" i="11"/>
  <c r="AD119" i="11"/>
  <c r="AC119" i="11"/>
  <c r="AB119" i="11"/>
  <c r="AA119" i="11"/>
  <c r="Z119" i="11"/>
  <c r="Y119" i="11"/>
  <c r="X119" i="11"/>
  <c r="W119" i="11"/>
  <c r="V119" i="11"/>
  <c r="AO118" i="11"/>
  <c r="AN118" i="11"/>
  <c r="AM118" i="11"/>
  <c r="AL118" i="11"/>
  <c r="AK118" i="11"/>
  <c r="AJ118" i="11"/>
  <c r="AI118" i="11"/>
  <c r="AH118" i="11"/>
  <c r="AG118" i="11"/>
  <c r="AF118" i="11"/>
  <c r="AE118" i="11"/>
  <c r="AD118" i="11"/>
  <c r="AC118" i="11"/>
  <c r="AB118" i="11"/>
  <c r="AA118" i="11"/>
  <c r="Z118" i="11"/>
  <c r="Y118" i="11"/>
  <c r="X118" i="11"/>
  <c r="W118" i="11"/>
  <c r="V118" i="11"/>
  <c r="AO117" i="11"/>
  <c r="AN117" i="11"/>
  <c r="AM117" i="11"/>
  <c r="AL117" i="11"/>
  <c r="AK117" i="11"/>
  <c r="AJ117" i="11"/>
  <c r="AI117" i="11"/>
  <c r="AH117" i="11"/>
  <c r="AG117" i="11"/>
  <c r="AF117" i="11"/>
  <c r="AE117" i="11"/>
  <c r="AD117" i="11"/>
  <c r="AC117" i="11"/>
  <c r="AB117" i="11"/>
  <c r="AA117" i="11"/>
  <c r="Z117" i="11"/>
  <c r="Y117" i="11"/>
  <c r="X117" i="11"/>
  <c r="W117" i="11"/>
  <c r="V117" i="11"/>
  <c r="AO116" i="11"/>
  <c r="AN116" i="11"/>
  <c r="AM116" i="11"/>
  <c r="AL116" i="11"/>
  <c r="AK116" i="11"/>
  <c r="AJ116" i="11"/>
  <c r="AI116" i="11"/>
  <c r="AH116" i="11"/>
  <c r="AG116" i="11"/>
  <c r="AF116" i="11"/>
  <c r="AE116" i="11"/>
  <c r="AD116" i="11"/>
  <c r="AC116" i="11"/>
  <c r="AB116" i="11"/>
  <c r="AA116" i="11"/>
  <c r="Z116" i="11"/>
  <c r="Y116" i="11"/>
  <c r="X116" i="11"/>
  <c r="W116" i="11"/>
  <c r="V116" i="11"/>
  <c r="AO115" i="11"/>
  <c r="AN115" i="11"/>
  <c r="AM115" i="11"/>
  <c r="AL115" i="11"/>
  <c r="AK115" i="11"/>
  <c r="AJ115" i="11"/>
  <c r="AI115" i="11"/>
  <c r="AH115" i="11"/>
  <c r="AG115" i="11"/>
  <c r="AF115" i="11"/>
  <c r="AE115" i="11"/>
  <c r="AD115" i="11"/>
  <c r="AC115" i="11"/>
  <c r="AB115" i="11"/>
  <c r="AA115" i="11"/>
  <c r="Z115" i="11"/>
  <c r="Y115" i="11"/>
  <c r="X115" i="11"/>
  <c r="W115" i="11"/>
  <c r="V115" i="11"/>
  <c r="AO114" i="11"/>
  <c r="AN114" i="11"/>
  <c r="AM114" i="11"/>
  <c r="AL114" i="11"/>
  <c r="AK114" i="11"/>
  <c r="AJ114" i="11"/>
  <c r="AI114" i="11"/>
  <c r="AH114" i="11"/>
  <c r="AG114" i="11"/>
  <c r="AF114" i="11"/>
  <c r="AE114" i="11"/>
  <c r="AD114" i="11"/>
  <c r="AC114" i="11"/>
  <c r="AB114" i="11"/>
  <c r="AA114" i="11"/>
  <c r="Z114" i="11"/>
  <c r="Y114" i="11"/>
  <c r="X114" i="11"/>
  <c r="W114" i="11"/>
  <c r="V114" i="11"/>
  <c r="AO113" i="11"/>
  <c r="AN113" i="11"/>
  <c r="AM113" i="11"/>
  <c r="AL113" i="11"/>
  <c r="AK113" i="11"/>
  <c r="AJ113" i="11"/>
  <c r="AI113" i="11"/>
  <c r="AH113" i="11"/>
  <c r="AG113" i="11"/>
  <c r="AF113" i="11"/>
  <c r="AE113" i="11"/>
  <c r="AD113" i="11"/>
  <c r="AC113" i="11"/>
  <c r="AB113" i="11"/>
  <c r="AA113" i="11"/>
  <c r="Z113" i="11"/>
  <c r="Y113" i="11"/>
  <c r="X113" i="11"/>
  <c r="W113" i="11"/>
  <c r="V113" i="11"/>
  <c r="AO112" i="11"/>
  <c r="AN112" i="11"/>
  <c r="AM112" i="11"/>
  <c r="AL112" i="11"/>
  <c r="AK112" i="11"/>
  <c r="AJ112" i="11"/>
  <c r="AI112" i="11"/>
  <c r="AH112" i="11"/>
  <c r="AG112" i="11"/>
  <c r="AF112" i="11"/>
  <c r="AE112" i="11"/>
  <c r="AD112" i="11"/>
  <c r="AC112" i="11"/>
  <c r="AB112" i="11"/>
  <c r="AA112" i="11"/>
  <c r="Z112" i="11"/>
  <c r="Y112" i="11"/>
  <c r="X112" i="11"/>
  <c r="W112" i="11"/>
  <c r="V112" i="11"/>
  <c r="AO111" i="11"/>
  <c r="AN111" i="11"/>
  <c r="AM111" i="11"/>
  <c r="AL111" i="11"/>
  <c r="AK111" i="11"/>
  <c r="AJ111" i="11"/>
  <c r="AI111" i="11"/>
  <c r="AH111" i="11"/>
  <c r="AG111" i="11"/>
  <c r="AF111" i="11"/>
  <c r="AE111" i="11"/>
  <c r="AD111" i="11"/>
  <c r="AC111" i="11"/>
  <c r="AB111" i="11"/>
  <c r="AA111" i="11"/>
  <c r="Z111" i="11"/>
  <c r="Y111" i="11"/>
  <c r="X111" i="11"/>
  <c r="W111" i="11"/>
  <c r="V111" i="11"/>
  <c r="AO110" i="11"/>
  <c r="AN110" i="11"/>
  <c r="AM110" i="11"/>
  <c r="AL110" i="11"/>
  <c r="AK110" i="11"/>
  <c r="AJ110" i="11"/>
  <c r="AI110" i="11"/>
  <c r="AH110" i="11"/>
  <c r="AG110" i="11"/>
  <c r="AF110" i="11"/>
  <c r="AE110" i="11"/>
  <c r="AD110" i="11"/>
  <c r="AC110" i="11"/>
  <c r="AB110" i="11"/>
  <c r="AA110" i="11"/>
  <c r="Z110" i="11"/>
  <c r="Y110" i="11"/>
  <c r="X110" i="11"/>
  <c r="W110" i="11"/>
  <c r="V110" i="11"/>
  <c r="AO109" i="11"/>
  <c r="AN109" i="11"/>
  <c r="AM109" i="11"/>
  <c r="AL109" i="11"/>
  <c r="AK109" i="11"/>
  <c r="AJ109" i="11"/>
  <c r="AI109" i="11"/>
  <c r="AH109" i="11"/>
  <c r="AG109" i="11"/>
  <c r="AF109" i="11"/>
  <c r="AE109" i="11"/>
  <c r="AD109" i="11"/>
  <c r="AC109" i="11"/>
  <c r="AB109" i="11"/>
  <c r="AA109" i="11"/>
  <c r="Z109" i="11"/>
  <c r="Y109" i="11"/>
  <c r="X109" i="11"/>
  <c r="W109" i="11"/>
  <c r="V109" i="11"/>
  <c r="AO108" i="11"/>
  <c r="AN108" i="11"/>
  <c r="AM108" i="11"/>
  <c r="AL108" i="11"/>
  <c r="AK108" i="11"/>
  <c r="AJ108" i="11"/>
  <c r="AI108" i="11"/>
  <c r="AH108" i="11"/>
  <c r="AG108" i="11"/>
  <c r="AF108" i="11"/>
  <c r="AE108" i="11"/>
  <c r="AD108" i="11"/>
  <c r="AC108" i="11"/>
  <c r="AB108" i="11"/>
  <c r="AA108" i="11"/>
  <c r="Z108" i="11"/>
  <c r="Y108" i="11"/>
  <c r="X108" i="11"/>
  <c r="W108" i="11"/>
  <c r="V108" i="11"/>
  <c r="AO107" i="11"/>
  <c r="AN107" i="11"/>
  <c r="AM107" i="11"/>
  <c r="AL107" i="11"/>
  <c r="AK107" i="11"/>
  <c r="AJ107" i="11"/>
  <c r="AI107" i="11"/>
  <c r="AH107" i="11"/>
  <c r="AG107" i="11"/>
  <c r="AF107" i="11"/>
  <c r="AE107" i="11"/>
  <c r="AD107" i="11"/>
  <c r="AC107" i="11"/>
  <c r="AB107" i="11"/>
  <c r="AA107" i="11"/>
  <c r="Z107" i="11"/>
  <c r="Y107" i="11"/>
  <c r="X107" i="11"/>
  <c r="W107" i="11"/>
  <c r="V107" i="11"/>
  <c r="AO106" i="11"/>
  <c r="AN106" i="11"/>
  <c r="AM106" i="11"/>
  <c r="AL106" i="11"/>
  <c r="AK106" i="11"/>
  <c r="AJ106" i="11"/>
  <c r="AI106" i="11"/>
  <c r="AH106" i="11"/>
  <c r="AG106" i="11"/>
  <c r="AF106" i="11"/>
  <c r="AE106" i="11"/>
  <c r="AD106" i="11"/>
  <c r="AC106" i="11"/>
  <c r="AB106" i="11"/>
  <c r="AA106" i="11"/>
  <c r="Z106" i="11"/>
  <c r="Y106" i="11"/>
  <c r="X106" i="11"/>
  <c r="W106" i="11"/>
  <c r="V106" i="11"/>
  <c r="AO105" i="11"/>
  <c r="AN105" i="11"/>
  <c r="AM105" i="11"/>
  <c r="AL105" i="11"/>
  <c r="AK105" i="11"/>
  <c r="AJ105" i="11"/>
  <c r="AI105" i="11"/>
  <c r="AH105" i="11"/>
  <c r="AG105" i="11"/>
  <c r="AF105" i="11"/>
  <c r="AE105" i="11"/>
  <c r="AD105" i="11"/>
  <c r="AC105" i="11"/>
  <c r="AB105" i="11"/>
  <c r="AA105" i="11"/>
  <c r="Z105" i="11"/>
  <c r="Y105" i="11"/>
  <c r="X105" i="11"/>
  <c r="W105" i="11"/>
  <c r="V105" i="11"/>
  <c r="AO104" i="11"/>
  <c r="AN104" i="11"/>
  <c r="AM104" i="11"/>
  <c r="AL104" i="11"/>
  <c r="AK104" i="11"/>
  <c r="AJ104" i="11"/>
  <c r="AI104" i="11"/>
  <c r="AH104" i="11"/>
  <c r="AG104" i="11"/>
  <c r="AF104" i="11"/>
  <c r="AE104" i="11"/>
  <c r="AD104" i="11"/>
  <c r="AC104" i="11"/>
  <c r="AB104" i="11"/>
  <c r="AA104" i="11"/>
  <c r="Z104" i="11"/>
  <c r="Y104" i="11"/>
  <c r="X104" i="11"/>
  <c r="W104" i="11"/>
  <c r="V104" i="11"/>
  <c r="AO103" i="11"/>
  <c r="AN103" i="11"/>
  <c r="AM103" i="11"/>
  <c r="AL103" i="11"/>
  <c r="AK103" i="11"/>
  <c r="AJ103" i="11"/>
  <c r="AI103" i="11"/>
  <c r="AH103" i="11"/>
  <c r="AG103" i="11"/>
  <c r="AF103" i="11"/>
  <c r="AE103" i="11"/>
  <c r="AD103" i="11"/>
  <c r="AC103" i="11"/>
  <c r="AB103" i="11"/>
  <c r="AA103" i="11"/>
  <c r="Z103" i="11"/>
  <c r="Y103" i="11"/>
  <c r="X103" i="11"/>
  <c r="W103" i="11"/>
  <c r="V103" i="11"/>
  <c r="AO102" i="11"/>
  <c r="AN102" i="11"/>
  <c r="AM102" i="11"/>
  <c r="AL102" i="11"/>
  <c r="AK102" i="11"/>
  <c r="AJ102" i="11"/>
  <c r="AI102" i="11"/>
  <c r="AH102" i="11"/>
  <c r="AG102" i="11"/>
  <c r="AF102" i="11"/>
  <c r="AE102" i="11"/>
  <c r="AD102" i="11"/>
  <c r="AC102" i="11"/>
  <c r="AB102" i="11"/>
  <c r="AA102" i="11"/>
  <c r="Z102" i="11"/>
  <c r="Y102" i="11"/>
  <c r="X102" i="11"/>
  <c r="W102" i="11"/>
  <c r="V102" i="11"/>
  <c r="AO101" i="11"/>
  <c r="AN101" i="11"/>
  <c r="AM101" i="11"/>
  <c r="AL101" i="11"/>
  <c r="AK101" i="11"/>
  <c r="AJ101" i="11"/>
  <c r="AI101" i="11"/>
  <c r="AH101" i="11"/>
  <c r="AG101" i="11"/>
  <c r="AF101" i="11"/>
  <c r="AE101" i="11"/>
  <c r="AD101" i="11"/>
  <c r="AC101" i="11"/>
  <c r="AB101" i="11"/>
  <c r="AA101" i="11"/>
  <c r="Z101" i="11"/>
  <c r="Y101" i="11"/>
  <c r="X101" i="11"/>
  <c r="W101" i="11"/>
  <c r="V101" i="11"/>
  <c r="AO100" i="11"/>
  <c r="AN100" i="11"/>
  <c r="AM100" i="11"/>
  <c r="AL100" i="11"/>
  <c r="AK100" i="11"/>
  <c r="AJ100" i="11"/>
  <c r="AI100" i="11"/>
  <c r="AH100" i="11"/>
  <c r="AG100" i="11"/>
  <c r="AF100" i="11"/>
  <c r="AE100" i="11"/>
  <c r="AD100" i="11"/>
  <c r="AC100" i="11"/>
  <c r="AB100" i="11"/>
  <c r="AA100" i="11"/>
  <c r="Z100" i="11"/>
  <c r="Y100" i="11"/>
  <c r="X100" i="11"/>
  <c r="W100" i="11"/>
  <c r="V100" i="11"/>
  <c r="AA95" i="11"/>
  <c r="Y95" i="11"/>
  <c r="AC94" i="11"/>
  <c r="AA94" i="11"/>
  <c r="Z94" i="11"/>
  <c r="AC93" i="11"/>
  <c r="W93" i="11"/>
  <c r="V93" i="11"/>
  <c r="Z92" i="11"/>
  <c r="Y92" i="11"/>
  <c r="X92" i="11"/>
  <c r="AC91" i="11"/>
  <c r="AA91" i="11"/>
  <c r="X91" i="11"/>
  <c r="AD90" i="11"/>
  <c r="AC90" i="11"/>
  <c r="AD89" i="11"/>
  <c r="Y89" i="11"/>
  <c r="AA88" i="11"/>
  <c r="X88" i="11"/>
  <c r="W88" i="11"/>
  <c r="AC87" i="11"/>
  <c r="Z82" i="11"/>
  <c r="Y82" i="11"/>
  <c r="X82" i="11"/>
  <c r="W82" i="11"/>
  <c r="V82" i="11"/>
  <c r="Z81" i="11"/>
  <c r="Y81" i="11"/>
  <c r="X81" i="11"/>
  <c r="W81" i="11"/>
  <c r="V81" i="11"/>
  <c r="Z80" i="11"/>
  <c r="Y80" i="11"/>
  <c r="X80" i="11"/>
  <c r="W80" i="11"/>
  <c r="V80" i="11"/>
  <c r="Z79" i="11"/>
  <c r="Y79" i="11"/>
  <c r="X79" i="11"/>
  <c r="W79" i="11"/>
  <c r="V79" i="11"/>
  <c r="Z78" i="11"/>
  <c r="Y78" i="11"/>
  <c r="X78" i="11"/>
  <c r="W78" i="11"/>
  <c r="V78" i="11"/>
  <c r="Z77" i="11"/>
  <c r="Y77" i="11"/>
  <c r="X77" i="11"/>
  <c r="W77" i="11"/>
  <c r="V77" i="11"/>
  <c r="Z76" i="11"/>
  <c r="Y76" i="11"/>
  <c r="X76" i="11"/>
  <c r="W76" i="11"/>
  <c r="V76" i="11"/>
  <c r="Z75" i="11"/>
  <c r="Y75" i="11"/>
  <c r="X75" i="11"/>
  <c r="W75" i="11"/>
  <c r="V75" i="11"/>
  <c r="Z74" i="11"/>
  <c r="Y74" i="11"/>
  <c r="X74" i="11"/>
  <c r="W74" i="11"/>
  <c r="V74" i="11"/>
  <c r="Z73" i="11"/>
  <c r="Y73" i="11"/>
  <c r="X73" i="11"/>
  <c r="W73" i="11"/>
  <c r="V73" i="11"/>
  <c r="AA68" i="11"/>
  <c r="Z68" i="11"/>
  <c r="Y68" i="11"/>
  <c r="X68" i="11"/>
  <c r="W68" i="11"/>
  <c r="V68" i="11"/>
  <c r="AA67" i="11"/>
  <c r="Z67" i="11"/>
  <c r="Y67" i="11"/>
  <c r="X67" i="11"/>
  <c r="W67" i="11"/>
  <c r="V67" i="11"/>
  <c r="Z66" i="11"/>
  <c r="Y66" i="11"/>
  <c r="X66" i="11"/>
  <c r="W66" i="11"/>
  <c r="V66" i="11"/>
  <c r="AA65" i="11"/>
  <c r="Z65" i="11"/>
  <c r="Y65" i="11"/>
  <c r="X65" i="11"/>
  <c r="W65" i="11"/>
  <c r="V65" i="11"/>
  <c r="AA64" i="11"/>
  <c r="Z64" i="11"/>
  <c r="Y64" i="11"/>
  <c r="X64" i="11"/>
  <c r="W64" i="11"/>
  <c r="V64" i="11"/>
  <c r="AA63" i="11"/>
  <c r="Z63" i="11"/>
  <c r="Y63" i="11"/>
  <c r="X63" i="11"/>
  <c r="W63" i="11"/>
  <c r="V63" i="11"/>
  <c r="AA62" i="11"/>
  <c r="Z62" i="11"/>
  <c r="Y62" i="11"/>
  <c r="X62" i="11"/>
  <c r="W62" i="11"/>
  <c r="V62" i="11"/>
  <c r="AA61" i="11"/>
  <c r="Z61" i="11"/>
  <c r="Y61" i="11"/>
  <c r="X61" i="11"/>
  <c r="W61" i="11"/>
  <c r="V61" i="11"/>
  <c r="AA60" i="11"/>
  <c r="Z60" i="11"/>
  <c r="Y60" i="11"/>
  <c r="X60" i="11"/>
  <c r="W60" i="11"/>
  <c r="V60" i="11"/>
  <c r="AA59" i="11"/>
  <c r="Z59" i="11"/>
  <c r="Y59" i="11"/>
  <c r="X59" i="11"/>
  <c r="W59" i="11"/>
  <c r="V59" i="11"/>
  <c r="AQ58" i="11"/>
  <c r="D40" i="11" s="1"/>
  <c r="AA58" i="11"/>
  <c r="Z58" i="11"/>
  <c r="Y58" i="11"/>
  <c r="X58" i="11"/>
  <c r="W58" i="11"/>
  <c r="V58" i="11"/>
  <c r="AA57" i="11"/>
  <c r="Z57" i="11"/>
  <c r="Y57" i="11"/>
  <c r="X57" i="11"/>
  <c r="W57" i="11"/>
  <c r="V57" i="11"/>
  <c r="B57" i="11"/>
  <c r="AA56" i="11"/>
  <c r="Z56" i="11"/>
  <c r="Y56" i="11"/>
  <c r="X56" i="11"/>
  <c r="W56" i="11"/>
  <c r="V56" i="11"/>
  <c r="B55" i="11"/>
  <c r="B48" i="11"/>
  <c r="AQ35" i="11" s="1"/>
  <c r="B47" i="11"/>
  <c r="AQ34" i="11" s="1"/>
  <c r="AP44" i="11"/>
  <c r="B59" i="11" s="1"/>
  <c r="AP43" i="11"/>
  <c r="B58" i="11" s="1"/>
  <c r="AP42" i="11"/>
  <c r="X42" i="11"/>
  <c r="AP41" i="11"/>
  <c r="B56" i="11" s="1"/>
  <c r="X41" i="11"/>
  <c r="AP40" i="11"/>
  <c r="X40" i="11"/>
  <c r="B40" i="11"/>
  <c r="X39" i="11"/>
  <c r="X38" i="11"/>
  <c r="X37" i="11"/>
  <c r="X36" i="11"/>
  <c r="X35" i="11"/>
  <c r="Q35" i="11"/>
  <c r="P35" i="11"/>
  <c r="E18" i="11" s="1"/>
  <c r="AL9" i="11" s="1"/>
  <c r="B35" i="11"/>
  <c r="X34" i="11"/>
  <c r="J34" i="11"/>
  <c r="D35" i="11" s="1"/>
  <c r="X33" i="11"/>
  <c r="X32" i="11"/>
  <c r="AG31" i="11"/>
  <c r="X31" i="11"/>
  <c r="AC30" i="11"/>
  <c r="O99" i="11" s="1"/>
  <c r="X30" i="11"/>
  <c r="X29" i="11"/>
  <c r="B29" i="11"/>
  <c r="AQ27" i="11" s="1"/>
  <c r="X28" i="11"/>
  <c r="B27" i="11"/>
  <c r="P25" i="11"/>
  <c r="I24" i="11" s="1"/>
  <c r="G24" i="11"/>
  <c r="E24" i="11"/>
  <c r="C24" i="11"/>
  <c r="AB23" i="11"/>
  <c r="AA23" i="11"/>
  <c r="Z23" i="11"/>
  <c r="AC23" i="11" s="1"/>
  <c r="Y23" i="11"/>
  <c r="I23" i="11"/>
  <c r="G23" i="11"/>
  <c r="E23" i="11"/>
  <c r="C23" i="11"/>
  <c r="AB22" i="11"/>
  <c r="AA22" i="11"/>
  <c r="Z22" i="11"/>
  <c r="AC22" i="11" s="1"/>
  <c r="Y22" i="11"/>
  <c r="I22" i="11"/>
  <c r="G22" i="11"/>
  <c r="E22" i="11"/>
  <c r="C22" i="11"/>
  <c r="I21" i="11"/>
  <c r="G21" i="11"/>
  <c r="E21" i="11"/>
  <c r="C21" i="11"/>
  <c r="AQ20" i="11"/>
  <c r="B49" i="11" s="1"/>
  <c r="AQ36" i="11" s="1"/>
  <c r="AI20" i="11"/>
  <c r="I20" i="11"/>
  <c r="AQ19" i="11"/>
  <c r="AI19" i="11"/>
  <c r="AQ18" i="11"/>
  <c r="AL18" i="11"/>
  <c r="AI18" i="11"/>
  <c r="AJ18" i="11" s="1"/>
  <c r="I18" i="11"/>
  <c r="AI17" i="11"/>
  <c r="AI16" i="11"/>
  <c r="AI15" i="11"/>
  <c r="AJ15" i="11" s="1"/>
  <c r="AQ14" i="11"/>
  <c r="AI14" i="11"/>
  <c r="I14" i="11"/>
  <c r="AQ13" i="11"/>
  <c r="B45" i="11" s="1"/>
  <c r="AQ32" i="11" s="1"/>
  <c r="AI13" i="11"/>
  <c r="AQ12" i="11"/>
  <c r="B44" i="11" s="1"/>
  <c r="AQ31" i="11" s="1"/>
  <c r="AL12" i="11"/>
  <c r="AI12" i="11"/>
  <c r="AJ12" i="11" s="1"/>
  <c r="AI11" i="11"/>
  <c r="AB11" i="11"/>
  <c r="AA11" i="11"/>
  <c r="Z11" i="11"/>
  <c r="Y11" i="11"/>
  <c r="AI10" i="11"/>
  <c r="AB10" i="11"/>
  <c r="AA10" i="11"/>
  <c r="Z10" i="11"/>
  <c r="AC10" i="11" s="1"/>
  <c r="Y10" i="11"/>
  <c r="AI9" i="11"/>
  <c r="AJ9" i="11" s="1"/>
  <c r="AC9" i="11"/>
  <c r="AB9" i="11"/>
  <c r="AA9" i="11"/>
  <c r="Z9" i="11"/>
  <c r="Y9" i="11"/>
  <c r="AD8" i="11" s="1"/>
  <c r="AB36" i="11" s="1"/>
  <c r="AQ8" i="11"/>
  <c r="B43" i="11" s="1"/>
  <c r="AQ30" i="11" s="1"/>
  <c r="AB8" i="11"/>
  <c r="AA8" i="11"/>
  <c r="Z8" i="11"/>
  <c r="AC8" i="11" s="1"/>
  <c r="Y8" i="11"/>
  <c r="AQ7" i="11"/>
  <c r="AQ6" i="11"/>
  <c r="B41" i="11" s="1"/>
  <c r="AQ28" i="11" s="1"/>
  <c r="AE87" i="13" l="1"/>
  <c r="AE91" i="15"/>
  <c r="AE92" i="15"/>
  <c r="AE90" i="18"/>
  <c r="AE90" i="24"/>
  <c r="J28" i="26"/>
  <c r="E28" i="26" s="1"/>
  <c r="AU35" i="26"/>
  <c r="AS36" i="26"/>
  <c r="AT32" i="26"/>
  <c r="AS27" i="26"/>
  <c r="AV27" i="26"/>
  <c r="AS32" i="26"/>
  <c r="AU32" i="26"/>
  <c r="V49" i="19"/>
  <c r="AE88" i="23"/>
  <c r="AE93" i="23"/>
  <c r="AE89" i="24"/>
  <c r="AE92" i="24"/>
  <c r="Z46" i="24" s="1"/>
  <c r="AE95" i="24"/>
  <c r="AE87" i="17"/>
  <c r="AE88" i="11"/>
  <c r="AE94" i="11"/>
  <c r="AE88" i="13"/>
  <c r="AE90" i="13"/>
  <c r="AE91" i="13"/>
  <c r="AE93" i="14"/>
  <c r="AE91" i="20"/>
  <c r="V50" i="22"/>
  <c r="AE90" i="23"/>
  <c r="AE91" i="23"/>
  <c r="AE88" i="12"/>
  <c r="AE91" i="12"/>
  <c r="AE95" i="13"/>
  <c r="AE90" i="17"/>
  <c r="AE88" i="25"/>
  <c r="AE91" i="25"/>
  <c r="AE94" i="25"/>
  <c r="AE89" i="11"/>
  <c r="AE92" i="18"/>
  <c r="V50" i="20"/>
  <c r="AE94" i="23"/>
  <c r="AE89" i="23"/>
  <c r="AE95" i="23"/>
  <c r="AE94" i="15"/>
  <c r="AE95" i="17"/>
  <c r="V49" i="18"/>
  <c r="AV35" i="26"/>
  <c r="AU36" i="27"/>
  <c r="Z47" i="26"/>
  <c r="Z48" i="26" s="1"/>
  <c r="Z49" i="26" s="1"/>
  <c r="J29" i="26" s="1"/>
  <c r="E27" i="26"/>
  <c r="AS35" i="26"/>
  <c r="AT27" i="26"/>
  <c r="AT36" i="26"/>
  <c r="D27" i="26"/>
  <c r="AV36" i="26"/>
  <c r="AT35" i="26"/>
  <c r="V50" i="13"/>
  <c r="AS36" i="27"/>
  <c r="AV27" i="27"/>
  <c r="V49" i="25"/>
  <c r="V49" i="23"/>
  <c r="V49" i="24"/>
  <c r="V50" i="18"/>
  <c r="AU36" i="26"/>
  <c r="AU27" i="26"/>
  <c r="AE89" i="14"/>
  <c r="AE95" i="14"/>
  <c r="AE90" i="11"/>
  <c r="AE92" i="11"/>
  <c r="Z46" i="11" s="1"/>
  <c r="AE92" i="12"/>
  <c r="Z46" i="12" s="1"/>
  <c r="AE94" i="13"/>
  <c r="V50" i="14"/>
  <c r="AE87" i="23"/>
  <c r="V49" i="11"/>
  <c r="V49" i="13"/>
  <c r="V47" i="13" s="1"/>
  <c r="V48" i="13" s="1"/>
  <c r="V51" i="13" s="1"/>
  <c r="J27" i="13" s="1"/>
  <c r="AE87" i="14"/>
  <c r="AE92" i="14"/>
  <c r="Z46" i="14" s="1"/>
  <c r="V50" i="15"/>
  <c r="AE93" i="11"/>
  <c r="V49" i="12"/>
  <c r="AE89" i="13"/>
  <c r="AE93" i="13"/>
  <c r="AE94" i="12"/>
  <c r="AE92" i="13"/>
  <c r="Z46" i="13" s="1"/>
  <c r="AE91" i="14"/>
  <c r="V49" i="14"/>
  <c r="V47" i="14" s="1"/>
  <c r="AE89" i="18"/>
  <c r="AE95" i="18"/>
  <c r="AE87" i="22"/>
  <c r="AE91" i="24"/>
  <c r="AE88" i="17"/>
  <c r="AE91" i="17"/>
  <c r="AE94" i="17"/>
  <c r="AE90" i="20"/>
  <c r="V50" i="21"/>
  <c r="V50" i="23"/>
  <c r="AE92" i="23"/>
  <c r="Z46" i="23" s="1"/>
  <c r="AE89" i="16"/>
  <c r="AE95" i="16"/>
  <c r="AE92" i="21"/>
  <c r="AE95" i="21"/>
  <c r="V49" i="22"/>
  <c r="V47" i="22" s="1"/>
  <c r="V48" i="22" s="1"/>
  <c r="V51" i="22" s="1"/>
  <c r="J27" i="22" s="1"/>
  <c r="AE95" i="22"/>
  <c r="V50" i="24"/>
  <c r="AE87" i="25"/>
  <c r="AE89" i="25"/>
  <c r="AE93" i="25"/>
  <c r="AE95" i="25"/>
  <c r="AT36" i="27"/>
  <c r="AT32" i="27"/>
  <c r="AT27" i="27"/>
  <c r="AE95" i="15"/>
  <c r="AE91" i="16"/>
  <c r="AE88" i="18"/>
  <c r="AE94" i="18"/>
  <c r="AE87" i="19"/>
  <c r="AE89" i="19"/>
  <c r="AE91" i="19"/>
  <c r="AE93" i="19"/>
  <c r="AE95" i="19"/>
  <c r="AE94" i="20"/>
  <c r="AE88" i="14"/>
  <c r="AE87" i="16"/>
  <c r="AE93" i="16"/>
  <c r="AE87" i="21"/>
  <c r="AE90" i="22"/>
  <c r="AE87" i="24"/>
  <c r="AE93" i="24"/>
  <c r="AV32" i="26"/>
  <c r="AE87" i="15"/>
  <c r="AE90" i="15"/>
  <c r="AE92" i="16"/>
  <c r="Z46" i="16" s="1"/>
  <c r="V50" i="19"/>
  <c r="V49" i="20"/>
  <c r="V47" i="20" s="1"/>
  <c r="V48" i="20" s="1"/>
  <c r="V51" i="20" s="1"/>
  <c r="J27" i="20" s="1"/>
  <c r="AE95" i="20"/>
  <c r="AE88" i="24"/>
  <c r="AE94" i="24"/>
  <c r="V50" i="25"/>
  <c r="AE90" i="25"/>
  <c r="AE92" i="25"/>
  <c r="Z46" i="25" s="1"/>
  <c r="V50" i="16"/>
  <c r="V50" i="17"/>
  <c r="Z46" i="18"/>
  <c r="AE87" i="18"/>
  <c r="AE91" i="18"/>
  <c r="AE93" i="18"/>
  <c r="AE88" i="19"/>
  <c r="AE90" i="19"/>
  <c r="AE92" i="19"/>
  <c r="Z46" i="19" s="1"/>
  <c r="AE94" i="19"/>
  <c r="AE92" i="20"/>
  <c r="AE90" i="21"/>
  <c r="AE91" i="21"/>
  <c r="AE94" i="22"/>
  <c r="O99" i="27"/>
  <c r="AS5" i="27"/>
  <c r="AT28" i="27"/>
  <c r="AU28" i="27"/>
  <c r="AS28" i="27"/>
  <c r="AV28" i="27"/>
  <c r="AU5" i="27"/>
  <c r="Q99" i="27"/>
  <c r="Z47" i="27"/>
  <c r="Z48" i="27" s="1"/>
  <c r="Z49" i="27" s="1"/>
  <c r="J29" i="27" s="1"/>
  <c r="AT31" i="27"/>
  <c r="AS31" i="27"/>
  <c r="AV31" i="27"/>
  <c r="AU31" i="27"/>
  <c r="AV29" i="27"/>
  <c r="AU29" i="27"/>
  <c r="AT29" i="27"/>
  <c r="AS29" i="27"/>
  <c r="AT34" i="27"/>
  <c r="AS34" i="27"/>
  <c r="AV34" i="27"/>
  <c r="AU34" i="27"/>
  <c r="AT30" i="27"/>
  <c r="AS30" i="27"/>
  <c r="AV30" i="27"/>
  <c r="AU30" i="27"/>
  <c r="J28" i="27"/>
  <c r="E27" i="27"/>
  <c r="D27" i="27"/>
  <c r="AT33" i="27"/>
  <c r="AU35" i="27"/>
  <c r="AS35" i="27"/>
  <c r="AU33" i="27"/>
  <c r="AU32" i="27"/>
  <c r="AV33" i="27"/>
  <c r="O114" i="27"/>
  <c r="AS27" i="27"/>
  <c r="AV32" i="27"/>
  <c r="AT35" i="27"/>
  <c r="AS32" i="27"/>
  <c r="AV36" i="27"/>
  <c r="AS33" i="27"/>
  <c r="AV8" i="27"/>
  <c r="AV7" i="27"/>
  <c r="AV6" i="27"/>
  <c r="AU27" i="27"/>
  <c r="AT30" i="26"/>
  <c r="AS30" i="26"/>
  <c r="AV30" i="26"/>
  <c r="AU30" i="26"/>
  <c r="O114" i="26"/>
  <c r="D29" i="26"/>
  <c r="J30" i="26"/>
  <c r="E29" i="26"/>
  <c r="AT31" i="26"/>
  <c r="AV31" i="26"/>
  <c r="AU31" i="26"/>
  <c r="AS31" i="26"/>
  <c r="AT34" i="26"/>
  <c r="AV34" i="26"/>
  <c r="AU34" i="26"/>
  <c r="AS34" i="26"/>
  <c r="AS33" i="26"/>
  <c r="AT33" i="26"/>
  <c r="AV33" i="26"/>
  <c r="AU33" i="26"/>
  <c r="AV8" i="26"/>
  <c r="AV7" i="26"/>
  <c r="AV6" i="26"/>
  <c r="AV29" i="26"/>
  <c r="AT29" i="26"/>
  <c r="AS29" i="26"/>
  <c r="AU29" i="26"/>
  <c r="AT28" i="26"/>
  <c r="AS28" i="26"/>
  <c r="AV28" i="26"/>
  <c r="AU28" i="26"/>
  <c r="AL9" i="23"/>
  <c r="AK9" i="23" s="1"/>
  <c r="AS26" i="23" s="1"/>
  <c r="N114" i="23" s="1"/>
  <c r="AL12" i="23"/>
  <c r="AD8" i="21"/>
  <c r="AB36" i="21" s="1"/>
  <c r="AC31" i="21" s="1"/>
  <c r="AK15" i="21"/>
  <c r="AU26" i="21" s="1"/>
  <c r="AD22" i="21"/>
  <c r="AB39" i="21" s="1"/>
  <c r="AC32" i="21" s="1"/>
  <c r="Q99" i="21" s="1"/>
  <c r="J35" i="21"/>
  <c r="AK9" i="21"/>
  <c r="AS26" i="21" s="1"/>
  <c r="N114" i="21" s="1"/>
  <c r="E35" i="20"/>
  <c r="D36" i="20"/>
  <c r="AC10" i="20"/>
  <c r="AD22" i="20"/>
  <c r="AB39" i="20" s="1"/>
  <c r="AC32" i="20" s="1"/>
  <c r="AU5" i="20" s="1"/>
  <c r="P24" i="20"/>
  <c r="G20" i="20" s="1"/>
  <c r="D35" i="20"/>
  <c r="AC31" i="19"/>
  <c r="P99" i="19" s="1"/>
  <c r="AL18" i="19"/>
  <c r="AK18" i="19" s="1"/>
  <c r="AV26" i="19" s="1"/>
  <c r="Q114" i="19" s="1"/>
  <c r="AC32" i="19"/>
  <c r="Q99" i="19" s="1"/>
  <c r="AL12" i="19"/>
  <c r="AK12" i="19" s="1"/>
  <c r="AT26" i="19" s="1"/>
  <c r="E35" i="19"/>
  <c r="J35" i="19"/>
  <c r="E36" i="19" s="1"/>
  <c r="E35" i="18"/>
  <c r="AD22" i="17"/>
  <c r="AB39" i="17" s="1"/>
  <c r="AC32" i="17" s="1"/>
  <c r="AU5" i="17" s="1"/>
  <c r="AL18" i="25"/>
  <c r="AK18" i="25" s="1"/>
  <c r="AV26" i="25" s="1"/>
  <c r="Q114" i="25" s="1"/>
  <c r="AL12" i="25"/>
  <c r="AC30" i="25"/>
  <c r="O99" i="25" s="1"/>
  <c r="AC31" i="25"/>
  <c r="P99" i="25" s="1"/>
  <c r="AL15" i="25"/>
  <c r="AK15" i="25" s="1"/>
  <c r="AU26" i="25" s="1"/>
  <c r="P114" i="25" s="1"/>
  <c r="AL9" i="25"/>
  <c r="AK9" i="25" s="1"/>
  <c r="AS26" i="25" s="1"/>
  <c r="N114" i="25" s="1"/>
  <c r="AK12" i="25"/>
  <c r="AT26" i="25" s="1"/>
  <c r="O114" i="25" s="1"/>
  <c r="AD22" i="25"/>
  <c r="AB39" i="25" s="1"/>
  <c r="AC32" i="25" s="1"/>
  <c r="Q99" i="25" s="1"/>
  <c r="P24" i="25"/>
  <c r="E35" i="25"/>
  <c r="J35" i="16"/>
  <c r="E35" i="16"/>
  <c r="D40" i="16"/>
  <c r="AL18" i="15"/>
  <c r="AL15" i="15"/>
  <c r="AL12" i="15"/>
  <c r="AL9" i="15"/>
  <c r="AK9" i="15" s="1"/>
  <c r="AS26" i="15" s="1"/>
  <c r="N114" i="15" s="1"/>
  <c r="AK15" i="15"/>
  <c r="AU26" i="15" s="1"/>
  <c r="AK12" i="15"/>
  <c r="AT26" i="15" s="1"/>
  <c r="AK18" i="15"/>
  <c r="AV26" i="15" s="1"/>
  <c r="AD8" i="15"/>
  <c r="AB36" i="15" s="1"/>
  <c r="AC31" i="15" s="1"/>
  <c r="P99" i="15" s="1"/>
  <c r="AL15" i="23"/>
  <c r="AK15" i="23" s="1"/>
  <c r="AU26" i="23" s="1"/>
  <c r="P114" i="23" s="1"/>
  <c r="AC30" i="23"/>
  <c r="O99" i="23" s="1"/>
  <c r="AK18" i="23"/>
  <c r="AV26" i="23" s="1"/>
  <c r="Q114" i="23" s="1"/>
  <c r="AC31" i="23"/>
  <c r="AT5" i="23" s="1"/>
  <c r="AK12" i="23"/>
  <c r="AT26" i="23" s="1"/>
  <c r="O114" i="23" s="1"/>
  <c r="AD22" i="23"/>
  <c r="AB39" i="23" s="1"/>
  <c r="AC32" i="23" s="1"/>
  <c r="Q99" i="23" s="1"/>
  <c r="P24" i="23"/>
  <c r="E35" i="23"/>
  <c r="E40" i="11"/>
  <c r="AC11" i="11"/>
  <c r="E40" i="24"/>
  <c r="AU5" i="25"/>
  <c r="J35" i="25"/>
  <c r="B45" i="25"/>
  <c r="AQ32" i="25" s="1"/>
  <c r="B49" i="25"/>
  <c r="AQ36" i="25" s="1"/>
  <c r="AS5" i="25"/>
  <c r="E35" i="24"/>
  <c r="AD8" i="24"/>
  <c r="AB36" i="24" s="1"/>
  <c r="AC31" i="24" s="1"/>
  <c r="AT5" i="24" s="1"/>
  <c r="P24" i="24"/>
  <c r="AC22" i="24"/>
  <c r="AD22" i="24" s="1"/>
  <c r="AB39" i="24" s="1"/>
  <c r="AC32" i="24" s="1"/>
  <c r="AL15" i="24"/>
  <c r="AK15" i="24" s="1"/>
  <c r="AU26" i="24" s="1"/>
  <c r="AL9" i="24"/>
  <c r="AK18" i="24"/>
  <c r="AV26" i="24" s="1"/>
  <c r="AC30" i="24"/>
  <c r="AK9" i="24"/>
  <c r="AS26" i="24" s="1"/>
  <c r="AK12" i="24"/>
  <c r="AT26" i="24" s="1"/>
  <c r="J35" i="24"/>
  <c r="B46" i="24"/>
  <c r="AQ33" i="24" s="1"/>
  <c r="B42" i="24"/>
  <c r="AQ29" i="24" s="1"/>
  <c r="J35" i="23"/>
  <c r="B46" i="23"/>
  <c r="AQ33" i="23" s="1"/>
  <c r="B42" i="23"/>
  <c r="AQ29" i="23" s="1"/>
  <c r="P99" i="22"/>
  <c r="AS5" i="22"/>
  <c r="AL12" i="22"/>
  <c r="AK12" i="22" s="1"/>
  <c r="AT26" i="22" s="1"/>
  <c r="AL18" i="22"/>
  <c r="AK18" i="22" s="1"/>
  <c r="AV26" i="22" s="1"/>
  <c r="AL15" i="22"/>
  <c r="AK15" i="22" s="1"/>
  <c r="AU26" i="22" s="1"/>
  <c r="AE91" i="22"/>
  <c r="AL9" i="22"/>
  <c r="AK9" i="22" s="1"/>
  <c r="AS26" i="22" s="1"/>
  <c r="B42" i="22"/>
  <c r="AQ29" i="22" s="1"/>
  <c r="AE88" i="22"/>
  <c r="B45" i="22"/>
  <c r="AQ32" i="22" s="1"/>
  <c r="B49" i="22"/>
  <c r="AQ36" i="22" s="1"/>
  <c r="AE92" i="22"/>
  <c r="AQ59" i="22"/>
  <c r="AE93" i="22"/>
  <c r="B46" i="22"/>
  <c r="AQ33" i="22" s="1"/>
  <c r="B48" i="22"/>
  <c r="AQ35" i="22" s="1"/>
  <c r="G20" i="22"/>
  <c r="AC23" i="22"/>
  <c r="AD22" i="22" s="1"/>
  <c r="AB39" i="22" s="1"/>
  <c r="AC32" i="22" s="1"/>
  <c r="J35" i="22"/>
  <c r="E35" i="22"/>
  <c r="AE89" i="22"/>
  <c r="Z46" i="22" s="1"/>
  <c r="P114" i="21"/>
  <c r="AE89" i="21"/>
  <c r="V49" i="21"/>
  <c r="V47" i="21" s="1"/>
  <c r="V48" i="21" s="1"/>
  <c r="V51" i="21" s="1"/>
  <c r="J27" i="21" s="1"/>
  <c r="AE93" i="21"/>
  <c r="AE94" i="21"/>
  <c r="E40" i="21"/>
  <c r="Z46" i="21"/>
  <c r="B46" i="21"/>
  <c r="AQ33" i="21" s="1"/>
  <c r="AL18" i="21"/>
  <c r="AK18" i="21" s="1"/>
  <c r="AV26" i="21" s="1"/>
  <c r="AL12" i="21"/>
  <c r="AK12" i="21" s="1"/>
  <c r="AT26" i="21" s="1"/>
  <c r="B42" i="21"/>
  <c r="AQ29" i="21" s="1"/>
  <c r="AE88" i="21"/>
  <c r="B41" i="21"/>
  <c r="AQ28" i="21" s="1"/>
  <c r="B44" i="21"/>
  <c r="AQ31" i="21" s="1"/>
  <c r="AS5" i="20"/>
  <c r="AK15" i="20"/>
  <c r="AU26" i="20" s="1"/>
  <c r="AL9" i="20"/>
  <c r="AK9" i="20" s="1"/>
  <c r="AS26" i="20" s="1"/>
  <c r="AL18" i="20"/>
  <c r="AL15" i="20"/>
  <c r="AL12" i="20"/>
  <c r="AK12" i="20" s="1"/>
  <c r="AT26" i="20" s="1"/>
  <c r="AD8" i="20"/>
  <c r="AB36" i="20" s="1"/>
  <c r="AC31" i="20" s="1"/>
  <c r="AK18" i="20"/>
  <c r="AV26" i="20" s="1"/>
  <c r="B46" i="20"/>
  <c r="AQ33" i="20" s="1"/>
  <c r="B45" i="20"/>
  <c r="AQ32" i="20" s="1"/>
  <c r="B42" i="20"/>
  <c r="AQ29" i="20" s="1"/>
  <c r="B48" i="20"/>
  <c r="AQ35" i="20" s="1"/>
  <c r="AE88" i="20"/>
  <c r="Z46" i="20"/>
  <c r="B49" i="20"/>
  <c r="AQ36" i="20" s="1"/>
  <c r="AQ59" i="20"/>
  <c r="AE89" i="20"/>
  <c r="AE93" i="20"/>
  <c r="AT5" i="19"/>
  <c r="O99" i="19"/>
  <c r="AS5" i="19"/>
  <c r="AL15" i="19"/>
  <c r="AK15" i="19" s="1"/>
  <c r="AU26" i="19" s="1"/>
  <c r="AL9" i="19"/>
  <c r="AK9" i="19"/>
  <c r="AS26" i="19" s="1"/>
  <c r="V47" i="19"/>
  <c r="V48" i="19" s="1"/>
  <c r="V51" i="19" s="1"/>
  <c r="J27" i="19" s="1"/>
  <c r="AT36" i="19" s="1"/>
  <c r="B43" i="19"/>
  <c r="AQ30" i="19" s="1"/>
  <c r="D36" i="19"/>
  <c r="B42" i="19"/>
  <c r="AQ29" i="19" s="1"/>
  <c r="B47" i="19"/>
  <c r="AQ34" i="19" s="1"/>
  <c r="AL15" i="18"/>
  <c r="AC30" i="18"/>
  <c r="O99" i="18" s="1"/>
  <c r="AL12" i="18"/>
  <c r="AK12" i="18" s="1"/>
  <c r="AT26" i="18" s="1"/>
  <c r="AL18" i="18"/>
  <c r="AK18" i="18" s="1"/>
  <c r="AV26" i="18" s="1"/>
  <c r="Q114" i="18" s="1"/>
  <c r="AC31" i="18"/>
  <c r="P99" i="18" s="1"/>
  <c r="AC32" i="18"/>
  <c r="AS5" i="17"/>
  <c r="AT5" i="18"/>
  <c r="V47" i="18"/>
  <c r="V48" i="18" s="1"/>
  <c r="V51" i="18" s="1"/>
  <c r="J27" i="18" s="1"/>
  <c r="AS31" i="18" s="1"/>
  <c r="G20" i="18"/>
  <c r="Q99" i="18"/>
  <c r="AU5" i="18"/>
  <c r="O114" i="18"/>
  <c r="AK15" i="18"/>
  <c r="AU26" i="18" s="1"/>
  <c r="I24" i="18"/>
  <c r="J35" i="18"/>
  <c r="B45" i="18"/>
  <c r="AQ32" i="18" s="1"/>
  <c r="B49" i="18"/>
  <c r="AQ36" i="18" s="1"/>
  <c r="AS5" i="18"/>
  <c r="AL9" i="18"/>
  <c r="AK9" i="18" s="1"/>
  <c r="AS26" i="18" s="1"/>
  <c r="P99" i="17"/>
  <c r="AT5" i="17"/>
  <c r="AL18" i="17"/>
  <c r="AL15" i="17"/>
  <c r="AK15" i="17" s="1"/>
  <c r="AU26" i="17" s="1"/>
  <c r="AL9" i="17"/>
  <c r="AK9" i="17" s="1"/>
  <c r="AS26" i="17" s="1"/>
  <c r="AL12" i="17"/>
  <c r="AK12" i="17" s="1"/>
  <c r="AT26" i="17" s="1"/>
  <c r="AK18" i="17"/>
  <c r="AV26" i="17" s="1"/>
  <c r="B49" i="17"/>
  <c r="AQ36" i="17" s="1"/>
  <c r="AE93" i="17"/>
  <c r="B46" i="17"/>
  <c r="AQ33" i="17" s="1"/>
  <c r="B48" i="17"/>
  <c r="AQ35" i="17" s="1"/>
  <c r="AQ59" i="17"/>
  <c r="V49" i="17"/>
  <c r="V47" i="17" s="1"/>
  <c r="V48" i="17" s="1"/>
  <c r="V51" i="17" s="1"/>
  <c r="J27" i="17" s="1"/>
  <c r="AE89" i="17"/>
  <c r="AE92" i="17"/>
  <c r="Z46" i="17" s="1"/>
  <c r="B45" i="17"/>
  <c r="AQ32" i="17" s="1"/>
  <c r="J35" i="17"/>
  <c r="E35" i="17"/>
  <c r="P99" i="16"/>
  <c r="AT5" i="16"/>
  <c r="AK12" i="16"/>
  <c r="AT26" i="16" s="1"/>
  <c r="O99" i="16"/>
  <c r="AS5" i="16"/>
  <c r="AL15" i="16"/>
  <c r="AK15" i="16" s="1"/>
  <c r="AU26" i="16" s="1"/>
  <c r="AL9" i="16"/>
  <c r="AK9" i="16" s="1"/>
  <c r="AS26" i="16" s="1"/>
  <c r="AL12" i="16"/>
  <c r="AL18" i="16"/>
  <c r="AK18" i="16" s="1"/>
  <c r="AV26" i="16" s="1"/>
  <c r="AE94" i="16"/>
  <c r="B44" i="16"/>
  <c r="AQ31" i="16" s="1"/>
  <c r="B47" i="16"/>
  <c r="AQ34" i="16" s="1"/>
  <c r="AE88" i="16"/>
  <c r="B41" i="16"/>
  <c r="AQ28" i="16" s="1"/>
  <c r="E36" i="16"/>
  <c r="D36" i="16"/>
  <c r="V49" i="16"/>
  <c r="V47" i="16" s="1"/>
  <c r="V48" i="16" s="1"/>
  <c r="V51" i="16" s="1"/>
  <c r="J27" i="16" s="1"/>
  <c r="AU33" i="16" s="1"/>
  <c r="AE90" i="16"/>
  <c r="B42" i="16"/>
  <c r="AQ29" i="16" s="1"/>
  <c r="Q114" i="15"/>
  <c r="P114" i="15"/>
  <c r="Q99" i="15"/>
  <c r="AU5" i="15"/>
  <c r="O114" i="15"/>
  <c r="J35" i="15"/>
  <c r="E35" i="15"/>
  <c r="Z46" i="15"/>
  <c r="B46" i="15"/>
  <c r="AQ33" i="15" s="1"/>
  <c r="D35" i="15"/>
  <c r="E40" i="15"/>
  <c r="V49" i="15"/>
  <c r="V47" i="15" s="1"/>
  <c r="V48" i="15" s="1"/>
  <c r="V51" i="15" s="1"/>
  <c r="J27" i="15" s="1"/>
  <c r="AV29" i="15" s="1"/>
  <c r="AE89" i="15"/>
  <c r="B49" i="15"/>
  <c r="AQ36" i="15" s="1"/>
  <c r="B45" i="15"/>
  <c r="AQ32" i="15" s="1"/>
  <c r="B48" i="15"/>
  <c r="AQ35" i="15" s="1"/>
  <c r="AE88" i="15"/>
  <c r="AE93" i="15"/>
  <c r="AC31" i="14"/>
  <c r="AC32" i="14"/>
  <c r="Q99" i="14" s="1"/>
  <c r="N114" i="14"/>
  <c r="P114" i="14"/>
  <c r="AE90" i="14"/>
  <c r="AE94" i="14"/>
  <c r="P99" i="14"/>
  <c r="AT5" i="14"/>
  <c r="AK18" i="14"/>
  <c r="AV26" i="14" s="1"/>
  <c r="O99" i="14"/>
  <c r="AS5" i="14"/>
  <c r="J35" i="14"/>
  <c r="B46" i="14"/>
  <c r="AQ33" i="14" s="1"/>
  <c r="B42" i="14"/>
  <c r="AQ29" i="14" s="1"/>
  <c r="AS5" i="13"/>
  <c r="E40" i="13"/>
  <c r="P114" i="13"/>
  <c r="AQ29" i="13"/>
  <c r="B46" i="13"/>
  <c r="AQ33" i="13" s="1"/>
  <c r="AD22" i="13"/>
  <c r="AB39" i="13" s="1"/>
  <c r="AC32" i="13" s="1"/>
  <c r="G20" i="13"/>
  <c r="AD8" i="13"/>
  <c r="AB36" i="13" s="1"/>
  <c r="AC31" i="13" s="1"/>
  <c r="AK9" i="13"/>
  <c r="AS26" i="13" s="1"/>
  <c r="AL18" i="13"/>
  <c r="AK18" i="13" s="1"/>
  <c r="AV26" i="13" s="1"/>
  <c r="AL12" i="13"/>
  <c r="AK12" i="13" s="1"/>
  <c r="AT26" i="13" s="1"/>
  <c r="D36" i="13"/>
  <c r="D35" i="13"/>
  <c r="E35" i="13"/>
  <c r="B48" i="13"/>
  <c r="AQ35" i="13" s="1"/>
  <c r="E35" i="12"/>
  <c r="AK12" i="11"/>
  <c r="AT26" i="11" s="1"/>
  <c r="O114" i="11" s="1"/>
  <c r="AL15" i="11"/>
  <c r="AK15" i="11" s="1"/>
  <c r="AU26" i="11" s="1"/>
  <c r="AK18" i="11"/>
  <c r="AV26" i="11" s="1"/>
  <c r="Q114" i="11" s="1"/>
  <c r="E35" i="11"/>
  <c r="AD22" i="11"/>
  <c r="AB39" i="11" s="1"/>
  <c r="AC32" i="11" s="1"/>
  <c r="AU5" i="11" s="1"/>
  <c r="P24" i="11"/>
  <c r="G20" i="11" s="1"/>
  <c r="AU5" i="12"/>
  <c r="AC31" i="12"/>
  <c r="AT5" i="12" s="1"/>
  <c r="Q114" i="12"/>
  <c r="B48" i="12"/>
  <c r="AQ35" i="12" s="1"/>
  <c r="P114" i="12"/>
  <c r="B41" i="12"/>
  <c r="AQ28" i="12" s="1"/>
  <c r="N114" i="12"/>
  <c r="P24" i="12"/>
  <c r="I24" i="12"/>
  <c r="AE93" i="12"/>
  <c r="B42" i="12"/>
  <c r="AQ29" i="12" s="1"/>
  <c r="B45" i="12"/>
  <c r="AQ32" i="12" s="1"/>
  <c r="B49" i="12"/>
  <c r="AQ36" i="12" s="1"/>
  <c r="AC30" i="12"/>
  <c r="E36" i="12"/>
  <c r="AE87" i="12"/>
  <c r="AE95" i="12"/>
  <c r="V50" i="12"/>
  <c r="AE89" i="12"/>
  <c r="AS5" i="11"/>
  <c r="AK9" i="11"/>
  <c r="AS26" i="11" s="1"/>
  <c r="B46" i="11"/>
  <c r="AQ33" i="11" s="1"/>
  <c r="AC31" i="11"/>
  <c r="V50" i="11"/>
  <c r="AE87" i="11"/>
  <c r="AE91" i="11"/>
  <c r="AE95" i="11"/>
  <c r="B42" i="11"/>
  <c r="AQ29" i="11" s="1"/>
  <c r="J35" i="11"/>
  <c r="X29" i="7"/>
  <c r="X30" i="7"/>
  <c r="X31" i="7"/>
  <c r="X32" i="7"/>
  <c r="X33" i="7"/>
  <c r="X34" i="7"/>
  <c r="X35" i="7"/>
  <c r="X36" i="7"/>
  <c r="X37" i="7"/>
  <c r="X38" i="7"/>
  <c r="X39" i="7"/>
  <c r="X40" i="7"/>
  <c r="X41" i="7"/>
  <c r="X42" i="7"/>
  <c r="X28" i="7"/>
  <c r="D28" i="26" l="1"/>
  <c r="AS35" i="18"/>
  <c r="AV34" i="18"/>
  <c r="AS29" i="18"/>
  <c r="AT28" i="20"/>
  <c r="AS34" i="20"/>
  <c r="AS33" i="18"/>
  <c r="AU30" i="20"/>
  <c r="Z47" i="21"/>
  <c r="Z48" i="21" s="1"/>
  <c r="Z49" i="21" s="1"/>
  <c r="J29" i="21" s="1"/>
  <c r="D29" i="21" s="1"/>
  <c r="E27" i="20"/>
  <c r="AS30" i="20"/>
  <c r="Z47" i="20"/>
  <c r="Z48" i="20" s="1"/>
  <c r="Z49" i="20" s="1"/>
  <c r="J29" i="20" s="1"/>
  <c r="J30" i="20" s="1"/>
  <c r="AV30" i="20"/>
  <c r="AU28" i="20"/>
  <c r="V48" i="14"/>
  <c r="V51" i="14" s="1"/>
  <c r="J27" i="14" s="1"/>
  <c r="Z47" i="14"/>
  <c r="Z48" i="14" s="1"/>
  <c r="Z49" i="14" s="1"/>
  <c r="J29" i="14" s="1"/>
  <c r="J30" i="14" s="1"/>
  <c r="AS30" i="18"/>
  <c r="AS28" i="18"/>
  <c r="AU32" i="19"/>
  <c r="AU36" i="19"/>
  <c r="AT33" i="19"/>
  <c r="D27" i="22"/>
  <c r="J28" i="22"/>
  <c r="E27" i="22"/>
  <c r="AS36" i="19"/>
  <c r="AT27" i="20"/>
  <c r="AV31" i="20"/>
  <c r="AV27" i="20"/>
  <c r="AS28" i="20"/>
  <c r="AT34" i="20"/>
  <c r="AU34" i="20"/>
  <c r="AT30" i="20"/>
  <c r="AS31" i="20"/>
  <c r="D27" i="20"/>
  <c r="AV28" i="20"/>
  <c r="AT28" i="15"/>
  <c r="AU31" i="20"/>
  <c r="AS27" i="20"/>
  <c r="AV36" i="19"/>
  <c r="AU27" i="20"/>
  <c r="AT31" i="20"/>
  <c r="AV34" i="20"/>
  <c r="J28" i="20"/>
  <c r="D28" i="20" s="1"/>
  <c r="Z47" i="22"/>
  <c r="Z48" i="22" s="1"/>
  <c r="Z49" i="22" s="1"/>
  <c r="J29" i="22" s="1"/>
  <c r="AU27" i="22" s="1"/>
  <c r="AU31" i="15"/>
  <c r="AT27" i="15"/>
  <c r="AS28" i="15"/>
  <c r="AT29" i="15"/>
  <c r="AU28" i="19"/>
  <c r="Z47" i="19"/>
  <c r="Z48" i="19" s="1"/>
  <c r="Z49" i="19" s="1"/>
  <c r="J29" i="19" s="1"/>
  <c r="D29" i="19" s="1"/>
  <c r="AU24" i="27"/>
  <c r="AU37" i="27" s="1"/>
  <c r="AT40" i="27" s="1"/>
  <c r="AT24" i="27"/>
  <c r="AT37" i="27" s="1"/>
  <c r="AS40" i="27" s="1"/>
  <c r="E28" i="27"/>
  <c r="D28" i="27"/>
  <c r="AV24" i="27"/>
  <c r="AV37" i="27" s="1"/>
  <c r="AU6" i="27"/>
  <c r="J39" i="27"/>
  <c r="AS6" i="27"/>
  <c r="AT6" i="27"/>
  <c r="AS24" i="27"/>
  <c r="AS37" i="27" s="1"/>
  <c r="D29" i="27"/>
  <c r="J30" i="27"/>
  <c r="E29" i="27"/>
  <c r="J40" i="27"/>
  <c r="AU7" i="27"/>
  <c r="AT7" i="27"/>
  <c r="AS7" i="27"/>
  <c r="J41" i="27"/>
  <c r="AT8" i="27"/>
  <c r="AS8" i="27"/>
  <c r="AU8" i="27"/>
  <c r="AT24" i="26"/>
  <c r="AT37" i="26" s="1"/>
  <c r="AS40" i="26" s="1"/>
  <c r="AV24" i="26"/>
  <c r="AV37" i="26" s="1"/>
  <c r="AU40" i="26" s="1"/>
  <c r="AU24" i="26"/>
  <c r="AU37" i="26" s="1"/>
  <c r="AT42" i="26" s="1"/>
  <c r="AS24" i="26"/>
  <c r="AS37" i="26" s="1"/>
  <c r="AR40" i="26" s="1"/>
  <c r="J39" i="26"/>
  <c r="AT6" i="26"/>
  <c r="AU6" i="26"/>
  <c r="AS6" i="26"/>
  <c r="J40" i="26"/>
  <c r="AT7" i="26"/>
  <c r="AS7" i="26"/>
  <c r="AU7" i="26"/>
  <c r="J41" i="26"/>
  <c r="AU8" i="26"/>
  <c r="AS8" i="26"/>
  <c r="AT8" i="26"/>
  <c r="E30" i="26"/>
  <c r="D30" i="26"/>
  <c r="AS5" i="23"/>
  <c r="AU5" i="21"/>
  <c r="E36" i="21"/>
  <c r="D36" i="21"/>
  <c r="Q99" i="20"/>
  <c r="AU5" i="19"/>
  <c r="Q99" i="17"/>
  <c r="AT5" i="25"/>
  <c r="AV7" i="25" s="1"/>
  <c r="V47" i="25"/>
  <c r="G20" i="25"/>
  <c r="AT5" i="15"/>
  <c r="AU30" i="15"/>
  <c r="AV27" i="15"/>
  <c r="AV34" i="15"/>
  <c r="Z47" i="15"/>
  <c r="Z48" i="15" s="1"/>
  <c r="Z49" i="15" s="1"/>
  <c r="J29" i="15" s="1"/>
  <c r="J30" i="15" s="1"/>
  <c r="P99" i="23"/>
  <c r="AU5" i="23"/>
  <c r="V47" i="23"/>
  <c r="G20" i="23"/>
  <c r="V47" i="11"/>
  <c r="V48" i="11" s="1"/>
  <c r="V51" i="11" s="1"/>
  <c r="J27" i="11" s="1"/>
  <c r="AT32" i="11" s="1"/>
  <c r="P99" i="24"/>
  <c r="Q99" i="24"/>
  <c r="AU5" i="24"/>
  <c r="E36" i="25"/>
  <c r="D36" i="25"/>
  <c r="AV6" i="25"/>
  <c r="V47" i="24"/>
  <c r="G20" i="24"/>
  <c r="P114" i="24"/>
  <c r="O99" i="24"/>
  <c r="AS5" i="24"/>
  <c r="E36" i="24"/>
  <c r="D36" i="24"/>
  <c r="N114" i="24"/>
  <c r="Q114" i="24"/>
  <c r="O114" i="24"/>
  <c r="AV7" i="24"/>
  <c r="AV8" i="24"/>
  <c r="AV6" i="24"/>
  <c r="E36" i="23"/>
  <c r="D36" i="23"/>
  <c r="AV7" i="23"/>
  <c r="AV8" i="23"/>
  <c r="AV6" i="23"/>
  <c r="AT5" i="22"/>
  <c r="P114" i="22"/>
  <c r="Q99" i="22"/>
  <c r="AU5" i="22"/>
  <c r="E36" i="22"/>
  <c r="D36" i="22"/>
  <c r="Q114" i="22"/>
  <c r="AV35" i="22"/>
  <c r="AU35" i="22"/>
  <c r="AT35" i="22"/>
  <c r="AS35" i="22"/>
  <c r="O114" i="22"/>
  <c r="AV8" i="22"/>
  <c r="AV6" i="22"/>
  <c r="AV7" i="22"/>
  <c r="D40" i="22"/>
  <c r="E40" i="22"/>
  <c r="D28" i="22"/>
  <c r="E28" i="22"/>
  <c r="N114" i="22"/>
  <c r="D27" i="21"/>
  <c r="J28" i="21"/>
  <c r="AT27" i="21"/>
  <c r="AT32" i="21"/>
  <c r="E27" i="21"/>
  <c r="AV35" i="21"/>
  <c r="AT36" i="21"/>
  <c r="AU32" i="21"/>
  <c r="AS35" i="21"/>
  <c r="AS30" i="21"/>
  <c r="AU35" i="21"/>
  <c r="AS36" i="21"/>
  <c r="AV34" i="21"/>
  <c r="AV30" i="21"/>
  <c r="AS27" i="21"/>
  <c r="AV36" i="21"/>
  <c r="AS34" i="21"/>
  <c r="AT35" i="21"/>
  <c r="AS32" i="21"/>
  <c r="AU34" i="21"/>
  <c r="AU30" i="21"/>
  <c r="AV27" i="21"/>
  <c r="AT34" i="21"/>
  <c r="AU36" i="21"/>
  <c r="AV32" i="21"/>
  <c r="AT30" i="21"/>
  <c r="AU27" i="21"/>
  <c r="J30" i="21"/>
  <c r="O114" i="21"/>
  <c r="Q114" i="21"/>
  <c r="AV28" i="21"/>
  <c r="AU28" i="21"/>
  <c r="AT28" i="21"/>
  <c r="AS28" i="21"/>
  <c r="AU33" i="21"/>
  <c r="AT33" i="21"/>
  <c r="AS33" i="21"/>
  <c r="AV33" i="21"/>
  <c r="AV31" i="21"/>
  <c r="AU31" i="21"/>
  <c r="AT31" i="21"/>
  <c r="AS31" i="21"/>
  <c r="P99" i="21"/>
  <c r="AT5" i="21"/>
  <c r="AT29" i="21"/>
  <c r="AS29" i="21"/>
  <c r="AV29" i="21"/>
  <c r="AU29" i="21"/>
  <c r="N114" i="20"/>
  <c r="AS32" i="20"/>
  <c r="AT32" i="20"/>
  <c r="AU32" i="20"/>
  <c r="AV32" i="20"/>
  <c r="Q114" i="20"/>
  <c r="D40" i="20"/>
  <c r="E40" i="20"/>
  <c r="AV35" i="20"/>
  <c r="AT35" i="20"/>
  <c r="AS35" i="20"/>
  <c r="AU35" i="20"/>
  <c r="O114" i="20"/>
  <c r="P114" i="20"/>
  <c r="AT29" i="20"/>
  <c r="AV29" i="20"/>
  <c r="AS29" i="20"/>
  <c r="AU29" i="20"/>
  <c r="AU33" i="20"/>
  <c r="AV33" i="20"/>
  <c r="AS33" i="20"/>
  <c r="AT33" i="20"/>
  <c r="P99" i="20"/>
  <c r="AT5" i="20"/>
  <c r="AU36" i="20"/>
  <c r="AV36" i="20"/>
  <c r="AT36" i="20"/>
  <c r="AS36" i="20"/>
  <c r="P114" i="19"/>
  <c r="AT30" i="19"/>
  <c r="AS30" i="19"/>
  <c r="AV30" i="19"/>
  <c r="AU30" i="19"/>
  <c r="N114" i="19"/>
  <c r="AV33" i="19"/>
  <c r="AU31" i="19"/>
  <c r="AT28" i="19"/>
  <c r="AS27" i="19"/>
  <c r="AS35" i="19"/>
  <c r="AV32" i="19"/>
  <c r="AT34" i="19"/>
  <c r="AS34" i="19"/>
  <c r="AV34" i="19"/>
  <c r="AU34" i="19"/>
  <c r="AS33" i="19"/>
  <c r="O114" i="19"/>
  <c r="AU35" i="19"/>
  <c r="AT27" i="19"/>
  <c r="AT35" i="19"/>
  <c r="AV31" i="19"/>
  <c r="AV29" i="19"/>
  <c r="AU29" i="19"/>
  <c r="AT29" i="19"/>
  <c r="AS29" i="19"/>
  <c r="J28" i="19"/>
  <c r="E27" i="19"/>
  <c r="D27" i="19"/>
  <c r="AS32" i="19"/>
  <c r="AV28" i="19"/>
  <c r="AV27" i="19"/>
  <c r="AU27" i="19"/>
  <c r="AS31" i="19"/>
  <c r="AV7" i="19"/>
  <c r="AV8" i="19"/>
  <c r="AV6" i="19"/>
  <c r="AT32" i="19"/>
  <c r="AU33" i="19"/>
  <c r="AS28" i="19"/>
  <c r="AV35" i="19"/>
  <c r="AT31" i="19"/>
  <c r="N114" i="18"/>
  <c r="AS36" i="18"/>
  <c r="AV36" i="18"/>
  <c r="AU36" i="18"/>
  <c r="AT36" i="18"/>
  <c r="J28" i="18"/>
  <c r="E27" i="18"/>
  <c r="D27" i="18"/>
  <c r="AS34" i="18"/>
  <c r="AT35" i="18"/>
  <c r="AT29" i="18"/>
  <c r="AT33" i="18"/>
  <c r="AT28" i="18"/>
  <c r="AT31" i="18"/>
  <c r="AT27" i="18"/>
  <c r="AU32" i="18"/>
  <c r="AT32" i="18"/>
  <c r="AS32" i="18"/>
  <c r="AV32" i="18"/>
  <c r="AT30" i="18"/>
  <c r="E36" i="18"/>
  <c r="D36" i="18"/>
  <c r="AV27" i="18"/>
  <c r="AT34" i="18"/>
  <c r="AU30" i="18"/>
  <c r="AU35" i="18"/>
  <c r="AU27" i="18"/>
  <c r="AU29" i="18"/>
  <c r="AU33" i="18"/>
  <c r="AU28" i="18"/>
  <c r="Z47" i="18"/>
  <c r="Z48" i="18" s="1"/>
  <c r="Z49" i="18" s="1"/>
  <c r="J29" i="18" s="1"/>
  <c r="AU31" i="18"/>
  <c r="AV7" i="18"/>
  <c r="AV8" i="18"/>
  <c r="AV6" i="18"/>
  <c r="AS27" i="18"/>
  <c r="AU34" i="18"/>
  <c r="P114" i="18"/>
  <c r="AV30" i="18"/>
  <c r="AV35" i="18"/>
  <c r="AV29" i="18"/>
  <c r="AV33" i="18"/>
  <c r="AV28" i="18"/>
  <c r="AV31" i="18"/>
  <c r="O114" i="17"/>
  <c r="D27" i="17"/>
  <c r="J28" i="17"/>
  <c r="AS30" i="17"/>
  <c r="E27" i="17"/>
  <c r="AS27" i="17"/>
  <c r="AT29" i="17"/>
  <c r="AU28" i="17"/>
  <c r="AS28" i="17"/>
  <c r="AU34" i="17"/>
  <c r="AT28" i="17"/>
  <c r="AT27" i="17"/>
  <c r="AS29" i="17"/>
  <c r="AV31" i="17"/>
  <c r="AV30" i="17"/>
  <c r="AT30" i="17"/>
  <c r="AT31" i="17"/>
  <c r="AV27" i="17"/>
  <c r="AU29" i="17"/>
  <c r="AU31" i="17"/>
  <c r="AU30" i="17"/>
  <c r="AS31" i="17"/>
  <c r="AT34" i="17"/>
  <c r="AS34" i="17"/>
  <c r="AU27" i="17"/>
  <c r="AV29" i="17"/>
  <c r="AV28" i="17"/>
  <c r="AV34" i="17"/>
  <c r="P114" i="17"/>
  <c r="Z47" i="17"/>
  <c r="Z48" i="17" s="1"/>
  <c r="Z49" i="17" s="1"/>
  <c r="J29" i="17" s="1"/>
  <c r="E36" i="17"/>
  <c r="D36" i="17"/>
  <c r="AS32" i="17"/>
  <c r="AV32" i="17"/>
  <c r="AU32" i="17"/>
  <c r="AT32" i="17"/>
  <c r="AU33" i="17"/>
  <c r="AT33" i="17"/>
  <c r="AV33" i="17"/>
  <c r="AS33" i="17"/>
  <c r="Q114" i="17"/>
  <c r="AV35" i="17"/>
  <c r="AU35" i="17"/>
  <c r="AT35" i="17"/>
  <c r="AS35" i="17"/>
  <c r="D40" i="17"/>
  <c r="E40" i="17"/>
  <c r="AU36" i="17"/>
  <c r="AT36" i="17"/>
  <c r="AV36" i="17"/>
  <c r="AS36" i="17"/>
  <c r="N114" i="17"/>
  <c r="AV7" i="17"/>
  <c r="AV8" i="17"/>
  <c r="AV6" i="17"/>
  <c r="AU5" i="14"/>
  <c r="Q114" i="16"/>
  <c r="AT27" i="16"/>
  <c r="AV36" i="16"/>
  <c r="AT33" i="16"/>
  <c r="AS30" i="16"/>
  <c r="P114" i="16"/>
  <c r="O114" i="16"/>
  <c r="AU27" i="16"/>
  <c r="AS36" i="16"/>
  <c r="AT32" i="16"/>
  <c r="AT34" i="16"/>
  <c r="AS34" i="16"/>
  <c r="AU34" i="16"/>
  <c r="AV34" i="16"/>
  <c r="AT31" i="16"/>
  <c r="AS31" i="16"/>
  <c r="AU31" i="16"/>
  <c r="AV31" i="16"/>
  <c r="AT30" i="16"/>
  <c r="J28" i="16"/>
  <c r="E27" i="16"/>
  <c r="D27" i="16"/>
  <c r="AT36" i="16"/>
  <c r="AU35" i="16"/>
  <c r="AV32" i="16"/>
  <c r="AS27" i="16"/>
  <c r="AV27" i="16"/>
  <c r="Z47" i="16"/>
  <c r="Z48" i="16" s="1"/>
  <c r="Z49" i="16" s="1"/>
  <c r="J29" i="16" s="1"/>
  <c r="AV7" i="16"/>
  <c r="AV6" i="16"/>
  <c r="AV8" i="16"/>
  <c r="AS35" i="16"/>
  <c r="AS32" i="16"/>
  <c r="AT28" i="16"/>
  <c r="AS28" i="16"/>
  <c r="AV28" i="16"/>
  <c r="AU28" i="16"/>
  <c r="AV33" i="16"/>
  <c r="AU32" i="16"/>
  <c r="AU36" i="16"/>
  <c r="AV29" i="16"/>
  <c r="AU29" i="16"/>
  <c r="AS29" i="16"/>
  <c r="AT29" i="16"/>
  <c r="AT35" i="16"/>
  <c r="AV30" i="16"/>
  <c r="AS33" i="16"/>
  <c r="AU30" i="16"/>
  <c r="AV35" i="16"/>
  <c r="AU5" i="16"/>
  <c r="Q99" i="16"/>
  <c r="N114" i="16"/>
  <c r="AU36" i="15"/>
  <c r="AT36" i="15"/>
  <c r="AS36" i="15"/>
  <c r="AV36" i="15"/>
  <c r="AU28" i="15"/>
  <c r="D36" i="15"/>
  <c r="E36" i="15"/>
  <c r="AU27" i="15"/>
  <c r="AV8" i="15"/>
  <c r="AV7" i="15"/>
  <c r="AV6" i="15"/>
  <c r="D27" i="15"/>
  <c r="E27" i="15"/>
  <c r="J28" i="15"/>
  <c r="AS32" i="15"/>
  <c r="AV32" i="15"/>
  <c r="AU32" i="15"/>
  <c r="AT32" i="15"/>
  <c r="AS27" i="15"/>
  <c r="AV30" i="15"/>
  <c r="AS34" i="15"/>
  <c r="AU29" i="15"/>
  <c r="AT34" i="15"/>
  <c r="AV35" i="15"/>
  <c r="AU35" i="15"/>
  <c r="AT35" i="15"/>
  <c r="AS35" i="15"/>
  <c r="AS31" i="15"/>
  <c r="AT31" i="15"/>
  <c r="AU34" i="15"/>
  <c r="AT30" i="15"/>
  <c r="AV31" i="15"/>
  <c r="AS30" i="15"/>
  <c r="AU33" i="15"/>
  <c r="AT33" i="15"/>
  <c r="AV33" i="15"/>
  <c r="AS33" i="15"/>
  <c r="AV28" i="15"/>
  <c r="AS29" i="15"/>
  <c r="Z47" i="13"/>
  <c r="Z48" i="13" s="1"/>
  <c r="Z49" i="13" s="1"/>
  <c r="J29" i="13" s="1"/>
  <c r="J30" i="13" s="1"/>
  <c r="AV29" i="14"/>
  <c r="AU29" i="14"/>
  <c r="AT29" i="14"/>
  <c r="AS29" i="14"/>
  <c r="Q114" i="14"/>
  <c r="AS33" i="14"/>
  <c r="AV33" i="14"/>
  <c r="AU33" i="14"/>
  <c r="AT33" i="14"/>
  <c r="E36" i="14"/>
  <c r="D36" i="14"/>
  <c r="AV7" i="14"/>
  <c r="AV8" i="14"/>
  <c r="AV6" i="14"/>
  <c r="Q114" i="13"/>
  <c r="O114" i="13"/>
  <c r="N114" i="13"/>
  <c r="P99" i="13"/>
  <c r="AT5" i="13"/>
  <c r="AV35" i="13"/>
  <c r="AU35" i="13"/>
  <c r="AT35" i="13"/>
  <c r="AS35" i="13"/>
  <c r="D27" i="13"/>
  <c r="J28" i="13"/>
  <c r="E27" i="13"/>
  <c r="AU5" i="13"/>
  <c r="Q99" i="13"/>
  <c r="Q99" i="11"/>
  <c r="P99" i="12"/>
  <c r="AV8" i="12"/>
  <c r="AV6" i="12"/>
  <c r="AV7" i="12"/>
  <c r="O99" i="12"/>
  <c r="AS5" i="12"/>
  <c r="V47" i="12"/>
  <c r="V48" i="12" s="1"/>
  <c r="V51" i="12" s="1"/>
  <c r="J27" i="12" s="1"/>
  <c r="AT36" i="12" s="1"/>
  <c r="G20" i="12"/>
  <c r="P99" i="11"/>
  <c r="AT5" i="11"/>
  <c r="P114" i="11"/>
  <c r="E36" i="11"/>
  <c r="D36" i="11"/>
  <c r="N114" i="11"/>
  <c r="AC30" i="1"/>
  <c r="E29" i="21" l="1"/>
  <c r="D29" i="14"/>
  <c r="AT35" i="11"/>
  <c r="E27" i="11"/>
  <c r="AV33" i="11"/>
  <c r="AT28" i="11"/>
  <c r="AS30" i="11"/>
  <c r="AT33" i="11"/>
  <c r="AV31" i="11"/>
  <c r="AU33" i="11"/>
  <c r="AU29" i="11"/>
  <c r="AU36" i="11"/>
  <c r="AV34" i="11"/>
  <c r="D27" i="11"/>
  <c r="AV35" i="11"/>
  <c r="E28" i="20"/>
  <c r="AS29" i="11"/>
  <c r="AU27" i="11"/>
  <c r="AU32" i="11"/>
  <c r="AS33" i="11"/>
  <c r="AT29" i="11"/>
  <c r="AS27" i="11"/>
  <c r="AT30" i="11"/>
  <c r="J28" i="11"/>
  <c r="D28" i="11" s="1"/>
  <c r="AU31" i="11"/>
  <c r="AU28" i="11"/>
  <c r="AV29" i="11"/>
  <c r="AS32" i="11"/>
  <c r="AS31" i="11"/>
  <c r="AV27" i="11"/>
  <c r="AS36" i="11"/>
  <c r="AU34" i="11"/>
  <c r="AS28" i="11"/>
  <c r="AT34" i="11"/>
  <c r="AS35" i="11"/>
  <c r="AT31" i="11"/>
  <c r="AU30" i="11"/>
  <c r="AS27" i="22"/>
  <c r="E29" i="14"/>
  <c r="E29" i="20"/>
  <c r="D29" i="20"/>
  <c r="E29" i="15"/>
  <c r="AV27" i="22"/>
  <c r="D29" i="22"/>
  <c r="E29" i="19"/>
  <c r="J30" i="22"/>
  <c r="J30" i="19"/>
  <c r="E29" i="22"/>
  <c r="AU30" i="14"/>
  <c r="AT30" i="14"/>
  <c r="AS36" i="14"/>
  <c r="AT28" i="14"/>
  <c r="E27" i="14"/>
  <c r="AU31" i="14"/>
  <c r="AS30" i="14"/>
  <c r="AS28" i="14"/>
  <c r="AU34" i="14"/>
  <c r="AU32" i="14"/>
  <c r="AV36" i="14"/>
  <c r="D27" i="14"/>
  <c r="AT35" i="14"/>
  <c r="AV34" i="14"/>
  <c r="J28" i="14"/>
  <c r="AV35" i="14"/>
  <c r="AV27" i="14"/>
  <c r="AU35" i="14"/>
  <c r="AT32" i="14"/>
  <c r="AV30" i="14"/>
  <c r="AU36" i="14"/>
  <c r="AV28" i="14"/>
  <c r="AT31" i="14"/>
  <c r="AU28" i="14"/>
  <c r="AT36" i="14"/>
  <c r="AS31" i="14"/>
  <c r="AS27" i="14"/>
  <c r="AS32" i="14"/>
  <c r="AT34" i="14"/>
  <c r="AU27" i="14"/>
  <c r="AV32" i="14"/>
  <c r="AS34" i="14"/>
  <c r="AT27" i="14"/>
  <c r="AV31" i="14"/>
  <c r="AS35" i="14"/>
  <c r="AT27" i="22"/>
  <c r="AU42" i="26"/>
  <c r="AU44" i="26"/>
  <c r="AS43" i="26"/>
  <c r="Z47" i="11"/>
  <c r="Z48" i="11" s="1"/>
  <c r="Z49" i="11" s="1"/>
  <c r="J29" i="11" s="1"/>
  <c r="AU35" i="11" s="1"/>
  <c r="AT41" i="27"/>
  <c r="AT43" i="27"/>
  <c r="AS42" i="27"/>
  <c r="AS44" i="27"/>
  <c r="AS41" i="27"/>
  <c r="AT42" i="27"/>
  <c r="AS43" i="27"/>
  <c r="AU9" i="27"/>
  <c r="AU11" i="27" s="1"/>
  <c r="AV12" i="27" s="1"/>
  <c r="AT44" i="27"/>
  <c r="E43" i="27"/>
  <c r="D43" i="27"/>
  <c r="D30" i="27"/>
  <c r="E30" i="27"/>
  <c r="AS9" i="27"/>
  <c r="AS11" i="27" s="1"/>
  <c r="D41" i="27"/>
  <c r="E41" i="27"/>
  <c r="D42" i="27"/>
  <c r="E42" i="27"/>
  <c r="AR43" i="27"/>
  <c r="AR40" i="27"/>
  <c r="AR44" i="27"/>
  <c r="AR41" i="27"/>
  <c r="AR42" i="27"/>
  <c r="AT9" i="27"/>
  <c r="AT11" i="27" s="1"/>
  <c r="AU44" i="27"/>
  <c r="AU42" i="27"/>
  <c r="AU43" i="27"/>
  <c r="AU41" i="27"/>
  <c r="AU40" i="27"/>
  <c r="AT40" i="26"/>
  <c r="AV40" i="26" s="1"/>
  <c r="AU43" i="26"/>
  <c r="AU41" i="26"/>
  <c r="AS44" i="26"/>
  <c r="AS42" i="26"/>
  <c r="AT44" i="26"/>
  <c r="AR41" i="26"/>
  <c r="AT43" i="26"/>
  <c r="AT41" i="26"/>
  <c r="AS41" i="26"/>
  <c r="AR42" i="26"/>
  <c r="AR44" i="26"/>
  <c r="AR43" i="26"/>
  <c r="AS9" i="26"/>
  <c r="AS11" i="26" s="1"/>
  <c r="AT9" i="26"/>
  <c r="AT11" i="26" s="1"/>
  <c r="E43" i="26"/>
  <c r="D43" i="26"/>
  <c r="D42" i="26"/>
  <c r="E42" i="26"/>
  <c r="E41" i="26"/>
  <c r="D41" i="26"/>
  <c r="AU9" i="26"/>
  <c r="AU11" i="26" s="1"/>
  <c r="AU24" i="19"/>
  <c r="AU37" i="19" s="1"/>
  <c r="AT41" i="19" s="1"/>
  <c r="AT24" i="19"/>
  <c r="AT37" i="19" s="1"/>
  <c r="AS40" i="19" s="1"/>
  <c r="AV8" i="25"/>
  <c r="AS8" i="25" s="1"/>
  <c r="V48" i="25"/>
  <c r="V51" i="25" s="1"/>
  <c r="J27" i="25" s="1"/>
  <c r="Z47" i="25"/>
  <c r="Z48" i="25" s="1"/>
  <c r="Z49" i="25" s="1"/>
  <c r="J29" i="25" s="1"/>
  <c r="D29" i="15"/>
  <c r="V48" i="23"/>
  <c r="V51" i="23" s="1"/>
  <c r="J27" i="23" s="1"/>
  <c r="Z47" i="23"/>
  <c r="Z48" i="23" s="1"/>
  <c r="Z49" i="23" s="1"/>
  <c r="J29" i="23" s="1"/>
  <c r="AV28" i="11"/>
  <c r="AV30" i="11"/>
  <c r="AS34" i="11"/>
  <c r="AV32" i="11"/>
  <c r="AT6" i="25"/>
  <c r="AS6" i="25"/>
  <c r="J39" i="25"/>
  <c r="AU6" i="25"/>
  <c r="J40" i="25"/>
  <c r="AS7" i="25"/>
  <c r="AT7" i="25"/>
  <c r="AU7" i="25"/>
  <c r="V48" i="24"/>
  <c r="V51" i="24" s="1"/>
  <c r="J27" i="24" s="1"/>
  <c r="Z47" i="24"/>
  <c r="Z48" i="24" s="1"/>
  <c r="Z49" i="24" s="1"/>
  <c r="J29" i="24" s="1"/>
  <c r="AT6" i="24"/>
  <c r="AS6" i="24"/>
  <c r="J39" i="24"/>
  <c r="AU6" i="24"/>
  <c r="AT8" i="24"/>
  <c r="J41" i="24"/>
  <c r="AS8" i="24"/>
  <c r="AU8" i="24"/>
  <c r="J40" i="24"/>
  <c r="AT7" i="24"/>
  <c r="AS7" i="24"/>
  <c r="AU7" i="24"/>
  <c r="J40" i="23"/>
  <c r="AT7" i="23"/>
  <c r="AS7" i="23"/>
  <c r="AU7" i="23"/>
  <c r="AT6" i="23"/>
  <c r="AS6" i="23"/>
  <c r="J39" i="23"/>
  <c r="AU6" i="23"/>
  <c r="AT8" i="23"/>
  <c r="J41" i="23"/>
  <c r="AS8" i="23"/>
  <c r="AU8" i="23"/>
  <c r="J41" i="22"/>
  <c r="AS8" i="22"/>
  <c r="AT8" i="22"/>
  <c r="AU8" i="22"/>
  <c r="E30" i="22"/>
  <c r="D30" i="22"/>
  <c r="J40" i="22"/>
  <c r="AU7" i="22"/>
  <c r="AS7" i="22"/>
  <c r="AT7" i="22"/>
  <c r="J39" i="22"/>
  <c r="AT6" i="22"/>
  <c r="AS6" i="22"/>
  <c r="AU6" i="22"/>
  <c r="AT24" i="21"/>
  <c r="AT37" i="21" s="1"/>
  <c r="AS40" i="21" s="1"/>
  <c r="AV24" i="21"/>
  <c r="AV37" i="21" s="1"/>
  <c r="AU40" i="21" s="1"/>
  <c r="AU24" i="21"/>
  <c r="AU37" i="21" s="1"/>
  <c r="AS24" i="21"/>
  <c r="AS37" i="21" s="1"/>
  <c r="E30" i="21"/>
  <c r="D30" i="21"/>
  <c r="D28" i="21"/>
  <c r="E28" i="21"/>
  <c r="AV8" i="21"/>
  <c r="AV6" i="21"/>
  <c r="AV7" i="21"/>
  <c r="AU24" i="20"/>
  <c r="AU37" i="20" s="1"/>
  <c r="AT41" i="20" s="1"/>
  <c r="AV24" i="20"/>
  <c r="AV37" i="20" s="1"/>
  <c r="AU43" i="20" s="1"/>
  <c r="AT24" i="20"/>
  <c r="AT37" i="20" s="1"/>
  <c r="AS44" i="20" s="1"/>
  <c r="AS24" i="20"/>
  <c r="AS37" i="20" s="1"/>
  <c r="AR44" i="20" s="1"/>
  <c r="AV8" i="20"/>
  <c r="AV7" i="20"/>
  <c r="AV6" i="20"/>
  <c r="E30" i="20"/>
  <c r="D30" i="20"/>
  <c r="AS24" i="19"/>
  <c r="AS37" i="19" s="1"/>
  <c r="AR42" i="19" s="1"/>
  <c r="J41" i="19"/>
  <c r="AU8" i="19"/>
  <c r="AS8" i="19"/>
  <c r="AT8" i="19"/>
  <c r="E30" i="19"/>
  <c r="D30" i="19"/>
  <c r="J40" i="19"/>
  <c r="AU7" i="19"/>
  <c r="AT7" i="19"/>
  <c r="AS7" i="19"/>
  <c r="AV24" i="19"/>
  <c r="AV37" i="19" s="1"/>
  <c r="E28" i="19"/>
  <c r="D28" i="19"/>
  <c r="J39" i="19"/>
  <c r="AU6" i="19"/>
  <c r="AS6" i="19"/>
  <c r="AT6" i="19"/>
  <c r="AS24" i="18"/>
  <c r="AS37" i="18" s="1"/>
  <c r="AR43" i="18" s="1"/>
  <c r="AU24" i="18"/>
  <c r="AU37" i="18" s="1"/>
  <c r="AT44" i="18" s="1"/>
  <c r="AT24" i="18"/>
  <c r="AT37" i="18" s="1"/>
  <c r="AS43" i="18" s="1"/>
  <c r="AS24" i="17"/>
  <c r="AS37" i="17" s="1"/>
  <c r="AR44" i="17" s="1"/>
  <c r="AT24" i="17"/>
  <c r="AT37" i="17" s="1"/>
  <c r="AS42" i="17" s="1"/>
  <c r="AV24" i="17"/>
  <c r="AV37" i="17" s="1"/>
  <c r="AU42" i="17" s="1"/>
  <c r="AU24" i="17"/>
  <c r="AU37" i="17" s="1"/>
  <c r="AT44" i="17" s="1"/>
  <c r="AT8" i="18"/>
  <c r="J41" i="18"/>
  <c r="AS8" i="18"/>
  <c r="AU8" i="18"/>
  <c r="E28" i="18"/>
  <c r="D28" i="18"/>
  <c r="AT6" i="18"/>
  <c r="AS6" i="18"/>
  <c r="J39" i="18"/>
  <c r="AU6" i="18"/>
  <c r="AV24" i="18"/>
  <c r="AV37" i="18" s="1"/>
  <c r="J40" i="18"/>
  <c r="AS7" i="18"/>
  <c r="AT7" i="18"/>
  <c r="AU7" i="18"/>
  <c r="D29" i="18"/>
  <c r="J30" i="18"/>
  <c r="E29" i="18"/>
  <c r="E29" i="17"/>
  <c r="J30" i="17"/>
  <c r="D29" i="17"/>
  <c r="D28" i="17"/>
  <c r="E28" i="17"/>
  <c r="J39" i="17"/>
  <c r="AU6" i="17"/>
  <c r="AT6" i="17"/>
  <c r="AS6" i="17"/>
  <c r="J41" i="17"/>
  <c r="AU8" i="17"/>
  <c r="AT8" i="17"/>
  <c r="AS8" i="17"/>
  <c r="AS7" i="17"/>
  <c r="AU7" i="17"/>
  <c r="J40" i="17"/>
  <c r="AT7" i="17"/>
  <c r="AU24" i="16"/>
  <c r="AU37" i="16" s="1"/>
  <c r="AT43" i="16" s="1"/>
  <c r="AT24" i="16"/>
  <c r="AT37" i="16" s="1"/>
  <c r="AS43" i="16" s="1"/>
  <c r="AS24" i="16"/>
  <c r="AS37" i="16" s="1"/>
  <c r="AR42" i="16" s="1"/>
  <c r="AV24" i="16"/>
  <c r="AV37" i="16" s="1"/>
  <c r="AU42" i="16" s="1"/>
  <c r="AT24" i="15"/>
  <c r="AT37" i="15" s="1"/>
  <c r="AS40" i="15" s="1"/>
  <c r="AV24" i="15"/>
  <c r="AV37" i="15" s="1"/>
  <c r="AU43" i="15" s="1"/>
  <c r="J41" i="16"/>
  <c r="AU8" i="16"/>
  <c r="AT8" i="16"/>
  <c r="AS8" i="16"/>
  <c r="J39" i="16"/>
  <c r="AU6" i="16"/>
  <c r="AT6" i="16"/>
  <c r="AS6" i="16"/>
  <c r="D29" i="16"/>
  <c r="J30" i="16"/>
  <c r="E29" i="16"/>
  <c r="E28" i="16"/>
  <c r="D28" i="16"/>
  <c r="J40" i="16"/>
  <c r="AT7" i="16"/>
  <c r="AU7" i="16"/>
  <c r="AS7" i="16"/>
  <c r="D28" i="15"/>
  <c r="E28" i="15"/>
  <c r="J40" i="15"/>
  <c r="AU7" i="15"/>
  <c r="AT7" i="15"/>
  <c r="AS7" i="15"/>
  <c r="J41" i="15"/>
  <c r="AU8" i="15"/>
  <c r="AT8" i="15"/>
  <c r="AS8" i="15"/>
  <c r="E30" i="15"/>
  <c r="D30" i="15"/>
  <c r="AS24" i="15"/>
  <c r="AS37" i="15" s="1"/>
  <c r="J39" i="15"/>
  <c r="AU6" i="15"/>
  <c r="AT6" i="15"/>
  <c r="AS6" i="15"/>
  <c r="AU24" i="15"/>
  <c r="AU37" i="15" s="1"/>
  <c r="AV27" i="13"/>
  <c r="AU27" i="13"/>
  <c r="AS27" i="13"/>
  <c r="AT27" i="13"/>
  <c r="D29" i="13"/>
  <c r="E29" i="13"/>
  <c r="AT8" i="14"/>
  <c r="J41" i="14"/>
  <c r="AS8" i="14"/>
  <c r="AU8" i="14"/>
  <c r="J40" i="14"/>
  <c r="AT7" i="14"/>
  <c r="AU7" i="14"/>
  <c r="AS7" i="14"/>
  <c r="AT6" i="14"/>
  <c r="AS6" i="14"/>
  <c r="J39" i="14"/>
  <c r="AU6" i="14"/>
  <c r="E30" i="14"/>
  <c r="D30" i="14"/>
  <c r="D28" i="13"/>
  <c r="E28" i="13"/>
  <c r="E30" i="13"/>
  <c r="D30" i="13"/>
  <c r="AV8" i="13"/>
  <c r="AV6" i="13"/>
  <c r="AV7" i="13"/>
  <c r="AV36" i="11"/>
  <c r="AT27" i="11"/>
  <c r="AT36" i="11"/>
  <c r="E27" i="12"/>
  <c r="D27" i="12"/>
  <c r="J28" i="12"/>
  <c r="AV27" i="12"/>
  <c r="AT31" i="12"/>
  <c r="AU33" i="12"/>
  <c r="AS33" i="12"/>
  <c r="AU30" i="12"/>
  <c r="AT34" i="12"/>
  <c r="AT33" i="12"/>
  <c r="AS34" i="12"/>
  <c r="AS30" i="12"/>
  <c r="AU27" i="12"/>
  <c r="AV34" i="12"/>
  <c r="AV30" i="12"/>
  <c r="AU31" i="12"/>
  <c r="AT27" i="12"/>
  <c r="AS31" i="12"/>
  <c r="AV33" i="12"/>
  <c r="AU34" i="12"/>
  <c r="AT30" i="12"/>
  <c r="AS27" i="12"/>
  <c r="AV31" i="12"/>
  <c r="AV36" i="12"/>
  <c r="J39" i="12"/>
  <c r="AU6" i="12"/>
  <c r="AT6" i="12"/>
  <c r="AS6" i="12"/>
  <c r="AT28" i="12"/>
  <c r="AV32" i="12"/>
  <c r="AU35" i="12"/>
  <c r="AS29" i="12"/>
  <c r="AS36" i="12"/>
  <c r="AV28" i="12"/>
  <c r="AS32" i="12"/>
  <c r="AV35" i="12"/>
  <c r="AV29" i="12"/>
  <c r="J41" i="12"/>
  <c r="AU8" i="12"/>
  <c r="AT8" i="12"/>
  <c r="AS8" i="12"/>
  <c r="AS28" i="12"/>
  <c r="AT32" i="12"/>
  <c r="AS35" i="12"/>
  <c r="AT29" i="12"/>
  <c r="AU36" i="12"/>
  <c r="J40" i="12"/>
  <c r="AS7" i="12"/>
  <c r="AT7" i="12"/>
  <c r="AU7" i="12"/>
  <c r="AU28" i="12"/>
  <c r="AU32" i="12"/>
  <c r="AT35" i="12"/>
  <c r="Z47" i="12"/>
  <c r="Z48" i="12" s="1"/>
  <c r="Z49" i="12" s="1"/>
  <c r="J29" i="12" s="1"/>
  <c r="AU29" i="12"/>
  <c r="AV8" i="11"/>
  <c r="AV6" i="11"/>
  <c r="AV7" i="11"/>
  <c r="AO179" i="10"/>
  <c r="AN179" i="10"/>
  <c r="AM179" i="10"/>
  <c r="AL179" i="10"/>
  <c r="AK179" i="10"/>
  <c r="AJ179" i="10"/>
  <c r="AI179" i="10"/>
  <c r="AH179" i="10"/>
  <c r="AG179" i="10"/>
  <c r="AF179" i="10"/>
  <c r="AE179" i="10"/>
  <c r="AD179" i="10"/>
  <c r="AC179" i="10"/>
  <c r="AB179" i="10"/>
  <c r="AA179" i="10"/>
  <c r="Z179" i="10"/>
  <c r="Y179" i="10"/>
  <c r="X179" i="10"/>
  <c r="W179" i="10"/>
  <c r="V179" i="10"/>
  <c r="AO178" i="10"/>
  <c r="AN178" i="10"/>
  <c r="AM178" i="10"/>
  <c r="AL178" i="10"/>
  <c r="AK178" i="10"/>
  <c r="AJ178" i="10"/>
  <c r="AI178" i="10"/>
  <c r="AH178" i="10"/>
  <c r="AG178" i="10"/>
  <c r="AF178" i="10"/>
  <c r="AE178" i="10"/>
  <c r="AD178" i="10"/>
  <c r="AC178" i="10"/>
  <c r="AB178" i="10"/>
  <c r="AA178" i="10"/>
  <c r="Z178" i="10"/>
  <c r="Y178" i="10"/>
  <c r="X178" i="10"/>
  <c r="W178" i="10"/>
  <c r="V178" i="10"/>
  <c r="AO177" i="10"/>
  <c r="AN177" i="10"/>
  <c r="AM177" i="10"/>
  <c r="AL177" i="10"/>
  <c r="AK177" i="10"/>
  <c r="AJ177" i="10"/>
  <c r="AI177" i="10"/>
  <c r="AH177" i="10"/>
  <c r="AG177" i="10"/>
  <c r="AF177" i="10"/>
  <c r="AE177" i="10"/>
  <c r="AD177" i="10"/>
  <c r="AC177" i="10"/>
  <c r="AB177" i="10"/>
  <c r="AA177" i="10"/>
  <c r="Z177" i="10"/>
  <c r="Y177" i="10"/>
  <c r="X177" i="10"/>
  <c r="W177" i="10"/>
  <c r="V177" i="10"/>
  <c r="AO176" i="10"/>
  <c r="AN176" i="10"/>
  <c r="AM176" i="10"/>
  <c r="AL176" i="10"/>
  <c r="AK176" i="10"/>
  <c r="AJ176" i="10"/>
  <c r="AI176" i="10"/>
  <c r="AH176" i="10"/>
  <c r="AG176" i="10"/>
  <c r="AF176" i="10"/>
  <c r="AE176" i="10"/>
  <c r="AD176" i="10"/>
  <c r="AC176" i="10"/>
  <c r="AB176" i="10"/>
  <c r="AA176" i="10"/>
  <c r="Z176" i="10"/>
  <c r="Y176" i="10"/>
  <c r="X176" i="10"/>
  <c r="W176" i="10"/>
  <c r="V176" i="10"/>
  <c r="AO175" i="10"/>
  <c r="AN175" i="10"/>
  <c r="AM175" i="10"/>
  <c r="AL175" i="10"/>
  <c r="AK175" i="10"/>
  <c r="AJ175" i="10"/>
  <c r="AI175" i="10"/>
  <c r="AH175" i="10"/>
  <c r="AG175" i="10"/>
  <c r="AF175" i="10"/>
  <c r="AE175" i="10"/>
  <c r="AD175" i="10"/>
  <c r="AC175" i="10"/>
  <c r="AB175" i="10"/>
  <c r="AA175" i="10"/>
  <c r="Z175" i="10"/>
  <c r="Y175" i="10"/>
  <c r="X175" i="10"/>
  <c r="W175" i="10"/>
  <c r="V175" i="10"/>
  <c r="AO174" i="10"/>
  <c r="AN174" i="10"/>
  <c r="AM174" i="10"/>
  <c r="AL174" i="10"/>
  <c r="AK174" i="10"/>
  <c r="AJ174" i="10"/>
  <c r="AI174" i="10"/>
  <c r="AH174" i="10"/>
  <c r="AG174" i="10"/>
  <c r="AF174" i="10"/>
  <c r="AE174" i="10"/>
  <c r="AD174" i="10"/>
  <c r="AC174" i="10"/>
  <c r="AB174" i="10"/>
  <c r="AA174" i="10"/>
  <c r="Z174" i="10"/>
  <c r="Y174" i="10"/>
  <c r="X174" i="10"/>
  <c r="W174" i="10"/>
  <c r="V174" i="10"/>
  <c r="AO173" i="10"/>
  <c r="AN173" i="10"/>
  <c r="AM173" i="10"/>
  <c r="AL173" i="10"/>
  <c r="AK173" i="10"/>
  <c r="AJ173" i="10"/>
  <c r="AI173" i="10"/>
  <c r="AH173" i="10"/>
  <c r="AG173" i="10"/>
  <c r="AF173" i="10"/>
  <c r="AE173" i="10"/>
  <c r="AD173" i="10"/>
  <c r="AC173" i="10"/>
  <c r="AB173" i="10"/>
  <c r="AA173" i="10"/>
  <c r="Z173" i="10"/>
  <c r="Y173" i="10"/>
  <c r="X173" i="10"/>
  <c r="W173" i="10"/>
  <c r="V173" i="10"/>
  <c r="AO172" i="10"/>
  <c r="AN172" i="10"/>
  <c r="AM172" i="10"/>
  <c r="AL172" i="10"/>
  <c r="AK172" i="10"/>
  <c r="AJ172" i="10"/>
  <c r="AI172" i="10"/>
  <c r="AH172" i="10"/>
  <c r="AG172" i="10"/>
  <c r="AF172" i="10"/>
  <c r="AE172" i="10"/>
  <c r="AD172" i="10"/>
  <c r="AC172" i="10"/>
  <c r="AB172" i="10"/>
  <c r="AA172" i="10"/>
  <c r="Z172" i="10"/>
  <c r="Y172" i="10"/>
  <c r="X172" i="10"/>
  <c r="W172" i="10"/>
  <c r="V172" i="10"/>
  <c r="AO171" i="10"/>
  <c r="AN171" i="10"/>
  <c r="AM171" i="10"/>
  <c r="AL171" i="10"/>
  <c r="AK171" i="10"/>
  <c r="AJ171" i="10"/>
  <c r="AI171" i="10"/>
  <c r="AH171" i="10"/>
  <c r="AG171" i="10"/>
  <c r="AF171" i="10"/>
  <c r="AE171" i="10"/>
  <c r="AD171" i="10"/>
  <c r="AC171" i="10"/>
  <c r="AB171" i="10"/>
  <c r="AA171" i="10"/>
  <c r="Z171" i="10"/>
  <c r="Y171" i="10"/>
  <c r="X171" i="10"/>
  <c r="W171" i="10"/>
  <c r="V171" i="10"/>
  <c r="AO170" i="10"/>
  <c r="AN170" i="10"/>
  <c r="AM170" i="10"/>
  <c r="AL170" i="10"/>
  <c r="AK170" i="10"/>
  <c r="AJ170" i="10"/>
  <c r="AI170" i="10"/>
  <c r="AH170" i="10"/>
  <c r="AG170" i="10"/>
  <c r="AF170" i="10"/>
  <c r="AE170" i="10"/>
  <c r="AD170" i="10"/>
  <c r="AC170" i="10"/>
  <c r="AB170" i="10"/>
  <c r="AA170" i="10"/>
  <c r="Z170" i="10"/>
  <c r="Y170" i="10"/>
  <c r="X170" i="10"/>
  <c r="W170" i="10"/>
  <c r="V170" i="10"/>
  <c r="AO169" i="10"/>
  <c r="AN169" i="10"/>
  <c r="AM169" i="10"/>
  <c r="AL169" i="10"/>
  <c r="AK169" i="10"/>
  <c r="AJ169" i="10"/>
  <c r="AI169" i="10"/>
  <c r="AH169" i="10"/>
  <c r="AG169" i="10"/>
  <c r="AF169" i="10"/>
  <c r="AE169" i="10"/>
  <c r="AD169" i="10"/>
  <c r="AC169" i="10"/>
  <c r="AB169" i="10"/>
  <c r="AA169" i="10"/>
  <c r="Z169" i="10"/>
  <c r="Y169" i="10"/>
  <c r="X169" i="10"/>
  <c r="W169" i="10"/>
  <c r="V169" i="10"/>
  <c r="AO168" i="10"/>
  <c r="AN168" i="10"/>
  <c r="AM168" i="10"/>
  <c r="AL168" i="10"/>
  <c r="X95" i="10" s="1"/>
  <c r="AK168" i="10"/>
  <c r="AJ168" i="10"/>
  <c r="AI168" i="10"/>
  <c r="AH168" i="10"/>
  <c r="AG168" i="10"/>
  <c r="AF168" i="10"/>
  <c r="AE168" i="10"/>
  <c r="AD168" i="10"/>
  <c r="AD95" i="10" s="1"/>
  <c r="AC168" i="10"/>
  <c r="AB168" i="10"/>
  <c r="AB95" i="10" s="1"/>
  <c r="AA168" i="10"/>
  <c r="Z168" i="10"/>
  <c r="Z95" i="10" s="1"/>
  <c r="Y168" i="10"/>
  <c r="X168" i="10"/>
  <c r="W168" i="10"/>
  <c r="W95" i="10" s="1"/>
  <c r="V168" i="10"/>
  <c r="V95" i="10" s="1"/>
  <c r="AO167" i="10"/>
  <c r="AN167" i="10"/>
  <c r="AM167" i="10"/>
  <c r="AL167" i="10"/>
  <c r="X94" i="10" s="1"/>
  <c r="AK167" i="10"/>
  <c r="AJ167" i="10"/>
  <c r="AI167" i="10"/>
  <c r="AH167" i="10"/>
  <c r="AG167" i="10"/>
  <c r="AF167" i="10"/>
  <c r="AE167" i="10"/>
  <c r="AD167" i="10"/>
  <c r="AC167" i="10"/>
  <c r="AB167" i="10"/>
  <c r="AA167" i="10"/>
  <c r="Z167" i="10"/>
  <c r="Z94" i="10" s="1"/>
  <c r="Y167" i="10"/>
  <c r="X167" i="10"/>
  <c r="W167" i="10"/>
  <c r="V167" i="10"/>
  <c r="V94" i="10" s="1"/>
  <c r="AO166" i="10"/>
  <c r="AN166" i="10"/>
  <c r="AM166" i="10"/>
  <c r="AL166" i="10"/>
  <c r="X93" i="10" s="1"/>
  <c r="AK166" i="10"/>
  <c r="AJ166" i="10"/>
  <c r="AI166" i="10"/>
  <c r="AH166" i="10"/>
  <c r="AG166" i="10"/>
  <c r="AF166" i="10"/>
  <c r="AE166" i="10"/>
  <c r="AD166" i="10"/>
  <c r="AD93" i="10" s="1"/>
  <c r="AC166" i="10"/>
  <c r="AB166" i="10"/>
  <c r="AB93" i="10" s="1"/>
  <c r="AA166" i="10"/>
  <c r="AA93" i="10" s="1"/>
  <c r="Z166" i="10"/>
  <c r="Z93" i="10" s="1"/>
  <c r="Y166" i="10"/>
  <c r="X166" i="10"/>
  <c r="W166" i="10"/>
  <c r="V166" i="10"/>
  <c r="V93" i="10" s="1"/>
  <c r="AO165" i="10"/>
  <c r="AN165" i="10"/>
  <c r="AM165" i="10"/>
  <c r="AL165" i="10"/>
  <c r="X92" i="10" s="1"/>
  <c r="AK165" i="10"/>
  <c r="AJ165" i="10"/>
  <c r="AI165" i="10"/>
  <c r="AH165" i="10"/>
  <c r="AG165" i="10"/>
  <c r="AF165" i="10"/>
  <c r="AE165" i="10"/>
  <c r="AD165" i="10"/>
  <c r="AD92" i="10" s="1"/>
  <c r="AC165" i="10"/>
  <c r="AC92" i="10" s="1"/>
  <c r="AB165" i="10"/>
  <c r="AB92" i="10" s="1"/>
  <c r="AA165" i="10"/>
  <c r="Z165" i="10"/>
  <c r="Z92" i="10" s="1"/>
  <c r="Y165" i="10"/>
  <c r="X165" i="10"/>
  <c r="W165" i="10"/>
  <c r="V165" i="10"/>
  <c r="V92" i="10" s="1"/>
  <c r="AO164" i="10"/>
  <c r="AN164" i="10"/>
  <c r="AM164" i="10"/>
  <c r="AL164" i="10"/>
  <c r="X91" i="10" s="1"/>
  <c r="AK164" i="10"/>
  <c r="AJ164" i="10"/>
  <c r="AI164" i="10"/>
  <c r="AH164" i="10"/>
  <c r="AG164" i="10"/>
  <c r="AF164" i="10"/>
  <c r="AE164" i="10"/>
  <c r="AD164" i="10"/>
  <c r="AD91" i="10" s="1"/>
  <c r="AC164" i="10"/>
  <c r="AB164" i="10"/>
  <c r="AA164" i="10"/>
  <c r="Z164" i="10"/>
  <c r="Z91" i="10" s="1"/>
  <c r="Y164" i="10"/>
  <c r="Y91" i="10" s="1"/>
  <c r="X164" i="10"/>
  <c r="W164" i="10"/>
  <c r="W91" i="10" s="1"/>
  <c r="V164" i="10"/>
  <c r="V91" i="10" s="1"/>
  <c r="AO163" i="10"/>
  <c r="AN163" i="10"/>
  <c r="AM163" i="10"/>
  <c r="AL163" i="10"/>
  <c r="X90" i="10" s="1"/>
  <c r="AK163" i="10"/>
  <c r="AJ163" i="10"/>
  <c r="AI163" i="10"/>
  <c r="AH163" i="10"/>
  <c r="AG163" i="10"/>
  <c r="AF163" i="10"/>
  <c r="AE163" i="10"/>
  <c r="AD163" i="10"/>
  <c r="AD90" i="10" s="1"/>
  <c r="AC163" i="10"/>
  <c r="AB163" i="10"/>
  <c r="AB90" i="10" s="1"/>
  <c r="AA163" i="10"/>
  <c r="AA90" i="10" s="1"/>
  <c r="Z163" i="10"/>
  <c r="Z90" i="10" s="1"/>
  <c r="Y163" i="10"/>
  <c r="X163" i="10"/>
  <c r="W163" i="10"/>
  <c r="V163" i="10"/>
  <c r="V90" i="10" s="1"/>
  <c r="AO162" i="10"/>
  <c r="AN162" i="10"/>
  <c r="AM162" i="10"/>
  <c r="AL162" i="10"/>
  <c r="X89" i="10" s="1"/>
  <c r="AK162" i="10"/>
  <c r="AJ162" i="10"/>
  <c r="AI162" i="10"/>
  <c r="AH162" i="10"/>
  <c r="AG162" i="10"/>
  <c r="AF162" i="10"/>
  <c r="AE162" i="10"/>
  <c r="AD162" i="10"/>
  <c r="AD89" i="10" s="1"/>
  <c r="AC162" i="10"/>
  <c r="AB162" i="10"/>
  <c r="AB89" i="10" s="1"/>
  <c r="AA162" i="10"/>
  <c r="Z162" i="10"/>
  <c r="Z89" i="10" s="1"/>
  <c r="Y162" i="10"/>
  <c r="X162" i="10"/>
  <c r="W162" i="10"/>
  <c r="W89" i="10" s="1"/>
  <c r="V162" i="10"/>
  <c r="V89" i="10" s="1"/>
  <c r="AO161" i="10"/>
  <c r="AN161" i="10"/>
  <c r="AM161" i="10"/>
  <c r="AL161" i="10"/>
  <c r="X88" i="10" s="1"/>
  <c r="AK161" i="10"/>
  <c r="AJ161" i="10"/>
  <c r="AI161" i="10"/>
  <c r="AH161" i="10"/>
  <c r="AG161" i="10"/>
  <c r="AF161" i="10"/>
  <c r="AE161" i="10"/>
  <c r="AD161" i="10"/>
  <c r="AD88" i="10" s="1"/>
  <c r="AC161" i="10"/>
  <c r="AB161" i="10"/>
  <c r="AA161" i="10"/>
  <c r="Z161" i="10"/>
  <c r="Z88" i="10" s="1"/>
  <c r="Y161" i="10"/>
  <c r="X161" i="10"/>
  <c r="W161" i="10"/>
  <c r="W88" i="10" s="1"/>
  <c r="V161" i="10"/>
  <c r="V88" i="10" s="1"/>
  <c r="AO160" i="10"/>
  <c r="AN160" i="10"/>
  <c r="AM160" i="10"/>
  <c r="AL160" i="10"/>
  <c r="X87" i="10" s="1"/>
  <c r="AK160" i="10"/>
  <c r="AJ160" i="10"/>
  <c r="AI160" i="10"/>
  <c r="AH160" i="10"/>
  <c r="AG160" i="10"/>
  <c r="AF160" i="10"/>
  <c r="AE160" i="10"/>
  <c r="AD160" i="10"/>
  <c r="AD87" i="10" s="1"/>
  <c r="AC160" i="10"/>
  <c r="AB160" i="10"/>
  <c r="AB87" i="10" s="1"/>
  <c r="AA160" i="10"/>
  <c r="Z160" i="10"/>
  <c r="Z87" i="10" s="1"/>
  <c r="Y160" i="10"/>
  <c r="X160" i="10"/>
  <c r="W160" i="10"/>
  <c r="V160" i="10"/>
  <c r="V87" i="10" s="1"/>
  <c r="AO159" i="10"/>
  <c r="AN159" i="10"/>
  <c r="AM159" i="10"/>
  <c r="AL159" i="10"/>
  <c r="AK159" i="10"/>
  <c r="AJ159" i="10"/>
  <c r="AI159" i="10"/>
  <c r="AH159" i="10"/>
  <c r="AG159" i="10"/>
  <c r="AF159" i="10"/>
  <c r="AE159" i="10"/>
  <c r="AD159" i="10"/>
  <c r="AC159" i="10"/>
  <c r="AB159" i="10"/>
  <c r="AA159" i="10"/>
  <c r="Z159" i="10"/>
  <c r="Y159" i="10"/>
  <c r="X159" i="10"/>
  <c r="W159" i="10"/>
  <c r="V159" i="10"/>
  <c r="AO158" i="10"/>
  <c r="AN158" i="10"/>
  <c r="AM158" i="10"/>
  <c r="AL158" i="10"/>
  <c r="AK158" i="10"/>
  <c r="AJ158" i="10"/>
  <c r="AI158" i="10"/>
  <c r="AH158" i="10"/>
  <c r="AG158" i="10"/>
  <c r="AF158" i="10"/>
  <c r="AE158" i="10"/>
  <c r="AD158" i="10"/>
  <c r="AC158" i="10"/>
  <c r="AB158" i="10"/>
  <c r="AA158" i="10"/>
  <c r="Z158" i="10"/>
  <c r="Y158" i="10"/>
  <c r="X158" i="10"/>
  <c r="W158" i="10"/>
  <c r="V158" i="10"/>
  <c r="AO157" i="10"/>
  <c r="AN157" i="10"/>
  <c r="AM157" i="10"/>
  <c r="AL157" i="10"/>
  <c r="AK157" i="10"/>
  <c r="AJ157" i="10"/>
  <c r="AI157" i="10"/>
  <c r="AH157" i="10"/>
  <c r="AG157" i="10"/>
  <c r="AF157" i="10"/>
  <c r="AE157" i="10"/>
  <c r="AD157" i="10"/>
  <c r="AC157" i="10"/>
  <c r="AB157" i="10"/>
  <c r="AA157" i="10"/>
  <c r="Z157" i="10"/>
  <c r="Y157" i="10"/>
  <c r="X157" i="10"/>
  <c r="W157" i="10"/>
  <c r="V157" i="10"/>
  <c r="AO156" i="10"/>
  <c r="AN156" i="10"/>
  <c r="AM156" i="10"/>
  <c r="AL156" i="10"/>
  <c r="AK156" i="10"/>
  <c r="AJ156" i="10"/>
  <c r="AI156" i="10"/>
  <c r="AH156" i="10"/>
  <c r="AG156" i="10"/>
  <c r="AF156" i="10"/>
  <c r="AE156" i="10"/>
  <c r="AD156" i="10"/>
  <c r="AC156" i="10"/>
  <c r="AB156" i="10"/>
  <c r="AA156" i="10"/>
  <c r="Z156" i="10"/>
  <c r="Y156" i="10"/>
  <c r="X156" i="10"/>
  <c r="W156" i="10"/>
  <c r="V156" i="10"/>
  <c r="AO155" i="10"/>
  <c r="AN155" i="10"/>
  <c r="AM155" i="10"/>
  <c r="AL155" i="10"/>
  <c r="AK155" i="10"/>
  <c r="AJ155" i="10"/>
  <c r="AI155" i="10"/>
  <c r="AH155" i="10"/>
  <c r="AG155" i="10"/>
  <c r="AF155" i="10"/>
  <c r="AE155" i="10"/>
  <c r="AD155" i="10"/>
  <c r="AC155" i="10"/>
  <c r="AB155" i="10"/>
  <c r="AA155" i="10"/>
  <c r="Z155" i="10"/>
  <c r="Y155" i="10"/>
  <c r="X155" i="10"/>
  <c r="W155" i="10"/>
  <c r="V155" i="10"/>
  <c r="AO154" i="10"/>
  <c r="AN154" i="10"/>
  <c r="AM154" i="10"/>
  <c r="AL154" i="10"/>
  <c r="AK154" i="10"/>
  <c r="AJ154" i="10"/>
  <c r="AI154" i="10"/>
  <c r="AH154" i="10"/>
  <c r="AG154" i="10"/>
  <c r="AF154" i="10"/>
  <c r="AE154" i="10"/>
  <c r="AD154" i="10"/>
  <c r="AC154" i="10"/>
  <c r="AB154" i="10"/>
  <c r="AA154" i="10"/>
  <c r="Z154" i="10"/>
  <c r="Y154" i="10"/>
  <c r="X154" i="10"/>
  <c r="W154" i="10"/>
  <c r="V154" i="10"/>
  <c r="AO153" i="10"/>
  <c r="AN153" i="10"/>
  <c r="AM153" i="10"/>
  <c r="AL153" i="10"/>
  <c r="AK153" i="10"/>
  <c r="AJ153" i="10"/>
  <c r="AI153" i="10"/>
  <c r="AH153" i="10"/>
  <c r="AG153" i="10"/>
  <c r="AF153" i="10"/>
  <c r="AE153" i="10"/>
  <c r="AD153" i="10"/>
  <c r="AC153" i="10"/>
  <c r="AB153" i="10"/>
  <c r="AA153" i="10"/>
  <c r="Z153" i="10"/>
  <c r="Y153" i="10"/>
  <c r="X153" i="10"/>
  <c r="W153" i="10"/>
  <c r="V153" i="10"/>
  <c r="AO152" i="10"/>
  <c r="AN152" i="10"/>
  <c r="AM152" i="10"/>
  <c r="AL152" i="10"/>
  <c r="AK152" i="10"/>
  <c r="AJ152" i="10"/>
  <c r="AI152" i="10"/>
  <c r="AH152" i="10"/>
  <c r="AG152" i="10"/>
  <c r="AF152" i="10"/>
  <c r="AE152" i="10"/>
  <c r="AD152" i="10"/>
  <c r="AC152" i="10"/>
  <c r="AB152" i="10"/>
  <c r="AA152" i="10"/>
  <c r="Z152" i="10"/>
  <c r="Y152" i="10"/>
  <c r="X152" i="10"/>
  <c r="W152" i="10"/>
  <c r="V152" i="10"/>
  <c r="AO151" i="10"/>
  <c r="AN151" i="10"/>
  <c r="AM151" i="10"/>
  <c r="AL151" i="10"/>
  <c r="AK151" i="10"/>
  <c r="AJ151" i="10"/>
  <c r="AI151" i="10"/>
  <c r="AH151" i="10"/>
  <c r="AG151" i="10"/>
  <c r="AF151" i="10"/>
  <c r="AE151" i="10"/>
  <c r="AD151" i="10"/>
  <c r="AC151" i="10"/>
  <c r="AB151" i="10"/>
  <c r="AA151" i="10"/>
  <c r="Z151" i="10"/>
  <c r="Y151" i="10"/>
  <c r="X151" i="10"/>
  <c r="W151" i="10"/>
  <c r="V151" i="10"/>
  <c r="AO150" i="10"/>
  <c r="AN150" i="10"/>
  <c r="AM150" i="10"/>
  <c r="AL150" i="10"/>
  <c r="AK150" i="10"/>
  <c r="AJ150" i="10"/>
  <c r="AI150" i="10"/>
  <c r="AH150" i="10"/>
  <c r="AG150" i="10"/>
  <c r="AF150" i="10"/>
  <c r="AE150" i="10"/>
  <c r="AD150" i="10"/>
  <c r="AC150" i="10"/>
  <c r="AB150" i="10"/>
  <c r="AA150" i="10"/>
  <c r="Z150" i="10"/>
  <c r="Y150" i="10"/>
  <c r="X150" i="10"/>
  <c r="W150" i="10"/>
  <c r="V150" i="10"/>
  <c r="AO149" i="10"/>
  <c r="AN149" i="10"/>
  <c r="AM149" i="10"/>
  <c r="AL149" i="10"/>
  <c r="AK149" i="10"/>
  <c r="AJ149" i="10"/>
  <c r="AI149" i="10"/>
  <c r="AH149" i="10"/>
  <c r="AG149" i="10"/>
  <c r="AF149" i="10"/>
  <c r="AE149" i="10"/>
  <c r="AD149" i="10"/>
  <c r="AC149" i="10"/>
  <c r="AB149" i="10"/>
  <c r="AA149" i="10"/>
  <c r="Z149" i="10"/>
  <c r="Y149" i="10"/>
  <c r="X149" i="10"/>
  <c r="W149" i="10"/>
  <c r="V149" i="10"/>
  <c r="AO148" i="10"/>
  <c r="AN148" i="10"/>
  <c r="AM148" i="10"/>
  <c r="AL148" i="10"/>
  <c r="AK148" i="10"/>
  <c r="AJ148" i="10"/>
  <c r="AI148" i="10"/>
  <c r="AH148" i="10"/>
  <c r="AG148" i="10"/>
  <c r="AF148" i="10"/>
  <c r="AE148" i="10"/>
  <c r="AD148" i="10"/>
  <c r="AC148" i="10"/>
  <c r="AB148" i="10"/>
  <c r="AA148" i="10"/>
  <c r="Z148" i="10"/>
  <c r="Y148" i="10"/>
  <c r="X148" i="10"/>
  <c r="W148" i="10"/>
  <c r="V148" i="10"/>
  <c r="AO147" i="10"/>
  <c r="AN147" i="10"/>
  <c r="AM147" i="10"/>
  <c r="AL147" i="10"/>
  <c r="AK147" i="10"/>
  <c r="AJ147" i="10"/>
  <c r="AI147" i="10"/>
  <c r="AH147" i="10"/>
  <c r="AG147" i="10"/>
  <c r="AF147" i="10"/>
  <c r="AE147" i="10"/>
  <c r="AD147" i="10"/>
  <c r="AC147" i="10"/>
  <c r="AB147" i="10"/>
  <c r="AA147" i="10"/>
  <c r="Z147" i="10"/>
  <c r="Y147" i="10"/>
  <c r="X147" i="10"/>
  <c r="W147" i="10"/>
  <c r="V147" i="10"/>
  <c r="AO146" i="10"/>
  <c r="AN146" i="10"/>
  <c r="AM146" i="10"/>
  <c r="AL146" i="10"/>
  <c r="AK146" i="10"/>
  <c r="AJ146" i="10"/>
  <c r="AI146" i="10"/>
  <c r="AH146" i="10"/>
  <c r="AG146" i="10"/>
  <c r="AF146" i="10"/>
  <c r="AE146" i="10"/>
  <c r="AD146" i="10"/>
  <c r="AC146" i="10"/>
  <c r="AB146" i="10"/>
  <c r="AA146" i="10"/>
  <c r="Z146" i="10"/>
  <c r="Y146" i="10"/>
  <c r="X146" i="10"/>
  <c r="W146" i="10"/>
  <c r="V146" i="10"/>
  <c r="AO145" i="10"/>
  <c r="AN145" i="10"/>
  <c r="AM145" i="10"/>
  <c r="AL145" i="10"/>
  <c r="AK145" i="10"/>
  <c r="AJ145" i="10"/>
  <c r="AI145" i="10"/>
  <c r="AH145" i="10"/>
  <c r="AG145" i="10"/>
  <c r="AF145" i="10"/>
  <c r="AE145" i="10"/>
  <c r="AD145" i="10"/>
  <c r="AC145" i="10"/>
  <c r="AB145" i="10"/>
  <c r="AA145" i="10"/>
  <c r="Z145" i="10"/>
  <c r="Y145" i="10"/>
  <c r="X145" i="10"/>
  <c r="W145" i="10"/>
  <c r="V145" i="10"/>
  <c r="AO144" i="10"/>
  <c r="AN144" i="10"/>
  <c r="AM144" i="10"/>
  <c r="AL144" i="10"/>
  <c r="AK144" i="10"/>
  <c r="AJ144" i="10"/>
  <c r="AI144" i="10"/>
  <c r="AH144" i="10"/>
  <c r="AG144" i="10"/>
  <c r="AF144" i="10"/>
  <c r="AE144" i="10"/>
  <c r="AD144" i="10"/>
  <c r="AC144" i="10"/>
  <c r="AB144" i="10"/>
  <c r="AA144" i="10"/>
  <c r="Z144" i="10"/>
  <c r="Y144" i="10"/>
  <c r="X144" i="10"/>
  <c r="W144" i="10"/>
  <c r="V144" i="10"/>
  <c r="AO143" i="10"/>
  <c r="AN143" i="10"/>
  <c r="AM143" i="10"/>
  <c r="AL143" i="10"/>
  <c r="AK143" i="10"/>
  <c r="AJ143" i="10"/>
  <c r="AI143" i="10"/>
  <c r="AH143" i="10"/>
  <c r="AG143" i="10"/>
  <c r="AF143" i="10"/>
  <c r="AE143" i="10"/>
  <c r="AD143" i="10"/>
  <c r="AC143" i="10"/>
  <c r="AB143" i="10"/>
  <c r="AA143" i="10"/>
  <c r="Z143" i="10"/>
  <c r="Y143" i="10"/>
  <c r="X143" i="10"/>
  <c r="W143" i="10"/>
  <c r="V143" i="10"/>
  <c r="AO142" i="10"/>
  <c r="AN142" i="10"/>
  <c r="AM142" i="10"/>
  <c r="AL142" i="10"/>
  <c r="AK142" i="10"/>
  <c r="AJ142" i="10"/>
  <c r="AI142" i="10"/>
  <c r="AH142" i="10"/>
  <c r="AG142" i="10"/>
  <c r="AF142" i="10"/>
  <c r="AE142" i="10"/>
  <c r="AD142" i="10"/>
  <c r="AC142" i="10"/>
  <c r="AB142" i="10"/>
  <c r="AA142" i="10"/>
  <c r="Z142" i="10"/>
  <c r="Y142" i="10"/>
  <c r="X142" i="10"/>
  <c r="W142" i="10"/>
  <c r="V142" i="10"/>
  <c r="AO141" i="10"/>
  <c r="AN141" i="10"/>
  <c r="AM141" i="10"/>
  <c r="AL141" i="10"/>
  <c r="AK141" i="10"/>
  <c r="AJ141" i="10"/>
  <c r="AI141" i="10"/>
  <c r="AH141" i="10"/>
  <c r="AG141" i="10"/>
  <c r="AF141" i="10"/>
  <c r="AE141" i="10"/>
  <c r="AD141" i="10"/>
  <c r="AC141" i="10"/>
  <c r="AB141" i="10"/>
  <c r="AA141" i="10"/>
  <c r="Z141" i="10"/>
  <c r="Y141" i="10"/>
  <c r="X141" i="10"/>
  <c r="W141" i="10"/>
  <c r="V141" i="10"/>
  <c r="AO140" i="10"/>
  <c r="AN140" i="10"/>
  <c r="AM140" i="10"/>
  <c r="AL140" i="10"/>
  <c r="AK140" i="10"/>
  <c r="AJ140" i="10"/>
  <c r="AI140" i="10"/>
  <c r="AH140" i="10"/>
  <c r="AG140" i="10"/>
  <c r="AF140" i="10"/>
  <c r="AE140" i="10"/>
  <c r="AD140" i="10"/>
  <c r="AC140" i="10"/>
  <c r="AB140" i="10"/>
  <c r="AA140" i="10"/>
  <c r="Z140" i="10"/>
  <c r="Y140" i="10"/>
  <c r="X140" i="10"/>
  <c r="W140" i="10"/>
  <c r="V140" i="10"/>
  <c r="AO139" i="10"/>
  <c r="AN139" i="10"/>
  <c r="AM139" i="10"/>
  <c r="AL139" i="10"/>
  <c r="AK139" i="10"/>
  <c r="AJ139" i="10"/>
  <c r="AI139" i="10"/>
  <c r="AH139" i="10"/>
  <c r="AG139" i="10"/>
  <c r="AF139" i="10"/>
  <c r="AE139" i="10"/>
  <c r="AD139" i="10"/>
  <c r="AC139" i="10"/>
  <c r="AB139" i="10"/>
  <c r="AA139" i="10"/>
  <c r="Z139" i="10"/>
  <c r="Y139" i="10"/>
  <c r="X139" i="10"/>
  <c r="W139" i="10"/>
  <c r="V139" i="10"/>
  <c r="AO138" i="10"/>
  <c r="AN138" i="10"/>
  <c r="AM138" i="10"/>
  <c r="AL138" i="10"/>
  <c r="AK138" i="10"/>
  <c r="AJ138" i="10"/>
  <c r="AI138" i="10"/>
  <c r="AH138" i="10"/>
  <c r="AG138" i="10"/>
  <c r="AF138" i="10"/>
  <c r="AE138" i="10"/>
  <c r="AD138" i="10"/>
  <c r="AC138" i="10"/>
  <c r="AB138" i="10"/>
  <c r="AA138" i="10"/>
  <c r="Z138" i="10"/>
  <c r="Y138" i="10"/>
  <c r="X138" i="10"/>
  <c r="W138" i="10"/>
  <c r="V138" i="10"/>
  <c r="AO137" i="10"/>
  <c r="AN137" i="10"/>
  <c r="AM137" i="10"/>
  <c r="AL137" i="10"/>
  <c r="AK137" i="10"/>
  <c r="AJ137" i="10"/>
  <c r="AI137" i="10"/>
  <c r="AH137" i="10"/>
  <c r="AG137" i="10"/>
  <c r="AF137" i="10"/>
  <c r="AE137" i="10"/>
  <c r="AD137" i="10"/>
  <c r="AC137" i="10"/>
  <c r="AB137" i="10"/>
  <c r="AA137" i="10"/>
  <c r="Z137" i="10"/>
  <c r="Y137" i="10"/>
  <c r="X137" i="10"/>
  <c r="W137" i="10"/>
  <c r="V137" i="10"/>
  <c r="AO136" i="10"/>
  <c r="AN136" i="10"/>
  <c r="AM136" i="10"/>
  <c r="AL136" i="10"/>
  <c r="AK136" i="10"/>
  <c r="AJ136" i="10"/>
  <c r="AI136" i="10"/>
  <c r="AH136" i="10"/>
  <c r="AG136" i="10"/>
  <c r="AF136" i="10"/>
  <c r="AE136" i="10"/>
  <c r="AD136" i="10"/>
  <c r="AC136" i="10"/>
  <c r="AB136" i="10"/>
  <c r="AA136" i="10"/>
  <c r="Z136" i="10"/>
  <c r="Y136" i="10"/>
  <c r="X136" i="10"/>
  <c r="W136" i="10"/>
  <c r="V136" i="10"/>
  <c r="AO135" i="10"/>
  <c r="AN135" i="10"/>
  <c r="AM135" i="10"/>
  <c r="AL135" i="10"/>
  <c r="AK135" i="10"/>
  <c r="AJ135" i="10"/>
  <c r="AI135" i="10"/>
  <c r="AH135" i="10"/>
  <c r="AG135" i="10"/>
  <c r="AF135" i="10"/>
  <c r="AE135" i="10"/>
  <c r="AD135" i="10"/>
  <c r="AC135" i="10"/>
  <c r="AB135" i="10"/>
  <c r="AA135" i="10"/>
  <c r="Z135" i="10"/>
  <c r="Y135" i="10"/>
  <c r="X135" i="10"/>
  <c r="W135" i="10"/>
  <c r="V135" i="10"/>
  <c r="AO134" i="10"/>
  <c r="AN134" i="10"/>
  <c r="AM134" i="10"/>
  <c r="AL134" i="10"/>
  <c r="AK134" i="10"/>
  <c r="AJ134" i="10"/>
  <c r="AI134" i="10"/>
  <c r="AH134" i="10"/>
  <c r="AG134" i="10"/>
  <c r="AF134" i="10"/>
  <c r="AE134" i="10"/>
  <c r="AD134" i="10"/>
  <c r="AC134" i="10"/>
  <c r="AB134" i="10"/>
  <c r="AA134" i="10"/>
  <c r="Z134" i="10"/>
  <c r="Y134" i="10"/>
  <c r="X134" i="10"/>
  <c r="W134" i="10"/>
  <c r="V134" i="10"/>
  <c r="AO133" i="10"/>
  <c r="AN133" i="10"/>
  <c r="AM133" i="10"/>
  <c r="AL133" i="10"/>
  <c r="AK133" i="10"/>
  <c r="AJ133" i="10"/>
  <c r="AI133" i="10"/>
  <c r="AH133" i="10"/>
  <c r="AG133" i="10"/>
  <c r="AF133" i="10"/>
  <c r="AE133" i="10"/>
  <c r="AD133" i="10"/>
  <c r="AC133" i="10"/>
  <c r="AB133" i="10"/>
  <c r="AA133" i="10"/>
  <c r="Z133" i="10"/>
  <c r="Y133" i="10"/>
  <c r="X133" i="10"/>
  <c r="W133" i="10"/>
  <c r="V133" i="10"/>
  <c r="AO132" i="10"/>
  <c r="AN132" i="10"/>
  <c r="AM132" i="10"/>
  <c r="AL132" i="10"/>
  <c r="AK132" i="10"/>
  <c r="AJ132" i="10"/>
  <c r="AI132" i="10"/>
  <c r="AH132" i="10"/>
  <c r="AG132" i="10"/>
  <c r="AF132" i="10"/>
  <c r="AE132" i="10"/>
  <c r="AD132" i="10"/>
  <c r="AC132" i="10"/>
  <c r="AB132" i="10"/>
  <c r="AA132" i="10"/>
  <c r="Z132" i="10"/>
  <c r="Y132" i="10"/>
  <c r="X132" i="10"/>
  <c r="W132" i="10"/>
  <c r="V132" i="10"/>
  <c r="AO131" i="10"/>
  <c r="AN131" i="10"/>
  <c r="AM131" i="10"/>
  <c r="AL131" i="10"/>
  <c r="AK131" i="10"/>
  <c r="AJ131" i="10"/>
  <c r="AI131" i="10"/>
  <c r="AH131" i="10"/>
  <c r="AG131" i="10"/>
  <c r="AF131" i="10"/>
  <c r="AE131" i="10"/>
  <c r="AD131" i="10"/>
  <c r="AC131" i="10"/>
  <c r="AB131" i="10"/>
  <c r="AA131" i="10"/>
  <c r="Z131" i="10"/>
  <c r="Y131" i="10"/>
  <c r="X131" i="10"/>
  <c r="W131" i="10"/>
  <c r="V131" i="10"/>
  <c r="AO130" i="10"/>
  <c r="AN130" i="10"/>
  <c r="AM130" i="10"/>
  <c r="AL130" i="10"/>
  <c r="AK130" i="10"/>
  <c r="AJ130" i="10"/>
  <c r="AI130" i="10"/>
  <c r="AH130" i="10"/>
  <c r="AG130" i="10"/>
  <c r="AF130" i="10"/>
  <c r="AE130" i="10"/>
  <c r="AD130" i="10"/>
  <c r="AC130" i="10"/>
  <c r="AB130" i="10"/>
  <c r="AA130" i="10"/>
  <c r="Z130" i="10"/>
  <c r="Y130" i="10"/>
  <c r="X130" i="10"/>
  <c r="W130" i="10"/>
  <c r="V130" i="10"/>
  <c r="AO129" i="10"/>
  <c r="AN129" i="10"/>
  <c r="AM129" i="10"/>
  <c r="AL129" i="10"/>
  <c r="AK129" i="10"/>
  <c r="AJ129" i="10"/>
  <c r="AI129" i="10"/>
  <c r="AH129" i="10"/>
  <c r="AG129" i="10"/>
  <c r="AF129" i="10"/>
  <c r="AE129" i="10"/>
  <c r="AD129" i="10"/>
  <c r="AC129" i="10"/>
  <c r="AB129" i="10"/>
  <c r="AA129" i="10"/>
  <c r="Z129" i="10"/>
  <c r="Y129" i="10"/>
  <c r="X129" i="10"/>
  <c r="W129" i="10"/>
  <c r="V129" i="10"/>
  <c r="AO128" i="10"/>
  <c r="AN128" i="10"/>
  <c r="AM128" i="10"/>
  <c r="AL128" i="10"/>
  <c r="AK128" i="10"/>
  <c r="AJ128" i="10"/>
  <c r="AI128" i="10"/>
  <c r="AH128" i="10"/>
  <c r="AG128" i="10"/>
  <c r="AF128" i="10"/>
  <c r="AE128" i="10"/>
  <c r="AD128" i="10"/>
  <c r="AC128" i="10"/>
  <c r="AB128" i="10"/>
  <c r="AA128" i="10"/>
  <c r="Z128" i="10"/>
  <c r="Y128" i="10"/>
  <c r="X128" i="10"/>
  <c r="W128" i="10"/>
  <c r="V128" i="10"/>
  <c r="AO127" i="10"/>
  <c r="AN127" i="10"/>
  <c r="AM127" i="10"/>
  <c r="AL127" i="10"/>
  <c r="AK127" i="10"/>
  <c r="AJ127" i="10"/>
  <c r="AI127" i="10"/>
  <c r="AH127" i="10"/>
  <c r="AG127" i="10"/>
  <c r="AF127" i="10"/>
  <c r="AE127" i="10"/>
  <c r="AD127" i="10"/>
  <c r="AC127" i="10"/>
  <c r="AB127" i="10"/>
  <c r="AA127" i="10"/>
  <c r="Z127" i="10"/>
  <c r="Y127" i="10"/>
  <c r="X127" i="10"/>
  <c r="W127" i="10"/>
  <c r="V127" i="10"/>
  <c r="AO126" i="10"/>
  <c r="AN126" i="10"/>
  <c r="AM126" i="10"/>
  <c r="AL126" i="10"/>
  <c r="AK126" i="10"/>
  <c r="AJ126" i="10"/>
  <c r="AI126" i="10"/>
  <c r="AH126" i="10"/>
  <c r="AG126" i="10"/>
  <c r="AF126" i="10"/>
  <c r="AE126" i="10"/>
  <c r="AD126" i="10"/>
  <c r="AC126" i="10"/>
  <c r="AB126" i="10"/>
  <c r="AA126" i="10"/>
  <c r="Z126" i="10"/>
  <c r="Y126" i="10"/>
  <c r="X126" i="10"/>
  <c r="W126" i="10"/>
  <c r="V126" i="10"/>
  <c r="AO125" i="10"/>
  <c r="AN125" i="10"/>
  <c r="AM125" i="10"/>
  <c r="AL125" i="10"/>
  <c r="AK125" i="10"/>
  <c r="AJ125" i="10"/>
  <c r="AI125" i="10"/>
  <c r="AH125" i="10"/>
  <c r="AG125" i="10"/>
  <c r="AF125" i="10"/>
  <c r="AE125" i="10"/>
  <c r="AD125" i="10"/>
  <c r="AC125" i="10"/>
  <c r="AB125" i="10"/>
  <c r="AA125" i="10"/>
  <c r="Z125" i="10"/>
  <c r="Y125" i="10"/>
  <c r="X125" i="10"/>
  <c r="W125" i="10"/>
  <c r="V125" i="10"/>
  <c r="AO124" i="10"/>
  <c r="AN124" i="10"/>
  <c r="AM124" i="10"/>
  <c r="AL124" i="10"/>
  <c r="AK124" i="10"/>
  <c r="AJ124" i="10"/>
  <c r="AI124" i="10"/>
  <c r="AH124" i="10"/>
  <c r="AG124" i="10"/>
  <c r="AF124" i="10"/>
  <c r="AE124" i="10"/>
  <c r="AD124" i="10"/>
  <c r="AC124" i="10"/>
  <c r="AB124" i="10"/>
  <c r="AA124" i="10"/>
  <c r="Z124" i="10"/>
  <c r="Y124" i="10"/>
  <c r="X124" i="10"/>
  <c r="W124" i="10"/>
  <c r="V124" i="10"/>
  <c r="AO123" i="10"/>
  <c r="AN123" i="10"/>
  <c r="AM123" i="10"/>
  <c r="AL123" i="10"/>
  <c r="AK123" i="10"/>
  <c r="AJ123" i="10"/>
  <c r="AI123" i="10"/>
  <c r="AH123" i="10"/>
  <c r="AG123" i="10"/>
  <c r="AF123" i="10"/>
  <c r="AE123" i="10"/>
  <c r="AD123" i="10"/>
  <c r="AC123" i="10"/>
  <c r="AB123" i="10"/>
  <c r="AA123" i="10"/>
  <c r="Z123" i="10"/>
  <c r="Y123" i="10"/>
  <c r="X123" i="10"/>
  <c r="W123" i="10"/>
  <c r="V123" i="10"/>
  <c r="AO122" i="10"/>
  <c r="AN122" i="10"/>
  <c r="AM122" i="10"/>
  <c r="AL122" i="10"/>
  <c r="AK122" i="10"/>
  <c r="AJ122" i="10"/>
  <c r="AI122" i="10"/>
  <c r="AH122" i="10"/>
  <c r="AG122" i="10"/>
  <c r="AF122" i="10"/>
  <c r="AE122" i="10"/>
  <c r="AD122" i="10"/>
  <c r="AC122" i="10"/>
  <c r="AB122" i="10"/>
  <c r="AA122" i="10"/>
  <c r="Z122" i="10"/>
  <c r="Y122" i="10"/>
  <c r="X122" i="10"/>
  <c r="W122" i="10"/>
  <c r="V122" i="10"/>
  <c r="AO121" i="10"/>
  <c r="AN121" i="10"/>
  <c r="AM121" i="10"/>
  <c r="AL121" i="10"/>
  <c r="AK121" i="10"/>
  <c r="AJ121" i="10"/>
  <c r="AI121" i="10"/>
  <c r="AH121" i="10"/>
  <c r="AG121" i="10"/>
  <c r="AF121" i="10"/>
  <c r="AE121" i="10"/>
  <c r="AD121" i="10"/>
  <c r="AC121" i="10"/>
  <c r="AB121" i="10"/>
  <c r="AA121" i="10"/>
  <c r="Z121" i="10"/>
  <c r="Y121" i="10"/>
  <c r="X121" i="10"/>
  <c r="W121" i="10"/>
  <c r="V121" i="10"/>
  <c r="AO120" i="10"/>
  <c r="AN120" i="10"/>
  <c r="AM120" i="10"/>
  <c r="AL120" i="10"/>
  <c r="AK120" i="10"/>
  <c r="AJ120" i="10"/>
  <c r="AI120" i="10"/>
  <c r="AH120" i="10"/>
  <c r="AG120" i="10"/>
  <c r="AF120" i="10"/>
  <c r="AE120" i="10"/>
  <c r="AD120" i="10"/>
  <c r="AC120" i="10"/>
  <c r="AB120" i="10"/>
  <c r="AA120" i="10"/>
  <c r="Z120" i="10"/>
  <c r="Y120" i="10"/>
  <c r="X120" i="10"/>
  <c r="W120" i="10"/>
  <c r="V120" i="10"/>
  <c r="AO119" i="10"/>
  <c r="AN119" i="10"/>
  <c r="AM119" i="10"/>
  <c r="AL119" i="10"/>
  <c r="AK119" i="10"/>
  <c r="AJ119" i="10"/>
  <c r="AI119" i="10"/>
  <c r="AH119" i="10"/>
  <c r="AG119" i="10"/>
  <c r="AF119" i="10"/>
  <c r="AE119" i="10"/>
  <c r="AD119" i="10"/>
  <c r="AC119" i="10"/>
  <c r="AB119" i="10"/>
  <c r="AA119" i="10"/>
  <c r="Z119" i="10"/>
  <c r="Y119" i="10"/>
  <c r="X119" i="10"/>
  <c r="W119" i="10"/>
  <c r="V119" i="10"/>
  <c r="AO118" i="10"/>
  <c r="AN118" i="10"/>
  <c r="AM118" i="10"/>
  <c r="AL118" i="10"/>
  <c r="AK118" i="10"/>
  <c r="AJ118" i="10"/>
  <c r="AI118" i="10"/>
  <c r="AH118" i="10"/>
  <c r="AG118" i="10"/>
  <c r="AF118" i="10"/>
  <c r="AE118" i="10"/>
  <c r="AD118" i="10"/>
  <c r="AC118" i="10"/>
  <c r="AB118" i="10"/>
  <c r="AA118" i="10"/>
  <c r="Z118" i="10"/>
  <c r="Y118" i="10"/>
  <c r="X118" i="10"/>
  <c r="W118" i="10"/>
  <c r="V118" i="10"/>
  <c r="AO117" i="10"/>
  <c r="AN117" i="10"/>
  <c r="AM117" i="10"/>
  <c r="AL117" i="10"/>
  <c r="AK117" i="10"/>
  <c r="AJ117" i="10"/>
  <c r="AI117" i="10"/>
  <c r="AH117" i="10"/>
  <c r="AG117" i="10"/>
  <c r="AF117" i="10"/>
  <c r="AE117" i="10"/>
  <c r="AD117" i="10"/>
  <c r="AC117" i="10"/>
  <c r="AB117" i="10"/>
  <c r="AA117" i="10"/>
  <c r="Z117" i="10"/>
  <c r="Y117" i="10"/>
  <c r="X117" i="10"/>
  <c r="W117" i="10"/>
  <c r="V117" i="10"/>
  <c r="AO116" i="10"/>
  <c r="AN116" i="10"/>
  <c r="AM116" i="10"/>
  <c r="AL116" i="10"/>
  <c r="AK116" i="10"/>
  <c r="AJ116" i="10"/>
  <c r="AI116" i="10"/>
  <c r="AH116" i="10"/>
  <c r="AG116" i="10"/>
  <c r="AF116" i="10"/>
  <c r="AE116" i="10"/>
  <c r="AD116" i="10"/>
  <c r="AC116" i="10"/>
  <c r="AB116" i="10"/>
  <c r="AA116" i="10"/>
  <c r="Z116" i="10"/>
  <c r="Y116" i="10"/>
  <c r="X116" i="10"/>
  <c r="W116" i="10"/>
  <c r="V116" i="10"/>
  <c r="AO115" i="10"/>
  <c r="AN115" i="10"/>
  <c r="AM115" i="10"/>
  <c r="AL115" i="10"/>
  <c r="AK115" i="10"/>
  <c r="AJ115" i="10"/>
  <c r="AI115" i="10"/>
  <c r="AH115" i="10"/>
  <c r="AG115" i="10"/>
  <c r="AF115" i="10"/>
  <c r="AE115" i="10"/>
  <c r="AD115" i="10"/>
  <c r="AC115" i="10"/>
  <c r="AB115" i="10"/>
  <c r="AA115" i="10"/>
  <c r="Z115" i="10"/>
  <c r="Y115" i="10"/>
  <c r="X115" i="10"/>
  <c r="W115" i="10"/>
  <c r="V115" i="10"/>
  <c r="AO114" i="10"/>
  <c r="AN114" i="10"/>
  <c r="AM114" i="10"/>
  <c r="AL114" i="10"/>
  <c r="AK114" i="10"/>
  <c r="AJ114" i="10"/>
  <c r="AI114" i="10"/>
  <c r="AH114" i="10"/>
  <c r="AG114" i="10"/>
  <c r="AF114" i="10"/>
  <c r="AE114" i="10"/>
  <c r="AD114" i="10"/>
  <c r="AC114" i="10"/>
  <c r="AB114" i="10"/>
  <c r="AA114" i="10"/>
  <c r="Z114" i="10"/>
  <c r="Y114" i="10"/>
  <c r="X114" i="10"/>
  <c r="W114" i="10"/>
  <c r="V114" i="10"/>
  <c r="AO113" i="10"/>
  <c r="AN113" i="10"/>
  <c r="AM113" i="10"/>
  <c r="AL113" i="10"/>
  <c r="AK113" i="10"/>
  <c r="AJ113" i="10"/>
  <c r="AI113" i="10"/>
  <c r="AH113" i="10"/>
  <c r="AG113" i="10"/>
  <c r="AF113" i="10"/>
  <c r="AE113" i="10"/>
  <c r="AD113" i="10"/>
  <c r="AC113" i="10"/>
  <c r="AB113" i="10"/>
  <c r="AA113" i="10"/>
  <c r="Z113" i="10"/>
  <c r="Y113" i="10"/>
  <c r="X113" i="10"/>
  <c r="W113" i="10"/>
  <c r="V113" i="10"/>
  <c r="AO112" i="10"/>
  <c r="AN112" i="10"/>
  <c r="AM112" i="10"/>
  <c r="AL112" i="10"/>
  <c r="AK112" i="10"/>
  <c r="AJ112" i="10"/>
  <c r="AI112" i="10"/>
  <c r="AH112" i="10"/>
  <c r="AG112" i="10"/>
  <c r="AF112" i="10"/>
  <c r="AE112" i="10"/>
  <c r="AD112" i="10"/>
  <c r="AC112" i="10"/>
  <c r="AB112" i="10"/>
  <c r="AA112" i="10"/>
  <c r="Z112" i="10"/>
  <c r="Y112" i="10"/>
  <c r="X112" i="10"/>
  <c r="W112" i="10"/>
  <c r="V112" i="10"/>
  <c r="AO111" i="10"/>
  <c r="AN111" i="10"/>
  <c r="AM111" i="10"/>
  <c r="AL111" i="10"/>
  <c r="AK111" i="10"/>
  <c r="AJ111" i="10"/>
  <c r="AI111" i="10"/>
  <c r="AH111" i="10"/>
  <c r="AG111" i="10"/>
  <c r="AF111" i="10"/>
  <c r="AE111" i="10"/>
  <c r="AD111" i="10"/>
  <c r="AC111" i="10"/>
  <c r="AB111" i="10"/>
  <c r="AA111" i="10"/>
  <c r="Z111" i="10"/>
  <c r="Y111" i="10"/>
  <c r="X111" i="10"/>
  <c r="W111" i="10"/>
  <c r="V111" i="10"/>
  <c r="AO110" i="10"/>
  <c r="AN110" i="10"/>
  <c r="AM110" i="10"/>
  <c r="AL110" i="10"/>
  <c r="AK110" i="10"/>
  <c r="AJ110" i="10"/>
  <c r="AI110" i="10"/>
  <c r="AH110" i="10"/>
  <c r="AG110" i="10"/>
  <c r="AF110" i="10"/>
  <c r="AE110" i="10"/>
  <c r="AD110" i="10"/>
  <c r="AC110" i="10"/>
  <c r="AB110" i="10"/>
  <c r="AA110" i="10"/>
  <c r="Z110" i="10"/>
  <c r="Y110" i="10"/>
  <c r="X110" i="10"/>
  <c r="W110" i="10"/>
  <c r="V110" i="10"/>
  <c r="AO109" i="10"/>
  <c r="AN109" i="10"/>
  <c r="AM109" i="10"/>
  <c r="AL109" i="10"/>
  <c r="AK109" i="10"/>
  <c r="AJ109" i="10"/>
  <c r="AI109" i="10"/>
  <c r="AH109" i="10"/>
  <c r="AG109" i="10"/>
  <c r="AF109" i="10"/>
  <c r="AE109" i="10"/>
  <c r="AD109" i="10"/>
  <c r="AC109" i="10"/>
  <c r="AB109" i="10"/>
  <c r="AA109" i="10"/>
  <c r="Z109" i="10"/>
  <c r="Y109" i="10"/>
  <c r="X109" i="10"/>
  <c r="W109" i="10"/>
  <c r="V109" i="10"/>
  <c r="AO108" i="10"/>
  <c r="AN108" i="10"/>
  <c r="AM108" i="10"/>
  <c r="AL108" i="10"/>
  <c r="AK108" i="10"/>
  <c r="AJ108" i="10"/>
  <c r="AI108" i="10"/>
  <c r="AH108" i="10"/>
  <c r="AG108" i="10"/>
  <c r="AF108" i="10"/>
  <c r="AE108" i="10"/>
  <c r="AD108" i="10"/>
  <c r="AC108" i="10"/>
  <c r="AB108" i="10"/>
  <c r="AA108" i="10"/>
  <c r="Z108" i="10"/>
  <c r="Y108" i="10"/>
  <c r="X108" i="10"/>
  <c r="W108" i="10"/>
  <c r="V108" i="10"/>
  <c r="AO107" i="10"/>
  <c r="AN107" i="10"/>
  <c r="AM107" i="10"/>
  <c r="AL107" i="10"/>
  <c r="AK107" i="10"/>
  <c r="AJ107" i="10"/>
  <c r="AI107" i="10"/>
  <c r="AH107" i="10"/>
  <c r="AG107" i="10"/>
  <c r="AF107" i="10"/>
  <c r="AE107" i="10"/>
  <c r="AD107" i="10"/>
  <c r="AC107" i="10"/>
  <c r="AB107" i="10"/>
  <c r="AA107" i="10"/>
  <c r="Z107" i="10"/>
  <c r="Y107" i="10"/>
  <c r="X107" i="10"/>
  <c r="W107" i="10"/>
  <c r="V107" i="10"/>
  <c r="AO106" i="10"/>
  <c r="AN106" i="10"/>
  <c r="AM106" i="10"/>
  <c r="AL106" i="10"/>
  <c r="AK106" i="10"/>
  <c r="AJ106" i="10"/>
  <c r="AI106" i="10"/>
  <c r="AH106" i="10"/>
  <c r="AG106" i="10"/>
  <c r="AF106" i="10"/>
  <c r="AE106" i="10"/>
  <c r="AD106" i="10"/>
  <c r="AC106" i="10"/>
  <c r="AB106" i="10"/>
  <c r="AA106" i="10"/>
  <c r="Z106" i="10"/>
  <c r="Y106" i="10"/>
  <c r="X106" i="10"/>
  <c r="W106" i="10"/>
  <c r="V106" i="10"/>
  <c r="AO105" i="10"/>
  <c r="AN105" i="10"/>
  <c r="AM105" i="10"/>
  <c r="AL105" i="10"/>
  <c r="AK105" i="10"/>
  <c r="AJ105" i="10"/>
  <c r="AI105" i="10"/>
  <c r="AH105" i="10"/>
  <c r="AG105" i="10"/>
  <c r="AF105" i="10"/>
  <c r="AE105" i="10"/>
  <c r="AD105" i="10"/>
  <c r="AC105" i="10"/>
  <c r="AB105" i="10"/>
  <c r="AA105" i="10"/>
  <c r="Z105" i="10"/>
  <c r="Y105" i="10"/>
  <c r="X105" i="10"/>
  <c r="W105" i="10"/>
  <c r="V105" i="10"/>
  <c r="AO104" i="10"/>
  <c r="AN104" i="10"/>
  <c r="AM104" i="10"/>
  <c r="AL104" i="10"/>
  <c r="AK104" i="10"/>
  <c r="AJ104" i="10"/>
  <c r="AI104" i="10"/>
  <c r="AH104" i="10"/>
  <c r="AG104" i="10"/>
  <c r="AF104" i="10"/>
  <c r="AE104" i="10"/>
  <c r="AD104" i="10"/>
  <c r="AC104" i="10"/>
  <c r="AB104" i="10"/>
  <c r="AA104" i="10"/>
  <c r="Z104" i="10"/>
  <c r="Y104" i="10"/>
  <c r="X104" i="10"/>
  <c r="W104" i="10"/>
  <c r="V104" i="10"/>
  <c r="AO103" i="10"/>
  <c r="AN103" i="10"/>
  <c r="AM103" i="10"/>
  <c r="AL103" i="10"/>
  <c r="AK103" i="10"/>
  <c r="AJ103" i="10"/>
  <c r="AI103" i="10"/>
  <c r="AH103" i="10"/>
  <c r="AG103" i="10"/>
  <c r="AF103" i="10"/>
  <c r="AE103" i="10"/>
  <c r="AD103" i="10"/>
  <c r="AC103" i="10"/>
  <c r="AB103" i="10"/>
  <c r="AA103" i="10"/>
  <c r="Z103" i="10"/>
  <c r="Y103" i="10"/>
  <c r="X103" i="10"/>
  <c r="W103" i="10"/>
  <c r="V103" i="10"/>
  <c r="AO102" i="10"/>
  <c r="AN102" i="10"/>
  <c r="AM102" i="10"/>
  <c r="AL102" i="10"/>
  <c r="AK102" i="10"/>
  <c r="AJ102" i="10"/>
  <c r="AI102" i="10"/>
  <c r="AH102" i="10"/>
  <c r="AG102" i="10"/>
  <c r="AF102" i="10"/>
  <c r="AE102" i="10"/>
  <c r="AD102" i="10"/>
  <c r="AC102" i="10"/>
  <c r="AB102" i="10"/>
  <c r="AA102" i="10"/>
  <c r="Z102" i="10"/>
  <c r="Y102" i="10"/>
  <c r="X102" i="10"/>
  <c r="W102" i="10"/>
  <c r="V102" i="10"/>
  <c r="AO101" i="10"/>
  <c r="AN101" i="10"/>
  <c r="AM101" i="10"/>
  <c r="AL101" i="10"/>
  <c r="AK101" i="10"/>
  <c r="AJ101" i="10"/>
  <c r="AI101" i="10"/>
  <c r="AH101" i="10"/>
  <c r="AG101" i="10"/>
  <c r="AF101" i="10"/>
  <c r="AE101" i="10"/>
  <c r="AD101" i="10"/>
  <c r="AC101" i="10"/>
  <c r="AB101" i="10"/>
  <c r="AA101" i="10"/>
  <c r="Z101" i="10"/>
  <c r="Y101" i="10"/>
  <c r="X101" i="10"/>
  <c r="W101" i="10"/>
  <c r="V101" i="10"/>
  <c r="AO100" i="10"/>
  <c r="AN100" i="10"/>
  <c r="AM100" i="10"/>
  <c r="AL100" i="10"/>
  <c r="AK100" i="10"/>
  <c r="AJ100" i="10"/>
  <c r="AI100" i="10"/>
  <c r="AH100" i="10"/>
  <c r="AG100" i="10"/>
  <c r="AF100" i="10"/>
  <c r="AE100" i="10"/>
  <c r="AD100" i="10"/>
  <c r="AC100" i="10"/>
  <c r="AB100" i="10"/>
  <c r="AA100" i="10"/>
  <c r="Z100" i="10"/>
  <c r="Y100" i="10"/>
  <c r="X100" i="10"/>
  <c r="W100" i="10"/>
  <c r="V100" i="10"/>
  <c r="AV95" i="10"/>
  <c r="AC95" i="10"/>
  <c r="AA95" i="10"/>
  <c r="Y95" i="10"/>
  <c r="AV94" i="10"/>
  <c r="AD94" i="10"/>
  <c r="AE94" i="10" s="1"/>
  <c r="AC94" i="10"/>
  <c r="AB94" i="10"/>
  <c r="AA94" i="10"/>
  <c r="Y94" i="10"/>
  <c r="W94" i="10"/>
  <c r="AV93" i="10"/>
  <c r="AC93" i="10"/>
  <c r="Y93" i="10"/>
  <c r="W93" i="10"/>
  <c r="AV92" i="10"/>
  <c r="AA92" i="10"/>
  <c r="Y92" i="10"/>
  <c r="W92" i="10"/>
  <c r="AV91" i="10"/>
  <c r="AC91" i="10"/>
  <c r="AB91" i="10"/>
  <c r="AA91" i="10"/>
  <c r="AV90" i="10"/>
  <c r="AC90" i="10"/>
  <c r="Y90" i="10"/>
  <c r="W90" i="10"/>
  <c r="AV89" i="10"/>
  <c r="AC89" i="10"/>
  <c r="AA89" i="10"/>
  <c r="Y89" i="10"/>
  <c r="AV88" i="10"/>
  <c r="AC88" i="10"/>
  <c r="AB88" i="10"/>
  <c r="AA88" i="10"/>
  <c r="Y88" i="10"/>
  <c r="AV87" i="10"/>
  <c r="AC87" i="10"/>
  <c r="AA87" i="10"/>
  <c r="Y87" i="10"/>
  <c r="W87" i="10"/>
  <c r="AV86" i="10"/>
  <c r="AV85" i="10"/>
  <c r="AV84" i="10"/>
  <c r="AV83" i="10"/>
  <c r="AV82" i="10"/>
  <c r="Z82" i="10"/>
  <c r="Y82" i="10"/>
  <c r="X82" i="10"/>
  <c r="W82" i="10"/>
  <c r="V82" i="10"/>
  <c r="AV81" i="10"/>
  <c r="Z81" i="10"/>
  <c r="Y81" i="10"/>
  <c r="X81" i="10"/>
  <c r="W81" i="10"/>
  <c r="V81" i="10"/>
  <c r="AV80" i="10"/>
  <c r="Z80" i="10"/>
  <c r="Y80" i="10"/>
  <c r="X80" i="10"/>
  <c r="W80" i="10"/>
  <c r="V80" i="10"/>
  <c r="AV79" i="10"/>
  <c r="Z79" i="10"/>
  <c r="Y79" i="10"/>
  <c r="X79" i="10"/>
  <c r="W79" i="10"/>
  <c r="V79" i="10"/>
  <c r="AV78" i="10"/>
  <c r="Z78" i="10"/>
  <c r="Y78" i="10"/>
  <c r="X78" i="10"/>
  <c r="W78" i="10"/>
  <c r="V78" i="10"/>
  <c r="AV77" i="10"/>
  <c r="Z77" i="10"/>
  <c r="Y77" i="10"/>
  <c r="X77" i="10"/>
  <c r="W77" i="10"/>
  <c r="V77" i="10"/>
  <c r="AV76" i="10"/>
  <c r="Z76" i="10"/>
  <c r="Y76" i="10"/>
  <c r="X76" i="10"/>
  <c r="W76" i="10"/>
  <c r="V76" i="10"/>
  <c r="AV75" i="10"/>
  <c r="Z75" i="10"/>
  <c r="Y75" i="10"/>
  <c r="X75" i="10"/>
  <c r="W75" i="10"/>
  <c r="V75" i="10"/>
  <c r="AV74" i="10"/>
  <c r="Z74" i="10"/>
  <c r="Y74" i="10"/>
  <c r="X74" i="10"/>
  <c r="W74" i="10"/>
  <c r="V74" i="10"/>
  <c r="AV73" i="10"/>
  <c r="Z73" i="10"/>
  <c r="Y73" i="10"/>
  <c r="X73" i="10"/>
  <c r="W73" i="10"/>
  <c r="V73" i="10"/>
  <c r="AV72" i="10"/>
  <c r="AV71" i="10"/>
  <c r="AV70" i="10"/>
  <c r="AV69" i="10"/>
  <c r="AV68" i="10"/>
  <c r="Z68" i="10"/>
  <c r="Y68" i="10"/>
  <c r="X68" i="10"/>
  <c r="W68" i="10"/>
  <c r="V68" i="10"/>
  <c r="AV67" i="10"/>
  <c r="Z67" i="10"/>
  <c r="Y67" i="10"/>
  <c r="X67" i="10"/>
  <c r="W67" i="10"/>
  <c r="V67" i="10"/>
  <c r="AV66" i="10"/>
  <c r="Z66" i="10"/>
  <c r="Y66" i="10"/>
  <c r="X66" i="10"/>
  <c r="W66" i="10"/>
  <c r="V66" i="10"/>
  <c r="AV65" i="10"/>
  <c r="Z65" i="10"/>
  <c r="Y65" i="10"/>
  <c r="X65" i="10"/>
  <c r="W65" i="10"/>
  <c r="V65" i="10"/>
  <c r="AV64" i="10"/>
  <c r="Z64" i="10"/>
  <c r="Y64" i="10"/>
  <c r="X64" i="10"/>
  <c r="W64" i="10"/>
  <c r="V64" i="10"/>
  <c r="AV63" i="10"/>
  <c r="Z63" i="10"/>
  <c r="Y63" i="10"/>
  <c r="X63" i="10"/>
  <c r="W63" i="10"/>
  <c r="V63" i="10"/>
  <c r="AV62" i="10"/>
  <c r="Z62" i="10"/>
  <c r="Y62" i="10"/>
  <c r="X62" i="10"/>
  <c r="W62" i="10"/>
  <c r="V62" i="10"/>
  <c r="AV61" i="10"/>
  <c r="Z61" i="10"/>
  <c r="Y61" i="10"/>
  <c r="X61" i="10"/>
  <c r="W61" i="10"/>
  <c r="V61" i="10"/>
  <c r="AV60" i="10"/>
  <c r="Z60" i="10"/>
  <c r="Y60" i="10"/>
  <c r="X60" i="10"/>
  <c r="W60" i="10"/>
  <c r="V60" i="10"/>
  <c r="AV59" i="10"/>
  <c r="Z59" i="10"/>
  <c r="Y59" i="10"/>
  <c r="X59" i="10"/>
  <c r="W59" i="10"/>
  <c r="V59" i="10"/>
  <c r="AV58" i="10"/>
  <c r="AQ58" i="10"/>
  <c r="Z58" i="10"/>
  <c r="Y58" i="10"/>
  <c r="X58" i="10"/>
  <c r="W58" i="10"/>
  <c r="V58" i="10"/>
  <c r="AV57" i="10"/>
  <c r="Z57" i="10"/>
  <c r="Y57" i="10"/>
  <c r="X57" i="10"/>
  <c r="W57" i="10"/>
  <c r="V57" i="10"/>
  <c r="B57" i="10"/>
  <c r="AV56" i="10"/>
  <c r="Z56" i="10"/>
  <c r="Y56" i="10"/>
  <c r="X56" i="10"/>
  <c r="W56" i="10"/>
  <c r="V56" i="10"/>
  <c r="AV55" i="10"/>
  <c r="AV54" i="10"/>
  <c r="AV53" i="10"/>
  <c r="AV52" i="10"/>
  <c r="AV51" i="10"/>
  <c r="AP44" i="10"/>
  <c r="B59" i="10" s="1"/>
  <c r="AP43" i="10"/>
  <c r="B58" i="10" s="1"/>
  <c r="AP42" i="10"/>
  <c r="X42" i="10"/>
  <c r="B42" i="10"/>
  <c r="AQ29" i="10" s="1"/>
  <c r="AP41" i="10"/>
  <c r="B56" i="10" s="1"/>
  <c r="X41" i="10"/>
  <c r="AP40" i="10"/>
  <c r="B55" i="10" s="1"/>
  <c r="X40" i="10"/>
  <c r="B40" i="10"/>
  <c r="X39" i="10"/>
  <c r="X38" i="10"/>
  <c r="X37" i="10"/>
  <c r="X36" i="10"/>
  <c r="X35" i="10"/>
  <c r="Q35" i="10"/>
  <c r="P35" i="10"/>
  <c r="B35" i="10"/>
  <c r="X34" i="10"/>
  <c r="J34" i="10"/>
  <c r="X33" i="10"/>
  <c r="X32" i="10"/>
  <c r="AG31" i="10"/>
  <c r="X31" i="10"/>
  <c r="AC30" i="10"/>
  <c r="O99" i="10" s="1"/>
  <c r="X30" i="10"/>
  <c r="X29" i="10"/>
  <c r="B29" i="10"/>
  <c r="AQ27" i="10" s="1"/>
  <c r="X28" i="10"/>
  <c r="B27" i="10"/>
  <c r="P25" i="10"/>
  <c r="I24" i="10" s="1"/>
  <c r="G24" i="10"/>
  <c r="E24" i="10"/>
  <c r="C24" i="10"/>
  <c r="AB23" i="10"/>
  <c r="AA23" i="10"/>
  <c r="Z23" i="10"/>
  <c r="Y23" i="10"/>
  <c r="I23" i="10"/>
  <c r="G23" i="10"/>
  <c r="E23" i="10"/>
  <c r="C23" i="10"/>
  <c r="AB22" i="10"/>
  <c r="AA22" i="10"/>
  <c r="Z22" i="10"/>
  <c r="AC22" i="10" s="1"/>
  <c r="Y22" i="10"/>
  <c r="I22" i="10"/>
  <c r="G22" i="10"/>
  <c r="E22" i="10"/>
  <c r="C22" i="10"/>
  <c r="I21" i="10"/>
  <c r="G21" i="10"/>
  <c r="E21" i="10"/>
  <c r="C21" i="10"/>
  <c r="AQ20" i="10"/>
  <c r="AI20" i="10"/>
  <c r="I20" i="10"/>
  <c r="AQ19" i="10"/>
  <c r="AI19" i="10"/>
  <c r="AQ18" i="10"/>
  <c r="B47" i="10" s="1"/>
  <c r="AQ34" i="10" s="1"/>
  <c r="AI18" i="10"/>
  <c r="AJ18" i="10" s="1"/>
  <c r="I18" i="10"/>
  <c r="AI17" i="10"/>
  <c r="AI16" i="10"/>
  <c r="AI15" i="10"/>
  <c r="AJ15" i="10" s="1"/>
  <c r="AQ14" i="10"/>
  <c r="AI14" i="10"/>
  <c r="I14" i="10"/>
  <c r="AQ13" i="10"/>
  <c r="AI13" i="10"/>
  <c r="AQ12" i="10"/>
  <c r="B44" i="10" s="1"/>
  <c r="AQ31" i="10" s="1"/>
  <c r="AI12" i="10"/>
  <c r="AJ12" i="10" s="1"/>
  <c r="AI11" i="10"/>
  <c r="AB11" i="10"/>
  <c r="AA11" i="10"/>
  <c r="Z11" i="10"/>
  <c r="Y11" i="10"/>
  <c r="AI10" i="10"/>
  <c r="AB10" i="10"/>
  <c r="AA10" i="10"/>
  <c r="Z10" i="10"/>
  <c r="AC10" i="10" s="1"/>
  <c r="Y10" i="10"/>
  <c r="AI9" i="10"/>
  <c r="AJ9" i="10" s="1"/>
  <c r="AC9" i="10"/>
  <c r="AB9" i="10"/>
  <c r="AA9" i="10"/>
  <c r="Z9" i="10"/>
  <c r="Y9" i="10"/>
  <c r="AQ8" i="10"/>
  <c r="B43" i="10" s="1"/>
  <c r="AQ30" i="10" s="1"/>
  <c r="AB8" i="10"/>
  <c r="AA8" i="10"/>
  <c r="Z8" i="10"/>
  <c r="AC8" i="10" s="1"/>
  <c r="Y8" i="10"/>
  <c r="AQ7" i="10"/>
  <c r="AQ6" i="10"/>
  <c r="B41" i="10" s="1"/>
  <c r="AQ28" i="10" s="1"/>
  <c r="AS5" i="10"/>
  <c r="AC30" i="8"/>
  <c r="E28" i="11" l="1"/>
  <c r="AS24" i="11"/>
  <c r="AS37" i="11" s="1"/>
  <c r="AR41" i="11" s="1"/>
  <c r="AU24" i="11"/>
  <c r="AU37" i="11" s="1"/>
  <c r="AT42" i="11" s="1"/>
  <c r="AS24" i="14"/>
  <c r="AS37" i="14" s="1"/>
  <c r="AR41" i="14" s="1"/>
  <c r="AV24" i="14"/>
  <c r="AV37" i="14" s="1"/>
  <c r="AU44" i="14" s="1"/>
  <c r="AU24" i="14"/>
  <c r="AU37" i="14" s="1"/>
  <c r="AT44" i="14" s="1"/>
  <c r="AT24" i="14"/>
  <c r="AT37" i="14" s="1"/>
  <c r="AS42" i="14" s="1"/>
  <c r="E28" i="14"/>
  <c r="D28" i="14"/>
  <c r="J30" i="11"/>
  <c r="E30" i="11" s="1"/>
  <c r="E29" i="11"/>
  <c r="D29" i="11"/>
  <c r="AT41" i="16"/>
  <c r="AT42" i="19"/>
  <c r="AT40" i="19"/>
  <c r="AS43" i="19"/>
  <c r="AU40" i="17"/>
  <c r="AS44" i="18"/>
  <c r="AR41" i="17"/>
  <c r="AR41" i="18"/>
  <c r="AT40" i="17"/>
  <c r="AS44" i="15"/>
  <c r="AT40" i="16"/>
  <c r="AS44" i="17"/>
  <c r="AT42" i="16"/>
  <c r="AU44" i="21"/>
  <c r="AT44" i="16"/>
  <c r="AR42" i="18"/>
  <c r="AU42" i="21"/>
  <c r="AE95" i="10"/>
  <c r="AR40" i="17"/>
  <c r="J41" i="25"/>
  <c r="E43" i="25" s="1"/>
  <c r="AS42" i="15"/>
  <c r="AR43" i="17"/>
  <c r="AU41" i="17"/>
  <c r="AU41" i="21"/>
  <c r="AT8" i="25"/>
  <c r="AT9" i="25" s="1"/>
  <c r="AT11" i="25" s="1"/>
  <c r="AE87" i="10"/>
  <c r="AE90" i="10"/>
  <c r="AR42" i="17"/>
  <c r="AU41" i="15"/>
  <c r="AR40" i="18"/>
  <c r="AV14" i="27"/>
  <c r="AU14" i="27" s="1"/>
  <c r="AV13" i="27"/>
  <c r="AT13" i="27" s="1"/>
  <c r="AV44" i="27"/>
  <c r="AV40" i="27"/>
  <c r="AV42" i="27"/>
  <c r="AV43" i="27"/>
  <c r="J42" i="27"/>
  <c r="AT12" i="27"/>
  <c r="AU12" i="27"/>
  <c r="AS12" i="27"/>
  <c r="AV41" i="27"/>
  <c r="AV42" i="26"/>
  <c r="E57" i="26" s="1"/>
  <c r="AV44" i="26"/>
  <c r="D59" i="26" s="1"/>
  <c r="AV41" i="26"/>
  <c r="E56" i="26" s="1"/>
  <c r="AV43" i="26"/>
  <c r="D58" i="26" s="1"/>
  <c r="AV13" i="26"/>
  <c r="AV12" i="26"/>
  <c r="AV14" i="26"/>
  <c r="D55" i="26"/>
  <c r="AW40" i="26"/>
  <c r="E55" i="26"/>
  <c r="AZ40" i="26"/>
  <c r="AY40" i="26"/>
  <c r="AX40" i="26"/>
  <c r="AU43" i="21"/>
  <c r="AS43" i="21"/>
  <c r="AS42" i="21"/>
  <c r="AS41" i="21"/>
  <c r="AS44" i="21"/>
  <c r="AT42" i="20"/>
  <c r="AT44" i="20"/>
  <c r="AT43" i="20"/>
  <c r="AT40" i="20"/>
  <c r="AS9" i="19"/>
  <c r="AS11" i="19" s="1"/>
  <c r="AR41" i="19"/>
  <c r="AS42" i="19"/>
  <c r="AR40" i="19"/>
  <c r="AS44" i="19"/>
  <c r="AR44" i="19"/>
  <c r="AR43" i="19"/>
  <c r="AT44" i="19"/>
  <c r="AS41" i="19"/>
  <c r="AT43" i="19"/>
  <c r="AT40" i="18"/>
  <c r="AR44" i="18"/>
  <c r="AT42" i="18"/>
  <c r="AS41" i="17"/>
  <c r="AS43" i="17"/>
  <c r="AU8" i="25"/>
  <c r="AU9" i="25" s="1"/>
  <c r="AU11" i="25" s="1"/>
  <c r="E29" i="25"/>
  <c r="D29" i="25"/>
  <c r="J30" i="25"/>
  <c r="AV28" i="25"/>
  <c r="AS31" i="25"/>
  <c r="AS34" i="25"/>
  <c r="AS29" i="25"/>
  <c r="AT33" i="25"/>
  <c r="AU35" i="25"/>
  <c r="AV30" i="25"/>
  <c r="J28" i="25"/>
  <c r="AS27" i="25"/>
  <c r="AS35" i="25"/>
  <c r="D27" i="25"/>
  <c r="AT31" i="25"/>
  <c r="AU33" i="25"/>
  <c r="AV27" i="25"/>
  <c r="AU27" i="25"/>
  <c r="AU28" i="25"/>
  <c r="AV31" i="25"/>
  <c r="AV34" i="25"/>
  <c r="AV29" i="25"/>
  <c r="AS33" i="25"/>
  <c r="AT35" i="25"/>
  <c r="AU30" i="25"/>
  <c r="E27" i="25"/>
  <c r="AT27" i="25"/>
  <c r="AV33" i="25"/>
  <c r="AT30" i="25"/>
  <c r="AS28" i="25"/>
  <c r="AT29" i="25"/>
  <c r="AT28" i="25"/>
  <c r="AU31" i="25"/>
  <c r="AU34" i="25"/>
  <c r="AU29" i="25"/>
  <c r="AV35" i="25"/>
  <c r="AT34" i="25"/>
  <c r="AS30" i="25"/>
  <c r="AT32" i="25"/>
  <c r="AS36" i="25"/>
  <c r="AS32" i="25"/>
  <c r="AV36" i="25"/>
  <c r="AV32" i="25"/>
  <c r="AU36" i="25"/>
  <c r="AU32" i="25"/>
  <c r="AT36" i="25"/>
  <c r="AS41" i="15"/>
  <c r="AU40" i="15"/>
  <c r="AS43" i="15"/>
  <c r="AU44" i="15"/>
  <c r="AD8" i="10"/>
  <c r="AB36" i="10" s="1"/>
  <c r="AC31" i="10" s="1"/>
  <c r="P99" i="10" s="1"/>
  <c r="AS28" i="23"/>
  <c r="AT35" i="23"/>
  <c r="AU36" i="23"/>
  <c r="AT32" i="23"/>
  <c r="AU33" i="23"/>
  <c r="AT31" i="23"/>
  <c r="AV28" i="23"/>
  <c r="AT30" i="23"/>
  <c r="J30" i="23"/>
  <c r="AV29" i="23"/>
  <c r="AU31" i="23"/>
  <c r="AV27" i="23"/>
  <c r="AU30" i="23"/>
  <c r="AT33" i="23"/>
  <c r="AV36" i="23"/>
  <c r="AT27" i="23"/>
  <c r="AS36" i="23"/>
  <c r="AT34" i="23"/>
  <c r="E29" i="23"/>
  <c r="AU29" i="23"/>
  <c r="AT36" i="23"/>
  <c r="AU34" i="23"/>
  <c r="AS31" i="23"/>
  <c r="AS33" i="23"/>
  <c r="AU32" i="23"/>
  <c r="AU35" i="23"/>
  <c r="AS27" i="23"/>
  <c r="AV32" i="23"/>
  <c r="AV31" i="23"/>
  <c r="AV34" i="23"/>
  <c r="AT29" i="23"/>
  <c r="AU27" i="23"/>
  <c r="AS32" i="23"/>
  <c r="AV33" i="23"/>
  <c r="AV30" i="23"/>
  <c r="AS34" i="23"/>
  <c r="AV35" i="23"/>
  <c r="D29" i="23"/>
  <c r="AU28" i="23"/>
  <c r="AS29" i="23"/>
  <c r="AS30" i="23"/>
  <c r="AS35" i="23"/>
  <c r="AT28" i="23"/>
  <c r="J28" i="23"/>
  <c r="E27" i="23"/>
  <c r="D27" i="23"/>
  <c r="AT24" i="11"/>
  <c r="AT37" i="11" s="1"/>
  <c r="AS43" i="11" s="1"/>
  <c r="AV24" i="11"/>
  <c r="AV37" i="11" s="1"/>
  <c r="AU43" i="11" s="1"/>
  <c r="AS9" i="25"/>
  <c r="AS11" i="25" s="1"/>
  <c r="D42" i="25"/>
  <c r="E42" i="25"/>
  <c r="E41" i="25"/>
  <c r="D41" i="25"/>
  <c r="D29" i="24"/>
  <c r="J30" i="24"/>
  <c r="E29" i="24"/>
  <c r="AV32" i="24"/>
  <c r="AS36" i="24"/>
  <c r="AT27" i="24"/>
  <c r="AS31" i="24"/>
  <c r="AT36" i="24"/>
  <c r="E27" i="24"/>
  <c r="AS35" i="24"/>
  <c r="AV36" i="24"/>
  <c r="AS27" i="24"/>
  <c r="AV31" i="24"/>
  <c r="AT28" i="24"/>
  <c r="AT30" i="24"/>
  <c r="D27" i="24"/>
  <c r="AV35" i="24"/>
  <c r="J28" i="24"/>
  <c r="AT35" i="24"/>
  <c r="AU35" i="24"/>
  <c r="AU32" i="24"/>
  <c r="AT34" i="24"/>
  <c r="AU28" i="24"/>
  <c r="AT32" i="24"/>
  <c r="AS34" i="24"/>
  <c r="AU36" i="24"/>
  <c r="AV27" i="24"/>
  <c r="AS28" i="24"/>
  <c r="AU31" i="24"/>
  <c r="AS30" i="24"/>
  <c r="AU30" i="24"/>
  <c r="AS32" i="24"/>
  <c r="AV34" i="24"/>
  <c r="AU27" i="24"/>
  <c r="AT31" i="24"/>
  <c r="AV28" i="24"/>
  <c r="AU34" i="24"/>
  <c r="AV30" i="24"/>
  <c r="AV33" i="24"/>
  <c r="AU29" i="24"/>
  <c r="AT29" i="24"/>
  <c r="AS33" i="24"/>
  <c r="AU33" i="24"/>
  <c r="AT33" i="24"/>
  <c r="AS29" i="24"/>
  <c r="AV29" i="24"/>
  <c r="AS9" i="24"/>
  <c r="AS11" i="24" s="1"/>
  <c r="D42" i="24"/>
  <c r="E42" i="24"/>
  <c r="AU9" i="24"/>
  <c r="AU11" i="24" s="1"/>
  <c r="E41" i="24"/>
  <c r="D41" i="24"/>
  <c r="E43" i="24"/>
  <c r="D43" i="24"/>
  <c r="AT9" i="24"/>
  <c r="AT11" i="24" s="1"/>
  <c r="AS9" i="23"/>
  <c r="AS11" i="23" s="1"/>
  <c r="AT9" i="23"/>
  <c r="AT11" i="23" s="1"/>
  <c r="D42" i="23"/>
  <c r="E42" i="23"/>
  <c r="E43" i="23"/>
  <c r="D43" i="23"/>
  <c r="AU9" i="23"/>
  <c r="AU11" i="23" s="1"/>
  <c r="E41" i="23"/>
  <c r="D41" i="23"/>
  <c r="AS9" i="22"/>
  <c r="AS11" i="22" s="1"/>
  <c r="AU9" i="22"/>
  <c r="AU11" i="22" s="1"/>
  <c r="AV12" i="22" s="1"/>
  <c r="AT9" i="22"/>
  <c r="AT11" i="22" s="1"/>
  <c r="E41" i="22"/>
  <c r="D41" i="22"/>
  <c r="E42" i="22"/>
  <c r="D42" i="22"/>
  <c r="E43" i="22"/>
  <c r="D43" i="22"/>
  <c r="AT28" i="22"/>
  <c r="AS28" i="22"/>
  <c r="AV28" i="22"/>
  <c r="AU28" i="22"/>
  <c r="J39" i="21"/>
  <c r="AS6" i="21"/>
  <c r="AU6" i="21"/>
  <c r="AT6" i="21"/>
  <c r="J41" i="21"/>
  <c r="AS8" i="21"/>
  <c r="AU8" i="21"/>
  <c r="AT8" i="21"/>
  <c r="J40" i="21"/>
  <c r="AU7" i="21"/>
  <c r="AT7" i="21"/>
  <c r="AS7" i="21"/>
  <c r="AR41" i="21"/>
  <c r="AR44" i="21"/>
  <c r="AR42" i="21"/>
  <c r="AR40" i="21"/>
  <c r="AR43" i="21"/>
  <c r="AT43" i="21"/>
  <c r="AT40" i="21"/>
  <c r="AT41" i="21"/>
  <c r="AT44" i="21"/>
  <c r="AT42" i="21"/>
  <c r="AU41" i="20"/>
  <c r="AU44" i="20"/>
  <c r="AS41" i="20"/>
  <c r="AU40" i="20"/>
  <c r="AS43" i="20"/>
  <c r="AR43" i="20"/>
  <c r="AS42" i="20"/>
  <c r="AR42" i="20"/>
  <c r="AU42" i="20"/>
  <c r="AR40" i="20"/>
  <c r="AR41" i="20"/>
  <c r="AS40" i="20"/>
  <c r="J39" i="20"/>
  <c r="AS6" i="20"/>
  <c r="AT6" i="20"/>
  <c r="AU6" i="20"/>
  <c r="J40" i="20"/>
  <c r="AU7" i="20"/>
  <c r="AT7" i="20"/>
  <c r="AS7" i="20"/>
  <c r="J41" i="20"/>
  <c r="AS8" i="20"/>
  <c r="AT8" i="20"/>
  <c r="AU8" i="20"/>
  <c r="AU9" i="19"/>
  <c r="AU11" i="19" s="1"/>
  <c r="AV13" i="19" s="1"/>
  <c r="E41" i="19"/>
  <c r="D41" i="19"/>
  <c r="AT9" i="19"/>
  <c r="AT11" i="19" s="1"/>
  <c r="E43" i="19"/>
  <c r="D43" i="19"/>
  <c r="AU44" i="19"/>
  <c r="AU42" i="19"/>
  <c r="AU43" i="19"/>
  <c r="AU40" i="19"/>
  <c r="AU41" i="19"/>
  <c r="D42" i="19"/>
  <c r="E42" i="19"/>
  <c r="AT43" i="18"/>
  <c r="AT41" i="18"/>
  <c r="AS41" i="18"/>
  <c r="AS40" i="18"/>
  <c r="AU9" i="18"/>
  <c r="AU11" i="18" s="1"/>
  <c r="AV14" i="18" s="1"/>
  <c r="AS9" i="18"/>
  <c r="AS11" i="18" s="1"/>
  <c r="AS42" i="18"/>
  <c r="AT42" i="17"/>
  <c r="AT43" i="17"/>
  <c r="AT41" i="17"/>
  <c r="AU44" i="17"/>
  <c r="AU43" i="17"/>
  <c r="AS40" i="17"/>
  <c r="E43" i="18"/>
  <c r="D43" i="18"/>
  <c r="E30" i="18"/>
  <c r="D30" i="18"/>
  <c r="E41" i="18"/>
  <c r="D41" i="18"/>
  <c r="D42" i="18"/>
  <c r="E42" i="18"/>
  <c r="AU44" i="18"/>
  <c r="AU42" i="18"/>
  <c r="AU43" i="18"/>
  <c r="AU40" i="18"/>
  <c r="AU41" i="18"/>
  <c r="AT9" i="18"/>
  <c r="AT11" i="18" s="1"/>
  <c r="E42" i="17"/>
  <c r="D42" i="17"/>
  <c r="E43" i="17"/>
  <c r="D43" i="17"/>
  <c r="E41" i="17"/>
  <c r="D41" i="17"/>
  <c r="E30" i="17"/>
  <c r="D30" i="17"/>
  <c r="AS9" i="17"/>
  <c r="AS11" i="17" s="1"/>
  <c r="AT9" i="17"/>
  <c r="AT11" i="17" s="1"/>
  <c r="AU9" i="17"/>
  <c r="AU11" i="17" s="1"/>
  <c r="AR43" i="16"/>
  <c r="AR40" i="16"/>
  <c r="AT43" i="14"/>
  <c r="AS42" i="16"/>
  <c r="AU9" i="16"/>
  <c r="AU11" i="16" s="1"/>
  <c r="AV12" i="16" s="1"/>
  <c r="AS40" i="16"/>
  <c r="AU40" i="16"/>
  <c r="AU44" i="16"/>
  <c r="AS41" i="16"/>
  <c r="AR41" i="16"/>
  <c r="AU41" i="16"/>
  <c r="AU43" i="16"/>
  <c r="AR44" i="16"/>
  <c r="AS44" i="16"/>
  <c r="AS9" i="15"/>
  <c r="AS11" i="15" s="1"/>
  <c r="AT9" i="15"/>
  <c r="AT11" i="15" s="1"/>
  <c r="AU42" i="15"/>
  <c r="E41" i="16"/>
  <c r="D41" i="16"/>
  <c r="E43" i="16"/>
  <c r="D43" i="16"/>
  <c r="AS9" i="16"/>
  <c r="AS11" i="16" s="1"/>
  <c r="E30" i="16"/>
  <c r="D30" i="16"/>
  <c r="D42" i="16"/>
  <c r="E42" i="16"/>
  <c r="AT9" i="16"/>
  <c r="AT11" i="16" s="1"/>
  <c r="AU9" i="15"/>
  <c r="AU11" i="15" s="1"/>
  <c r="E43" i="15"/>
  <c r="D43" i="15"/>
  <c r="E42" i="15"/>
  <c r="D42" i="15"/>
  <c r="AT43" i="15"/>
  <c r="AT40" i="15"/>
  <c r="AT41" i="15"/>
  <c r="AT44" i="15"/>
  <c r="AT42" i="15"/>
  <c r="E41" i="15"/>
  <c r="D41" i="15"/>
  <c r="AR41" i="15"/>
  <c r="AR44" i="15"/>
  <c r="AR42" i="15"/>
  <c r="AR40" i="15"/>
  <c r="AR43" i="15"/>
  <c r="AT9" i="14"/>
  <c r="AT11" i="14" s="1"/>
  <c r="AS9" i="14"/>
  <c r="AS11" i="14" s="1"/>
  <c r="AU9" i="14"/>
  <c r="AU11" i="14" s="1"/>
  <c r="AV14" i="14" s="1"/>
  <c r="E41" i="14"/>
  <c r="D41" i="14"/>
  <c r="E43" i="14"/>
  <c r="D43" i="14"/>
  <c r="D42" i="14"/>
  <c r="E42" i="14"/>
  <c r="J39" i="13"/>
  <c r="AU6" i="13"/>
  <c r="AT6" i="13"/>
  <c r="AS6" i="13"/>
  <c r="AU8" i="13"/>
  <c r="AT8" i="13"/>
  <c r="AS8" i="13"/>
  <c r="J41" i="13"/>
  <c r="J40" i="13"/>
  <c r="AU7" i="13"/>
  <c r="AS7" i="13"/>
  <c r="AT7" i="13"/>
  <c r="AT44" i="11"/>
  <c r="AS9" i="12"/>
  <c r="AS11" i="12" s="1"/>
  <c r="E42" i="12"/>
  <c r="D42" i="12"/>
  <c r="AV24" i="12"/>
  <c r="AV37" i="12" s="1"/>
  <c r="J30" i="12"/>
  <c r="E29" i="12"/>
  <c r="D29" i="12"/>
  <c r="D43" i="12"/>
  <c r="E43" i="12"/>
  <c r="AT9" i="12"/>
  <c r="AT11" i="12" s="1"/>
  <c r="E28" i="12"/>
  <c r="D28" i="12"/>
  <c r="AU9" i="12"/>
  <c r="AU11" i="12" s="1"/>
  <c r="AS24" i="12"/>
  <c r="AS37" i="12" s="1"/>
  <c r="E41" i="12"/>
  <c r="D41" i="12"/>
  <c r="AT24" i="12"/>
  <c r="AT37" i="12" s="1"/>
  <c r="AU24" i="12"/>
  <c r="AU37" i="12" s="1"/>
  <c r="AT8" i="11"/>
  <c r="J41" i="11"/>
  <c r="AU8" i="11"/>
  <c r="AS8" i="11"/>
  <c r="J40" i="11"/>
  <c r="AT7" i="11"/>
  <c r="AU7" i="11"/>
  <c r="AS7" i="11"/>
  <c r="D30" i="11"/>
  <c r="AT6" i="11"/>
  <c r="J39" i="11"/>
  <c r="AU6" i="11"/>
  <c r="AS6" i="11"/>
  <c r="AE92" i="10"/>
  <c r="Z46" i="10" s="1"/>
  <c r="AC11" i="10"/>
  <c r="E18" i="10"/>
  <c r="AL9" i="10" s="1"/>
  <c r="AK9" i="10" s="1"/>
  <c r="AS26" i="10" s="1"/>
  <c r="AQ59" i="10"/>
  <c r="D40" i="10" s="1"/>
  <c r="AE91" i="10"/>
  <c r="V50" i="10"/>
  <c r="AT5" i="10"/>
  <c r="B48" i="10"/>
  <c r="AQ35" i="10" s="1"/>
  <c r="B45" i="10"/>
  <c r="AQ32" i="10" s="1"/>
  <c r="AE93" i="10"/>
  <c r="B49" i="10"/>
  <c r="AQ36" i="10" s="1"/>
  <c r="P24" i="10"/>
  <c r="J35" i="10"/>
  <c r="E35" i="10"/>
  <c r="AE89" i="10"/>
  <c r="B46" i="10"/>
  <c r="AQ33" i="10" s="1"/>
  <c r="D35" i="10"/>
  <c r="V49" i="10"/>
  <c r="AC23" i="10"/>
  <c r="AD22" i="10" s="1"/>
  <c r="AB39" i="10" s="1"/>
  <c r="AC32" i="10" s="1"/>
  <c r="AE88" i="10"/>
  <c r="AT43" i="11" l="1"/>
  <c r="AR44" i="11"/>
  <c r="AT40" i="11"/>
  <c r="AT41" i="11"/>
  <c r="AR43" i="14"/>
  <c r="AR40" i="11"/>
  <c r="AR43" i="11"/>
  <c r="AV43" i="11" s="1"/>
  <c r="AW43" i="11" s="1"/>
  <c r="AR42" i="11"/>
  <c r="AS43" i="14"/>
  <c r="AR44" i="14"/>
  <c r="AU40" i="14"/>
  <c r="AS40" i="14"/>
  <c r="AR40" i="14"/>
  <c r="AU43" i="14"/>
  <c r="AV43" i="16"/>
  <c r="AZ43" i="16" s="1"/>
  <c r="AS41" i="14"/>
  <c r="AS44" i="14"/>
  <c r="AT40" i="14"/>
  <c r="AU42" i="14"/>
  <c r="AT42" i="14"/>
  <c r="AU41" i="14"/>
  <c r="AT41" i="14"/>
  <c r="AR42" i="14"/>
  <c r="AU44" i="11"/>
  <c r="AU42" i="11"/>
  <c r="AS42" i="11"/>
  <c r="AU41" i="11"/>
  <c r="AU40" i="11"/>
  <c r="AV42" i="16"/>
  <c r="AW42" i="16" s="1"/>
  <c r="AV40" i="17"/>
  <c r="AX40" i="17" s="1"/>
  <c r="D43" i="25"/>
  <c r="AV42" i="19"/>
  <c r="AX42" i="19" s="1"/>
  <c r="AV40" i="19"/>
  <c r="E55" i="19" s="1"/>
  <c r="AV44" i="17"/>
  <c r="AZ44" i="17" s="1"/>
  <c r="AV44" i="18"/>
  <c r="E59" i="18" s="1"/>
  <c r="AV44" i="20"/>
  <c r="AY44" i="20" s="1"/>
  <c r="AV42" i="17"/>
  <c r="D57" i="17" s="1"/>
  <c r="AV43" i="18"/>
  <c r="AX43" i="18" s="1"/>
  <c r="AV41" i="17"/>
  <c r="AX41" i="17" s="1"/>
  <c r="J43" i="27"/>
  <c r="E45" i="27" s="1"/>
  <c r="AU13" i="27"/>
  <c r="AU15" i="27" s="1"/>
  <c r="AU17" i="27" s="1"/>
  <c r="J44" i="27"/>
  <c r="D46" i="27" s="1"/>
  <c r="AS13" i="27"/>
  <c r="AS14" i="27"/>
  <c r="AT14" i="27"/>
  <c r="AT15" i="27" s="1"/>
  <c r="AT17" i="27" s="1"/>
  <c r="AY42" i="27"/>
  <c r="E57" i="27"/>
  <c r="AX42" i="27"/>
  <c r="AW42" i="27"/>
  <c r="D57" i="27"/>
  <c r="AZ42" i="27"/>
  <c r="AW40" i="27"/>
  <c r="E55" i="27"/>
  <c r="AZ40" i="27"/>
  <c r="AX40" i="27"/>
  <c r="AY40" i="27"/>
  <c r="D55" i="27"/>
  <c r="AX41" i="27"/>
  <c r="AW41" i="27"/>
  <c r="AZ41" i="27"/>
  <c r="D56" i="27"/>
  <c r="E56" i="27"/>
  <c r="AY41" i="27"/>
  <c r="E44" i="27"/>
  <c r="D44" i="27"/>
  <c r="AY44" i="27"/>
  <c r="AX44" i="27"/>
  <c r="AZ44" i="27"/>
  <c r="D59" i="27"/>
  <c r="E59" i="27"/>
  <c r="AW44" i="27"/>
  <c r="E58" i="27"/>
  <c r="AW43" i="27"/>
  <c r="D58" i="27"/>
  <c r="AZ43" i="27"/>
  <c r="AY43" i="27"/>
  <c r="AX43" i="27"/>
  <c r="D56" i="26"/>
  <c r="D57" i="26"/>
  <c r="AW42" i="26"/>
  <c r="AX42" i="26"/>
  <c r="AW41" i="26"/>
  <c r="AX41" i="26"/>
  <c r="AY42" i="26"/>
  <c r="AZ44" i="26"/>
  <c r="AY41" i="26"/>
  <c r="AW44" i="26"/>
  <c r="AZ41" i="26"/>
  <c r="AZ42" i="26"/>
  <c r="E59" i="26"/>
  <c r="AY44" i="26"/>
  <c r="AX44" i="26"/>
  <c r="AY43" i="26"/>
  <c r="AW43" i="26"/>
  <c r="E58" i="26"/>
  <c r="AX43" i="26"/>
  <c r="AZ43" i="26"/>
  <c r="J44" i="26"/>
  <c r="AS14" i="26"/>
  <c r="AT14" i="26"/>
  <c r="AU14" i="26"/>
  <c r="J42" i="26"/>
  <c r="AU12" i="26"/>
  <c r="AS12" i="26"/>
  <c r="AT12" i="26"/>
  <c r="J43" i="26"/>
  <c r="AU13" i="26"/>
  <c r="AT13" i="26"/>
  <c r="AS13" i="26"/>
  <c r="AV41" i="20"/>
  <c r="AW41" i="20" s="1"/>
  <c r="AV12" i="19"/>
  <c r="AS12" i="19" s="1"/>
  <c r="AV14" i="19"/>
  <c r="AT14" i="19" s="1"/>
  <c r="AV43" i="19"/>
  <c r="E58" i="19" s="1"/>
  <c r="AV41" i="19"/>
  <c r="AW41" i="19" s="1"/>
  <c r="AV44" i="19"/>
  <c r="D59" i="19" s="1"/>
  <c r="AV41" i="18"/>
  <c r="AW41" i="18" s="1"/>
  <c r="AV43" i="17"/>
  <c r="D58" i="17" s="1"/>
  <c r="AV24" i="25"/>
  <c r="AV37" i="25" s="1"/>
  <c r="AU43" i="25" s="1"/>
  <c r="AS24" i="25"/>
  <c r="AS37" i="25" s="1"/>
  <c r="AT24" i="25"/>
  <c r="AT37" i="25" s="1"/>
  <c r="E28" i="25"/>
  <c r="D28" i="25"/>
  <c r="E30" i="25"/>
  <c r="D30" i="25"/>
  <c r="AU24" i="25"/>
  <c r="AU37" i="25" s="1"/>
  <c r="D28" i="23"/>
  <c r="E28" i="23"/>
  <c r="AU24" i="23"/>
  <c r="AU37" i="23" s="1"/>
  <c r="AT24" i="23"/>
  <c r="AT37" i="23" s="1"/>
  <c r="AV24" i="23"/>
  <c r="AV37" i="23" s="1"/>
  <c r="AS24" i="23"/>
  <c r="AS37" i="23" s="1"/>
  <c r="E30" i="23"/>
  <c r="D30" i="23"/>
  <c r="AS40" i="11"/>
  <c r="AS44" i="11"/>
  <c r="AS41" i="11"/>
  <c r="AV13" i="25"/>
  <c r="AV14" i="25"/>
  <c r="AV12" i="25"/>
  <c r="AS24" i="24"/>
  <c r="AS37" i="24" s="1"/>
  <c r="AU24" i="24"/>
  <c r="AU37" i="24" s="1"/>
  <c r="D28" i="24"/>
  <c r="E28" i="24"/>
  <c r="E30" i="24"/>
  <c r="D30" i="24"/>
  <c r="AV24" i="24"/>
  <c r="AV37" i="24" s="1"/>
  <c r="AT24" i="24"/>
  <c r="AT37" i="24" s="1"/>
  <c r="AV13" i="24"/>
  <c r="AV14" i="24"/>
  <c r="AV12" i="24"/>
  <c r="AV13" i="23"/>
  <c r="AV14" i="23"/>
  <c r="AV12" i="23"/>
  <c r="AV13" i="22"/>
  <c r="J43" i="22" s="1"/>
  <c r="AV14" i="22"/>
  <c r="J44" i="22" s="1"/>
  <c r="J42" i="22"/>
  <c r="AT12" i="22"/>
  <c r="AS12" i="22"/>
  <c r="AU12" i="22"/>
  <c r="AV42" i="21"/>
  <c r="AT9" i="21"/>
  <c r="AT11" i="21" s="1"/>
  <c r="AV44" i="21"/>
  <c r="AU9" i="21"/>
  <c r="AU11" i="21" s="1"/>
  <c r="AV43" i="21"/>
  <c r="AV41" i="21"/>
  <c r="AS9" i="21"/>
  <c r="AS11" i="21" s="1"/>
  <c r="AV40" i="21"/>
  <c r="E42" i="21"/>
  <c r="D42" i="21"/>
  <c r="E43" i="21"/>
  <c r="D43" i="21"/>
  <c r="E41" i="21"/>
  <c r="D41" i="21"/>
  <c r="AV42" i="20"/>
  <c r="AY42" i="20" s="1"/>
  <c r="AV43" i="20"/>
  <c r="E58" i="20" s="1"/>
  <c r="AV40" i="20"/>
  <c r="AZ40" i="20" s="1"/>
  <c r="AU9" i="20"/>
  <c r="AU11" i="20" s="1"/>
  <c r="AV13" i="20" s="1"/>
  <c r="AT9" i="20"/>
  <c r="AT11" i="20" s="1"/>
  <c r="E43" i="20"/>
  <c r="D43" i="20"/>
  <c r="AS9" i="20"/>
  <c r="AS11" i="20" s="1"/>
  <c r="D42" i="20"/>
  <c r="E42" i="20"/>
  <c r="E41" i="20"/>
  <c r="D41" i="20"/>
  <c r="AU13" i="19"/>
  <c r="AT13" i="19"/>
  <c r="AS13" i="19"/>
  <c r="J43" i="19"/>
  <c r="AV40" i="18"/>
  <c r="AW40" i="18" s="1"/>
  <c r="AV13" i="18"/>
  <c r="J43" i="18" s="1"/>
  <c r="AV12" i="18"/>
  <c r="J42" i="18" s="1"/>
  <c r="AV42" i="18"/>
  <c r="AY42" i="18" s="1"/>
  <c r="AS14" i="18"/>
  <c r="J44" i="18"/>
  <c r="AT14" i="18"/>
  <c r="AU14" i="18"/>
  <c r="AV13" i="17"/>
  <c r="AV12" i="17"/>
  <c r="AV14" i="17"/>
  <c r="AV13" i="14"/>
  <c r="AS13" i="14" s="1"/>
  <c r="AV14" i="16"/>
  <c r="AT14" i="16" s="1"/>
  <c r="AV13" i="16"/>
  <c r="AS13" i="16" s="1"/>
  <c r="AV40" i="16"/>
  <c r="AZ40" i="16" s="1"/>
  <c r="AV41" i="16"/>
  <c r="D56" i="16" s="1"/>
  <c r="AV44" i="16"/>
  <c r="AX44" i="16" s="1"/>
  <c r="AV40" i="15"/>
  <c r="AX40" i="15" s="1"/>
  <c r="J42" i="16"/>
  <c r="AU12" i="16"/>
  <c r="AS12" i="16"/>
  <c r="AT12" i="16"/>
  <c r="AV42" i="15"/>
  <c r="AV12" i="15"/>
  <c r="AV14" i="15"/>
  <c r="AV13" i="15"/>
  <c r="AV44" i="15"/>
  <c r="AV43" i="15"/>
  <c r="AV41" i="15"/>
  <c r="AV12" i="14"/>
  <c r="AS12" i="14" s="1"/>
  <c r="J44" i="14"/>
  <c r="AT14" i="14"/>
  <c r="AS14" i="14"/>
  <c r="AU14" i="14"/>
  <c r="E43" i="13"/>
  <c r="D43" i="13"/>
  <c r="AT28" i="13"/>
  <c r="AV28" i="13"/>
  <c r="AS28" i="13"/>
  <c r="AU28" i="13"/>
  <c r="AS9" i="13"/>
  <c r="AS11" i="13" s="1"/>
  <c r="AT9" i="13"/>
  <c r="AT11" i="13" s="1"/>
  <c r="AU9" i="13"/>
  <c r="AU11" i="13" s="1"/>
  <c r="E42" i="13"/>
  <c r="D42" i="13"/>
  <c r="E41" i="13"/>
  <c r="D41" i="13"/>
  <c r="AR43" i="12"/>
  <c r="AR40" i="12"/>
  <c r="AR41" i="12"/>
  <c r="AR42" i="12"/>
  <c r="AR44" i="12"/>
  <c r="AU43" i="12"/>
  <c r="AU40" i="12"/>
  <c r="AU42" i="12"/>
  <c r="AU41" i="12"/>
  <c r="AU44" i="12"/>
  <c r="AT44" i="12"/>
  <c r="AT42" i="12"/>
  <c r="AT43" i="12"/>
  <c r="AT40" i="12"/>
  <c r="AT41" i="12"/>
  <c r="AS41" i="12"/>
  <c r="AS44" i="12"/>
  <c r="AS42" i="12"/>
  <c r="AS43" i="12"/>
  <c r="AS40" i="12"/>
  <c r="AV14" i="12"/>
  <c r="AV12" i="12"/>
  <c r="AV13" i="12"/>
  <c r="E30" i="12"/>
  <c r="D30" i="12"/>
  <c r="AS9" i="11"/>
  <c r="AS11" i="11" s="1"/>
  <c r="AU9" i="11"/>
  <c r="AU11" i="11" s="1"/>
  <c r="AV12" i="11" s="1"/>
  <c r="AT9" i="11"/>
  <c r="AT11" i="11" s="1"/>
  <c r="D42" i="11"/>
  <c r="E42" i="11"/>
  <c r="E41" i="11"/>
  <c r="D41" i="11"/>
  <c r="E43" i="11"/>
  <c r="D43" i="11"/>
  <c r="AL18" i="10"/>
  <c r="AK18" i="10" s="1"/>
  <c r="AV26" i="10" s="1"/>
  <c r="E40" i="10"/>
  <c r="AL12" i="10"/>
  <c r="AK12" i="10" s="1"/>
  <c r="AT26" i="10" s="1"/>
  <c r="O114" i="10" s="1"/>
  <c r="AL15" i="10"/>
  <c r="AK15" i="10" s="1"/>
  <c r="AU26" i="10" s="1"/>
  <c r="P114" i="10" s="1"/>
  <c r="AU5" i="10"/>
  <c r="Q99" i="10"/>
  <c r="G20" i="10"/>
  <c r="V47" i="10"/>
  <c r="V48" i="10" s="1"/>
  <c r="V51" i="10" s="1"/>
  <c r="J27" i="10" s="1"/>
  <c r="AU35" i="10" s="1"/>
  <c r="Q114" i="10"/>
  <c r="AV8" i="10"/>
  <c r="AV6" i="10"/>
  <c r="AV7" i="10"/>
  <c r="E36" i="10"/>
  <c r="D36" i="10"/>
  <c r="N114" i="10"/>
  <c r="AX43" i="16" l="1"/>
  <c r="E58" i="16"/>
  <c r="AV44" i="14"/>
  <c r="D59" i="14" s="1"/>
  <c r="D55" i="19"/>
  <c r="AV43" i="14"/>
  <c r="D58" i="14" s="1"/>
  <c r="AY43" i="16"/>
  <c r="AW43" i="16"/>
  <c r="AV33" i="10"/>
  <c r="AV40" i="14"/>
  <c r="AX40" i="14" s="1"/>
  <c r="AV42" i="14"/>
  <c r="AY42" i="14" s="1"/>
  <c r="AT36" i="10"/>
  <c r="AV41" i="11"/>
  <c r="D56" i="11" s="1"/>
  <c r="D58" i="16"/>
  <c r="AS32" i="10"/>
  <c r="AS35" i="10"/>
  <c r="AY44" i="17"/>
  <c r="AV41" i="14"/>
  <c r="AW41" i="14" s="1"/>
  <c r="AU36" i="10"/>
  <c r="AV35" i="10"/>
  <c r="AV44" i="11"/>
  <c r="E59" i="11" s="1"/>
  <c r="AX41" i="18"/>
  <c r="AV42" i="11"/>
  <c r="AY42" i="11" s="1"/>
  <c r="E57" i="19"/>
  <c r="AX44" i="20"/>
  <c r="AW44" i="20"/>
  <c r="AU14" i="16"/>
  <c r="AZ43" i="18"/>
  <c r="AZ42" i="16"/>
  <c r="AY44" i="16"/>
  <c r="AX42" i="16"/>
  <c r="E57" i="16"/>
  <c r="AY41" i="17"/>
  <c r="AY42" i="16"/>
  <c r="D57" i="16"/>
  <c r="AW40" i="17"/>
  <c r="AY42" i="17"/>
  <c r="AY40" i="17"/>
  <c r="AZ42" i="19"/>
  <c r="AV40" i="11"/>
  <c r="AY40" i="11" s="1"/>
  <c r="AZ40" i="17"/>
  <c r="AW42" i="19"/>
  <c r="AX42" i="17"/>
  <c r="AY43" i="17"/>
  <c r="D55" i="17"/>
  <c r="D57" i="19"/>
  <c r="E55" i="17"/>
  <c r="E57" i="17"/>
  <c r="AY42" i="19"/>
  <c r="AW44" i="19"/>
  <c r="AW40" i="19"/>
  <c r="AX40" i="19"/>
  <c r="J44" i="16"/>
  <c r="D46" i="16" s="1"/>
  <c r="AY40" i="19"/>
  <c r="AZ40" i="19"/>
  <c r="AT13" i="18"/>
  <c r="AT13" i="14"/>
  <c r="AX44" i="18"/>
  <c r="AS14" i="16"/>
  <c r="AS15" i="16" s="1"/>
  <c r="AS17" i="16" s="1"/>
  <c r="AV20" i="16" s="1"/>
  <c r="AZ43" i="17"/>
  <c r="AX43" i="17"/>
  <c r="AU14" i="19"/>
  <c r="AW43" i="17"/>
  <c r="AW44" i="17"/>
  <c r="AW42" i="17"/>
  <c r="AY44" i="18"/>
  <c r="AY43" i="18"/>
  <c r="E56" i="17"/>
  <c r="E46" i="27"/>
  <c r="AZ42" i="17"/>
  <c r="E58" i="17"/>
  <c r="D56" i="17"/>
  <c r="E59" i="20"/>
  <c r="AX44" i="17"/>
  <c r="AT12" i="14"/>
  <c r="J43" i="14"/>
  <c r="E45" i="14" s="1"/>
  <c r="AU12" i="14"/>
  <c r="D58" i="18"/>
  <c r="AZ44" i="20"/>
  <c r="D59" i="17"/>
  <c r="AU13" i="14"/>
  <c r="J42" i="14"/>
  <c r="D44" i="14" s="1"/>
  <c r="AZ40" i="18"/>
  <c r="AW43" i="18"/>
  <c r="AS14" i="19"/>
  <c r="AS15" i="19" s="1"/>
  <c r="AS17" i="19" s="1"/>
  <c r="D59" i="20"/>
  <c r="E58" i="18"/>
  <c r="J44" i="19"/>
  <c r="E46" i="19" s="1"/>
  <c r="E59" i="17"/>
  <c r="AZ44" i="19"/>
  <c r="AW42" i="20"/>
  <c r="AZ44" i="18"/>
  <c r="D56" i="18"/>
  <c r="AZ41" i="17"/>
  <c r="E59" i="19"/>
  <c r="AY41" i="20"/>
  <c r="AU41" i="25"/>
  <c r="D59" i="18"/>
  <c r="AZ41" i="18"/>
  <c r="AW41" i="17"/>
  <c r="AX44" i="19"/>
  <c r="AZ42" i="20"/>
  <c r="E56" i="20"/>
  <c r="AT13" i="16"/>
  <c r="AT15" i="16" s="1"/>
  <c r="AT17" i="16" s="1"/>
  <c r="AW44" i="18"/>
  <c r="E56" i="18"/>
  <c r="AY44" i="19"/>
  <c r="E57" i="20"/>
  <c r="AZ41" i="20"/>
  <c r="AY41" i="18"/>
  <c r="AX41" i="20"/>
  <c r="E55" i="16"/>
  <c r="D57" i="20"/>
  <c r="J43" i="16"/>
  <c r="E45" i="16" s="1"/>
  <c r="AU13" i="16"/>
  <c r="AW44" i="16"/>
  <c r="AS12" i="18"/>
  <c r="E59" i="16"/>
  <c r="AT12" i="18"/>
  <c r="AT12" i="19"/>
  <c r="AT15" i="19" s="1"/>
  <c r="AT17" i="19" s="1"/>
  <c r="AZ44" i="16"/>
  <c r="AU12" i="19"/>
  <c r="AU15" i="19" s="1"/>
  <c r="AU17" i="19" s="1"/>
  <c r="D59" i="16"/>
  <c r="J42" i="19"/>
  <c r="E44" i="19" s="1"/>
  <c r="AV32" i="10"/>
  <c r="D55" i="18"/>
  <c r="AX42" i="20"/>
  <c r="D56" i="20"/>
  <c r="AU33" i="10"/>
  <c r="AY40" i="16"/>
  <c r="AY41" i="16"/>
  <c r="AZ43" i="19"/>
  <c r="D58" i="19"/>
  <c r="D45" i="27"/>
  <c r="AS15" i="27"/>
  <c r="AS17" i="27" s="1"/>
  <c r="AV20" i="27" s="1"/>
  <c r="J47" i="27" s="1"/>
  <c r="AX45" i="27"/>
  <c r="O115" i="27" s="1"/>
  <c r="AZ45" i="27"/>
  <c r="Q115" i="27" s="1"/>
  <c r="AY45" i="27"/>
  <c r="P115" i="27" s="1"/>
  <c r="AW45" i="27"/>
  <c r="N115" i="27" s="1"/>
  <c r="AZ45" i="26"/>
  <c r="Q115" i="26" s="1"/>
  <c r="AX45" i="26"/>
  <c r="O115" i="26" s="1"/>
  <c r="AW45" i="26"/>
  <c r="N115" i="26" s="1"/>
  <c r="AY45" i="26"/>
  <c r="P115" i="26" s="1"/>
  <c r="AU15" i="26"/>
  <c r="AU17" i="26" s="1"/>
  <c r="E45" i="26"/>
  <c r="D45" i="26"/>
  <c r="E44" i="26"/>
  <c r="D44" i="26"/>
  <c r="AT15" i="26"/>
  <c r="AT17" i="26" s="1"/>
  <c r="AS15" i="26"/>
  <c r="AS17" i="26" s="1"/>
  <c r="E46" i="26"/>
  <c r="D46" i="26"/>
  <c r="D58" i="20"/>
  <c r="AW43" i="20"/>
  <c r="AW43" i="19"/>
  <c r="E56" i="19"/>
  <c r="AX43" i="19"/>
  <c r="AY43" i="19"/>
  <c r="AY41" i="19"/>
  <c r="AX41" i="19"/>
  <c r="AZ41" i="19"/>
  <c r="D56" i="19"/>
  <c r="AX42" i="18"/>
  <c r="AW42" i="18"/>
  <c r="AZ42" i="18"/>
  <c r="AU44" i="25"/>
  <c r="AU42" i="25"/>
  <c r="AU40" i="25"/>
  <c r="AS40" i="25"/>
  <c r="AS41" i="25"/>
  <c r="AS43" i="25"/>
  <c r="AS44" i="25"/>
  <c r="AS42" i="25"/>
  <c r="AT41" i="25"/>
  <c r="AT40" i="25"/>
  <c r="AT44" i="25"/>
  <c r="AT43" i="25"/>
  <c r="AT42" i="25"/>
  <c r="AR41" i="25"/>
  <c r="AR44" i="25"/>
  <c r="AR43" i="25"/>
  <c r="AR42" i="25"/>
  <c r="AR40" i="25"/>
  <c r="AZ40" i="15"/>
  <c r="AY40" i="15"/>
  <c r="AW40" i="15"/>
  <c r="D55" i="15"/>
  <c r="E55" i="15"/>
  <c r="AU32" i="10"/>
  <c r="AV36" i="10"/>
  <c r="AS33" i="10"/>
  <c r="AT35" i="10"/>
  <c r="AT32" i="10"/>
  <c r="AS36" i="10"/>
  <c r="AT33" i="10"/>
  <c r="AS40" i="23"/>
  <c r="AS41" i="23"/>
  <c r="AS44" i="23"/>
  <c r="AS43" i="23"/>
  <c r="AS42" i="23"/>
  <c r="AT44" i="23"/>
  <c r="AT42" i="23"/>
  <c r="AT43" i="23"/>
  <c r="AT41" i="23"/>
  <c r="AT40" i="23"/>
  <c r="AR40" i="23"/>
  <c r="AR41" i="23"/>
  <c r="AR44" i="23"/>
  <c r="AR43" i="23"/>
  <c r="AR42" i="23"/>
  <c r="AU43" i="23"/>
  <c r="AU40" i="23"/>
  <c r="AU44" i="23"/>
  <c r="AU41" i="23"/>
  <c r="AU42" i="23"/>
  <c r="AS14" i="25"/>
  <c r="J44" i="25"/>
  <c r="AT14" i="25"/>
  <c r="AU14" i="25"/>
  <c r="J43" i="25"/>
  <c r="AS13" i="25"/>
  <c r="AT13" i="25"/>
  <c r="AU13" i="25"/>
  <c r="AT12" i="25"/>
  <c r="AS12" i="25"/>
  <c r="J42" i="25"/>
  <c r="AU12" i="25"/>
  <c r="AU40" i="24"/>
  <c r="AU42" i="24"/>
  <c r="AU44" i="24"/>
  <c r="AU43" i="24"/>
  <c r="AU41" i="24"/>
  <c r="AS44" i="24"/>
  <c r="AS43" i="24"/>
  <c r="AS42" i="24"/>
  <c r="AS40" i="24"/>
  <c r="AS41" i="24"/>
  <c r="AT42" i="24"/>
  <c r="AT40" i="24"/>
  <c r="AT44" i="24"/>
  <c r="AT41" i="24"/>
  <c r="AT43" i="24"/>
  <c r="AR41" i="24"/>
  <c r="AR40" i="24"/>
  <c r="AR43" i="24"/>
  <c r="AR42" i="24"/>
  <c r="AR44" i="24"/>
  <c r="J44" i="24"/>
  <c r="AT14" i="24"/>
  <c r="AU14" i="24"/>
  <c r="AS14" i="24"/>
  <c r="AU13" i="24"/>
  <c r="AS13" i="24"/>
  <c r="J43" i="24"/>
  <c r="AT13" i="24"/>
  <c r="AT12" i="24"/>
  <c r="AS12" i="24"/>
  <c r="J42" i="24"/>
  <c r="AU12" i="24"/>
  <c r="AT12" i="23"/>
  <c r="AS12" i="23"/>
  <c r="J42" i="23"/>
  <c r="AU12" i="23"/>
  <c r="J44" i="23"/>
  <c r="AT14" i="23"/>
  <c r="AS14" i="23"/>
  <c r="AU14" i="23"/>
  <c r="AU13" i="23"/>
  <c r="J43" i="23"/>
  <c r="AS13" i="23"/>
  <c r="AT13" i="23"/>
  <c r="AU13" i="22"/>
  <c r="AS13" i="22"/>
  <c r="AT13" i="22"/>
  <c r="AU14" i="22"/>
  <c r="AS14" i="22"/>
  <c r="AT14" i="22"/>
  <c r="D45" i="22"/>
  <c r="E45" i="22"/>
  <c r="AU30" i="22"/>
  <c r="AS30" i="22"/>
  <c r="AV30" i="22"/>
  <c r="AT30" i="22"/>
  <c r="AS33" i="22"/>
  <c r="AT36" i="22"/>
  <c r="AU33" i="22"/>
  <c r="AV36" i="22"/>
  <c r="AT33" i="22"/>
  <c r="AS36" i="22"/>
  <c r="AV33" i="22"/>
  <c r="AU36" i="22"/>
  <c r="D46" i="22"/>
  <c r="E46" i="22"/>
  <c r="AT31" i="22"/>
  <c r="AS31" i="22"/>
  <c r="AU31" i="22"/>
  <c r="AV31" i="22"/>
  <c r="E44" i="22"/>
  <c r="D44" i="22"/>
  <c r="AU29" i="22"/>
  <c r="AV29" i="22"/>
  <c r="AT29" i="22"/>
  <c r="AS29" i="22"/>
  <c r="D55" i="21"/>
  <c r="AY40" i="21"/>
  <c r="AX40" i="21"/>
  <c r="AW40" i="21"/>
  <c r="E55" i="21"/>
  <c r="AZ40" i="21"/>
  <c r="AV12" i="21"/>
  <c r="AV13" i="21"/>
  <c r="AV14" i="21"/>
  <c r="E59" i="21"/>
  <c r="AW44" i="21"/>
  <c r="D59" i="21"/>
  <c r="AZ44" i="21"/>
  <c r="AY44" i="21"/>
  <c r="AX44" i="21"/>
  <c r="D56" i="21"/>
  <c r="AZ41" i="21"/>
  <c r="AY41" i="21"/>
  <c r="AX41" i="21"/>
  <c r="AW41" i="21"/>
  <c r="E56" i="21"/>
  <c r="D58" i="21"/>
  <c r="AY43" i="21"/>
  <c r="AX43" i="21"/>
  <c r="AW43" i="21"/>
  <c r="AZ43" i="21"/>
  <c r="E58" i="21"/>
  <c r="AW42" i="21"/>
  <c r="E57" i="21"/>
  <c r="AZ42" i="21"/>
  <c r="D57" i="21"/>
  <c r="AY42" i="21"/>
  <c r="AX42" i="21"/>
  <c r="AV14" i="20"/>
  <c r="J44" i="20" s="1"/>
  <c r="AV12" i="20"/>
  <c r="AU12" i="20" s="1"/>
  <c r="E55" i="20"/>
  <c r="AX43" i="20"/>
  <c r="AZ43" i="20"/>
  <c r="AY43" i="20"/>
  <c r="AX40" i="20"/>
  <c r="D55" i="20"/>
  <c r="AW40" i="20"/>
  <c r="AY40" i="20"/>
  <c r="AU13" i="20"/>
  <c r="J43" i="20"/>
  <c r="AT13" i="20"/>
  <c r="AS13" i="20"/>
  <c r="E45" i="19"/>
  <c r="D45" i="19"/>
  <c r="AU13" i="18"/>
  <c r="AX40" i="18"/>
  <c r="E55" i="18"/>
  <c r="AY40" i="18"/>
  <c r="E57" i="18"/>
  <c r="AS13" i="18"/>
  <c r="AU12" i="18"/>
  <c r="D57" i="18"/>
  <c r="E44" i="18"/>
  <c r="D44" i="18"/>
  <c r="E45" i="18"/>
  <c r="D45" i="18"/>
  <c r="E46" i="18"/>
  <c r="D46" i="18"/>
  <c r="J44" i="17"/>
  <c r="AU14" i="17"/>
  <c r="AS14" i="17"/>
  <c r="AT14" i="17"/>
  <c r="J42" i="17"/>
  <c r="AU12" i="17"/>
  <c r="AT12" i="17"/>
  <c r="AS12" i="17"/>
  <c r="J43" i="17"/>
  <c r="AU13" i="17"/>
  <c r="AS13" i="17"/>
  <c r="AT13" i="17"/>
  <c r="D55" i="16"/>
  <c r="AW40" i="16"/>
  <c r="AX40" i="16"/>
  <c r="AW41" i="16"/>
  <c r="E56" i="16"/>
  <c r="AX41" i="16"/>
  <c r="AZ41" i="16"/>
  <c r="E44" i="16"/>
  <c r="D44" i="16"/>
  <c r="E59" i="15"/>
  <c r="AW44" i="15"/>
  <c r="D59" i="15"/>
  <c r="AZ44" i="15"/>
  <c r="AY44" i="15"/>
  <c r="AX44" i="15"/>
  <c r="J43" i="15"/>
  <c r="AU13" i="15"/>
  <c r="AS13" i="15"/>
  <c r="AT13" i="15"/>
  <c r="AW42" i="15"/>
  <c r="E57" i="15"/>
  <c r="AZ42" i="15"/>
  <c r="D57" i="15"/>
  <c r="AY42" i="15"/>
  <c r="AX42" i="15"/>
  <c r="D56" i="15"/>
  <c r="AZ41" i="15"/>
  <c r="AY41" i="15"/>
  <c r="AX41" i="15"/>
  <c r="E56" i="15"/>
  <c r="AW41" i="15"/>
  <c r="J44" i="15"/>
  <c r="AT14" i="15"/>
  <c r="AS14" i="15"/>
  <c r="AU14" i="15"/>
  <c r="D58" i="15"/>
  <c r="AY43" i="15"/>
  <c r="AX43" i="15"/>
  <c r="AW43" i="15"/>
  <c r="AZ43" i="15"/>
  <c r="E58" i="15"/>
  <c r="J42" i="15"/>
  <c r="AS12" i="15"/>
  <c r="AU12" i="15"/>
  <c r="AT12" i="15"/>
  <c r="AS15" i="14"/>
  <c r="AS17" i="14" s="1"/>
  <c r="E46" i="14"/>
  <c r="D46" i="14"/>
  <c r="AV12" i="13"/>
  <c r="AV13" i="13"/>
  <c r="AV14" i="13"/>
  <c r="AV14" i="11"/>
  <c r="AS14" i="11" s="1"/>
  <c r="AY43" i="11"/>
  <c r="E58" i="11"/>
  <c r="D58" i="11"/>
  <c r="AZ43" i="11"/>
  <c r="AX43" i="11"/>
  <c r="J42" i="12"/>
  <c r="AT12" i="12"/>
  <c r="AS12" i="12"/>
  <c r="AU12" i="12"/>
  <c r="AV41" i="12"/>
  <c r="AS13" i="12"/>
  <c r="J43" i="12"/>
  <c r="AU13" i="12"/>
  <c r="AT13" i="12"/>
  <c r="J44" i="12"/>
  <c r="AT14" i="12"/>
  <c r="AS14" i="12"/>
  <c r="AU14" i="12"/>
  <c r="AV44" i="12"/>
  <c r="AV40" i="12"/>
  <c r="AV42" i="12"/>
  <c r="AV43" i="12"/>
  <c r="AV13" i="11"/>
  <c r="AT13" i="11" s="1"/>
  <c r="AT12" i="11"/>
  <c r="J42" i="11"/>
  <c r="AU12" i="11"/>
  <c r="AS12" i="11"/>
  <c r="J39" i="10"/>
  <c r="AU6" i="10"/>
  <c r="AT6" i="10"/>
  <c r="AS6" i="10"/>
  <c r="D27" i="10"/>
  <c r="J28" i="10"/>
  <c r="AT31" i="10"/>
  <c r="E27" i="10"/>
  <c r="AT34" i="10"/>
  <c r="AT28" i="10"/>
  <c r="AU28" i="10"/>
  <c r="AS27" i="10"/>
  <c r="AU29" i="10"/>
  <c r="AU27" i="10"/>
  <c r="AS34" i="10"/>
  <c r="AT27" i="10"/>
  <c r="AS28" i="10"/>
  <c r="AT29" i="10"/>
  <c r="AV30" i="10"/>
  <c r="AV34" i="10"/>
  <c r="AS29" i="10"/>
  <c r="AU30" i="10"/>
  <c r="AV31" i="10"/>
  <c r="AV29" i="10"/>
  <c r="AU34" i="10"/>
  <c r="AT30" i="10"/>
  <c r="AV28" i="10"/>
  <c r="AU31" i="10"/>
  <c r="AS30" i="10"/>
  <c r="AS31" i="10"/>
  <c r="AV27" i="10"/>
  <c r="J41" i="10"/>
  <c r="AU8" i="10"/>
  <c r="AS8" i="10"/>
  <c r="AT8" i="10"/>
  <c r="J40" i="10"/>
  <c r="AT7" i="10"/>
  <c r="AU7" i="10"/>
  <c r="AS7" i="10"/>
  <c r="Z47" i="10"/>
  <c r="Z48" i="10" s="1"/>
  <c r="Z49" i="10" s="1"/>
  <c r="J29" i="10" s="1"/>
  <c r="AX43" i="14" l="1"/>
  <c r="AY44" i="14"/>
  <c r="AW44" i="14"/>
  <c r="AZ42" i="14"/>
  <c r="AZ44" i="14"/>
  <c r="AX44" i="14"/>
  <c r="E57" i="14"/>
  <c r="E59" i="14"/>
  <c r="AX42" i="14"/>
  <c r="AT15" i="14"/>
  <c r="AT17" i="14" s="1"/>
  <c r="AY41" i="14"/>
  <c r="AZ40" i="14"/>
  <c r="D55" i="14"/>
  <c r="AW40" i="14"/>
  <c r="AZ43" i="14"/>
  <c r="E58" i="14"/>
  <c r="AW43" i="14"/>
  <c r="AW41" i="11"/>
  <c r="E56" i="11"/>
  <c r="AY43" i="14"/>
  <c r="AY41" i="11"/>
  <c r="AW42" i="14"/>
  <c r="E55" i="14"/>
  <c r="AX41" i="11"/>
  <c r="AZ41" i="11"/>
  <c r="D57" i="14"/>
  <c r="AX41" i="14"/>
  <c r="AY40" i="14"/>
  <c r="E56" i="14"/>
  <c r="AW44" i="11"/>
  <c r="AX44" i="11"/>
  <c r="AZ44" i="11"/>
  <c r="AZ41" i="14"/>
  <c r="D56" i="14"/>
  <c r="D59" i="11"/>
  <c r="AW42" i="11"/>
  <c r="D55" i="11"/>
  <c r="AZ42" i="11"/>
  <c r="AZ40" i="11"/>
  <c r="E57" i="11"/>
  <c r="AX42" i="11"/>
  <c r="AU15" i="16"/>
  <c r="AU17" i="16" s="1"/>
  <c r="AY44" i="11"/>
  <c r="D57" i="11"/>
  <c r="J44" i="11"/>
  <c r="D46" i="11" s="1"/>
  <c r="E55" i="11"/>
  <c r="AW40" i="11"/>
  <c r="AX40" i="11"/>
  <c r="E46" i="16"/>
  <c r="AU15" i="18"/>
  <c r="AU17" i="18" s="1"/>
  <c r="AY45" i="17"/>
  <c r="P115" i="17" s="1"/>
  <c r="AS15" i="18"/>
  <c r="AS17" i="18" s="1"/>
  <c r="AV20" i="18" s="1"/>
  <c r="AW45" i="19"/>
  <c r="N115" i="19" s="1"/>
  <c r="D45" i="16"/>
  <c r="AU15" i="14"/>
  <c r="AU17" i="14" s="1"/>
  <c r="E44" i="14"/>
  <c r="D46" i="19"/>
  <c r="AW45" i="17"/>
  <c r="N115" i="17" s="1"/>
  <c r="AT15" i="18"/>
  <c r="AT17" i="18" s="1"/>
  <c r="AZ45" i="16"/>
  <c r="Q115" i="16" s="1"/>
  <c r="AZ45" i="17"/>
  <c r="Q115" i="17" s="1"/>
  <c r="AZ45" i="18"/>
  <c r="Q115" i="18" s="1"/>
  <c r="AX45" i="17"/>
  <c r="O115" i="17" s="1"/>
  <c r="AY45" i="18"/>
  <c r="P115" i="18" s="1"/>
  <c r="D45" i="14"/>
  <c r="D44" i="19"/>
  <c r="AS12" i="20"/>
  <c r="AW45" i="20"/>
  <c r="N115" i="20" s="1"/>
  <c r="AW45" i="18"/>
  <c r="N115" i="18" s="1"/>
  <c r="AT15" i="15"/>
  <c r="AT17" i="15" s="1"/>
  <c r="AT14" i="20"/>
  <c r="AU14" i="20"/>
  <c r="AU15" i="20" s="1"/>
  <c r="AU17" i="20" s="1"/>
  <c r="AZ45" i="20"/>
  <c r="Q115" i="20" s="1"/>
  <c r="AX45" i="18"/>
  <c r="O115" i="18" s="1"/>
  <c r="AY45" i="20"/>
  <c r="P115" i="20" s="1"/>
  <c r="AY45" i="16"/>
  <c r="P115" i="16" s="1"/>
  <c r="AS15" i="22"/>
  <c r="AS17" i="22" s="1"/>
  <c r="AV18" i="22" s="1"/>
  <c r="AU15" i="25"/>
  <c r="AU17" i="25" s="1"/>
  <c r="AS14" i="20"/>
  <c r="AV44" i="25"/>
  <c r="E59" i="25" s="1"/>
  <c r="AW45" i="16"/>
  <c r="N115" i="16" s="1"/>
  <c r="AV40" i="25"/>
  <c r="AX40" i="25" s="1"/>
  <c r="AZ45" i="19"/>
  <c r="Q115" i="19" s="1"/>
  <c r="AX45" i="16"/>
  <c r="O115" i="16" s="1"/>
  <c r="AY45" i="19"/>
  <c r="P115" i="19" s="1"/>
  <c r="AV42" i="25"/>
  <c r="AX42" i="25" s="1"/>
  <c r="AT20" i="27"/>
  <c r="AU20" i="27"/>
  <c r="AV19" i="27"/>
  <c r="AT19" i="27" s="1"/>
  <c r="AS20" i="27"/>
  <c r="AV18" i="27"/>
  <c r="AS18" i="27" s="1"/>
  <c r="E49" i="27"/>
  <c r="D49" i="27"/>
  <c r="AV20" i="26"/>
  <c r="AV19" i="26"/>
  <c r="AV18" i="26"/>
  <c r="AT12" i="20"/>
  <c r="J42" i="20"/>
  <c r="D44" i="20" s="1"/>
  <c r="AX45" i="19"/>
  <c r="O115" i="19" s="1"/>
  <c r="AV43" i="25"/>
  <c r="AW43" i="25" s="1"/>
  <c r="AV41" i="25"/>
  <c r="AW41" i="25" s="1"/>
  <c r="AS15" i="15"/>
  <c r="AS17" i="15" s="1"/>
  <c r="AV18" i="15" s="1"/>
  <c r="AY45" i="15"/>
  <c r="P115" i="15" s="1"/>
  <c r="AV42" i="23"/>
  <c r="AW42" i="23" s="1"/>
  <c r="AV41" i="23"/>
  <c r="AV40" i="23"/>
  <c r="AV43" i="23"/>
  <c r="AV44" i="23"/>
  <c r="AT14" i="11"/>
  <c r="AT15" i="11" s="1"/>
  <c r="AT17" i="11" s="1"/>
  <c r="AU13" i="11"/>
  <c r="AV44" i="24"/>
  <c r="E59" i="24" s="1"/>
  <c r="AS15" i="25"/>
  <c r="AS17" i="25" s="1"/>
  <c r="AV19" i="25" s="1"/>
  <c r="E46" i="25"/>
  <c r="D46" i="25"/>
  <c r="AT15" i="25"/>
  <c r="AT17" i="25" s="1"/>
  <c r="E45" i="25"/>
  <c r="D45" i="25"/>
  <c r="E44" i="25"/>
  <c r="D44" i="25"/>
  <c r="AV41" i="24"/>
  <c r="AX41" i="24" s="1"/>
  <c r="AV42" i="24"/>
  <c r="AV43" i="24"/>
  <c r="AV40" i="24"/>
  <c r="AU15" i="24"/>
  <c r="AU17" i="24" s="1"/>
  <c r="AS15" i="24"/>
  <c r="AS17" i="24" s="1"/>
  <c r="AV20" i="24" s="1"/>
  <c r="AT15" i="24"/>
  <c r="AT17" i="24" s="1"/>
  <c r="E44" i="24"/>
  <c r="D44" i="24"/>
  <c r="E45" i="24"/>
  <c r="D45" i="24"/>
  <c r="E46" i="24"/>
  <c r="D46" i="24"/>
  <c r="AU15" i="23"/>
  <c r="AU17" i="23" s="1"/>
  <c r="E46" i="23"/>
  <c r="D46" i="23"/>
  <c r="E44" i="23"/>
  <c r="D44" i="23"/>
  <c r="E45" i="23"/>
  <c r="D45" i="23"/>
  <c r="AS15" i="23"/>
  <c r="AS17" i="23" s="1"/>
  <c r="AT15" i="23"/>
  <c r="AT17" i="23" s="1"/>
  <c r="AU15" i="22"/>
  <c r="AU17" i="22" s="1"/>
  <c r="AT15" i="22"/>
  <c r="AT17" i="22" s="1"/>
  <c r="AZ45" i="21"/>
  <c r="Q115" i="21" s="1"/>
  <c r="J42" i="21"/>
  <c r="AS12" i="21"/>
  <c r="AT12" i="21"/>
  <c r="AU12" i="21"/>
  <c r="AW45" i="21"/>
  <c r="N115" i="21" s="1"/>
  <c r="AX45" i="21"/>
  <c r="O115" i="21" s="1"/>
  <c r="AY45" i="21"/>
  <c r="P115" i="21" s="1"/>
  <c r="J44" i="21"/>
  <c r="AS14" i="21"/>
  <c r="AT14" i="21"/>
  <c r="AU14" i="21"/>
  <c r="AT13" i="21"/>
  <c r="J43" i="21"/>
  <c r="AS13" i="21"/>
  <c r="AU13" i="21"/>
  <c r="AX45" i="20"/>
  <c r="O115" i="20" s="1"/>
  <c r="E46" i="20"/>
  <c r="D46" i="20"/>
  <c r="E45" i="20"/>
  <c r="D45" i="20"/>
  <c r="AV20" i="19"/>
  <c r="AV19" i="19"/>
  <c r="AV18" i="19"/>
  <c r="AU15" i="17"/>
  <c r="AU17" i="17" s="1"/>
  <c r="AS15" i="17"/>
  <c r="AS17" i="17" s="1"/>
  <c r="AT15" i="17"/>
  <c r="AT17" i="17" s="1"/>
  <c r="D45" i="17"/>
  <c r="E45" i="17"/>
  <c r="E44" i="17"/>
  <c r="D44" i="17"/>
  <c r="D46" i="17"/>
  <c r="E46" i="17"/>
  <c r="AV18" i="16"/>
  <c r="AS18" i="16" s="1"/>
  <c r="AV19" i="16"/>
  <c r="AT19" i="16" s="1"/>
  <c r="AX45" i="15"/>
  <c r="O115" i="15" s="1"/>
  <c r="AW45" i="15"/>
  <c r="N115" i="15" s="1"/>
  <c r="AZ45" i="15"/>
  <c r="Q115" i="15" s="1"/>
  <c r="AU20" i="16"/>
  <c r="J47" i="16"/>
  <c r="AT20" i="16"/>
  <c r="AS20" i="16"/>
  <c r="E45" i="15"/>
  <c r="D45" i="15"/>
  <c r="E44" i="15"/>
  <c r="D44" i="15"/>
  <c r="AU15" i="15"/>
  <c r="AU17" i="15" s="1"/>
  <c r="E46" i="15"/>
  <c r="D46" i="15"/>
  <c r="AV20" i="14"/>
  <c r="AV19" i="14"/>
  <c r="AV18" i="14"/>
  <c r="J44" i="13"/>
  <c r="AU14" i="13"/>
  <c r="AT14" i="13"/>
  <c r="AS14" i="13"/>
  <c r="J43" i="13"/>
  <c r="AU13" i="13"/>
  <c r="AS13" i="13"/>
  <c r="AT13" i="13"/>
  <c r="J42" i="13"/>
  <c r="AU12" i="13"/>
  <c r="AT12" i="13"/>
  <c r="AS12" i="13"/>
  <c r="J43" i="11"/>
  <c r="E45" i="11" s="1"/>
  <c r="AU14" i="11"/>
  <c r="AS13" i="11"/>
  <c r="AS15" i="11" s="1"/>
  <c r="AS17" i="11" s="1"/>
  <c r="AU15" i="12"/>
  <c r="AU17" i="12" s="1"/>
  <c r="E57" i="12"/>
  <c r="AX42" i="12"/>
  <c r="D57" i="12"/>
  <c r="AW42" i="12"/>
  <c r="AZ42" i="12"/>
  <c r="AY42" i="12"/>
  <c r="E55" i="12"/>
  <c r="AZ40" i="12"/>
  <c r="D55" i="12"/>
  <c r="AY40" i="12"/>
  <c r="AX40" i="12"/>
  <c r="AW40" i="12"/>
  <c r="D45" i="12"/>
  <c r="E45" i="12"/>
  <c r="AS15" i="12"/>
  <c r="AS17" i="12" s="1"/>
  <c r="AT15" i="12"/>
  <c r="AT17" i="12" s="1"/>
  <c r="AX44" i="12"/>
  <c r="E59" i="12"/>
  <c r="AW44" i="12"/>
  <c r="D59" i="12"/>
  <c r="AZ44" i="12"/>
  <c r="AY44" i="12"/>
  <c r="D46" i="12"/>
  <c r="E46" i="12"/>
  <c r="D58" i="12"/>
  <c r="AZ43" i="12"/>
  <c r="AY43" i="12"/>
  <c r="E58" i="12"/>
  <c r="AX43" i="12"/>
  <c r="AW43" i="12"/>
  <c r="AW41" i="12"/>
  <c r="E56" i="12"/>
  <c r="AZ41" i="12"/>
  <c r="D56" i="12"/>
  <c r="AY41" i="12"/>
  <c r="AX41" i="12"/>
  <c r="E44" i="12"/>
  <c r="D44" i="12"/>
  <c r="E44" i="11"/>
  <c r="D44" i="11"/>
  <c r="AU9" i="10"/>
  <c r="AU11" i="10" s="1"/>
  <c r="AV12" i="10" s="1"/>
  <c r="AV24" i="10"/>
  <c r="AV37" i="10" s="1"/>
  <c r="AU44" i="10" s="1"/>
  <c r="AS9" i="10"/>
  <c r="AS11" i="10" s="1"/>
  <c r="AU24" i="10"/>
  <c r="AU37" i="10" s="1"/>
  <c r="D28" i="10"/>
  <c r="E28" i="10"/>
  <c r="AT9" i="10"/>
  <c r="AT11" i="10" s="1"/>
  <c r="E29" i="10"/>
  <c r="J30" i="10"/>
  <c r="D29" i="10"/>
  <c r="E42" i="10"/>
  <c r="D42" i="10"/>
  <c r="E43" i="10"/>
  <c r="D43" i="10"/>
  <c r="AT24" i="10"/>
  <c r="AT37" i="10" s="1"/>
  <c r="AS24" i="10"/>
  <c r="AS37" i="10" s="1"/>
  <c r="E41" i="10"/>
  <c r="D41" i="10"/>
  <c r="AX45" i="14" l="1"/>
  <c r="O115" i="14" s="1"/>
  <c r="AZ45" i="14"/>
  <c r="Q115" i="14" s="1"/>
  <c r="AY45" i="14"/>
  <c r="P115" i="14" s="1"/>
  <c r="AW45" i="14"/>
  <c r="N115" i="14" s="1"/>
  <c r="AY45" i="11"/>
  <c r="P115" i="11" s="1"/>
  <c r="AZ45" i="11"/>
  <c r="Q115" i="11" s="1"/>
  <c r="AW45" i="11"/>
  <c r="N115" i="11" s="1"/>
  <c r="AX45" i="11"/>
  <c r="O115" i="11" s="1"/>
  <c r="E46" i="11"/>
  <c r="AV18" i="18"/>
  <c r="AT18" i="18" s="1"/>
  <c r="AV19" i="18"/>
  <c r="J46" i="18" s="1"/>
  <c r="AX44" i="25"/>
  <c r="E44" i="20"/>
  <c r="AS15" i="20"/>
  <c r="AS17" i="20" s="1"/>
  <c r="AV20" i="20" s="1"/>
  <c r="AT20" i="20" s="1"/>
  <c r="D59" i="25"/>
  <c r="AZ40" i="25"/>
  <c r="AZ44" i="25"/>
  <c r="AY44" i="25"/>
  <c r="D57" i="25"/>
  <c r="AW40" i="25"/>
  <c r="AT18" i="16"/>
  <c r="AT21" i="16" s="1"/>
  <c r="P100" i="16" s="1"/>
  <c r="AT15" i="20"/>
  <c r="AT17" i="20" s="1"/>
  <c r="AU18" i="16"/>
  <c r="AZ43" i="25"/>
  <c r="AV19" i="15"/>
  <c r="AU19" i="15" s="1"/>
  <c r="AV20" i="15"/>
  <c r="AT20" i="15" s="1"/>
  <c r="AV20" i="22"/>
  <c r="J47" i="22" s="1"/>
  <c r="D58" i="25"/>
  <c r="J45" i="16"/>
  <c r="D47" i="16" s="1"/>
  <c r="AV19" i="22"/>
  <c r="J46" i="22" s="1"/>
  <c r="E56" i="25"/>
  <c r="E58" i="25"/>
  <c r="D55" i="25"/>
  <c r="AY43" i="25"/>
  <c r="AY42" i="25"/>
  <c r="AX41" i="25"/>
  <c r="E55" i="25"/>
  <c r="AW44" i="25"/>
  <c r="AZ41" i="25"/>
  <c r="AS19" i="16"/>
  <c r="AS21" i="16" s="1"/>
  <c r="O100" i="16" s="1"/>
  <c r="AX43" i="25"/>
  <c r="AY41" i="25"/>
  <c r="AY40" i="25"/>
  <c r="AU19" i="16"/>
  <c r="D56" i="25"/>
  <c r="E57" i="25"/>
  <c r="AZ42" i="25"/>
  <c r="AW42" i="25"/>
  <c r="AS19" i="27"/>
  <c r="AS21" i="27" s="1"/>
  <c r="O100" i="27" s="1"/>
  <c r="J45" i="27"/>
  <c r="E47" i="27" s="1"/>
  <c r="AU18" i="27"/>
  <c r="J46" i="27"/>
  <c r="E48" i="27" s="1"/>
  <c r="AT18" i="27"/>
  <c r="AT21" i="27" s="1"/>
  <c r="P100" i="27" s="1"/>
  <c r="AU19" i="27"/>
  <c r="J45" i="26"/>
  <c r="AT18" i="26"/>
  <c r="AU18" i="26"/>
  <c r="AS18" i="26"/>
  <c r="AU19" i="26"/>
  <c r="J46" i="26"/>
  <c r="AT19" i="26"/>
  <c r="AS19" i="26"/>
  <c r="J47" i="26"/>
  <c r="AU20" i="26"/>
  <c r="AT20" i="26"/>
  <c r="AS20" i="26"/>
  <c r="AV20" i="25"/>
  <c r="AT20" i="25" s="1"/>
  <c r="AV18" i="25"/>
  <c r="J45" i="25" s="1"/>
  <c r="AV14" i="10"/>
  <c r="J44" i="10" s="1"/>
  <c r="AU41" i="10"/>
  <c r="AZ42" i="23"/>
  <c r="AY42" i="23"/>
  <c r="E57" i="23"/>
  <c r="D57" i="23"/>
  <c r="AX42" i="23"/>
  <c r="AY44" i="23"/>
  <c r="D59" i="23"/>
  <c r="AX44" i="23"/>
  <c r="AZ44" i="23"/>
  <c r="E59" i="23"/>
  <c r="AW44" i="23"/>
  <c r="E58" i="23"/>
  <c r="AZ43" i="23"/>
  <c r="AY43" i="23"/>
  <c r="AX43" i="23"/>
  <c r="AW43" i="23"/>
  <c r="D58" i="23"/>
  <c r="AZ40" i="23"/>
  <c r="D55" i="23"/>
  <c r="AW40" i="23"/>
  <c r="AY40" i="23"/>
  <c r="E55" i="23"/>
  <c r="AX40" i="23"/>
  <c r="AX41" i="23"/>
  <c r="D56" i="23"/>
  <c r="AW41" i="23"/>
  <c r="AY41" i="23"/>
  <c r="E56" i="23"/>
  <c r="AZ41" i="23"/>
  <c r="D45" i="11"/>
  <c r="AU15" i="11"/>
  <c r="AU17" i="11" s="1"/>
  <c r="AY44" i="24"/>
  <c r="AX44" i="24"/>
  <c r="AW44" i="24"/>
  <c r="D59" i="24"/>
  <c r="AZ44" i="24"/>
  <c r="J46" i="25"/>
  <c r="AS19" i="25"/>
  <c r="AU19" i="25"/>
  <c r="AT19" i="25"/>
  <c r="AW41" i="24"/>
  <c r="AV18" i="24"/>
  <c r="J45" i="24" s="1"/>
  <c r="E56" i="24"/>
  <c r="AZ41" i="24"/>
  <c r="D56" i="24"/>
  <c r="AY41" i="24"/>
  <c r="AV19" i="24"/>
  <c r="AT19" i="24" s="1"/>
  <c r="AZ40" i="24"/>
  <c r="D55" i="24"/>
  <c r="AW40" i="24"/>
  <c r="AY40" i="24"/>
  <c r="E55" i="24"/>
  <c r="AX40" i="24"/>
  <c r="AY42" i="24"/>
  <c r="D57" i="24"/>
  <c r="AZ42" i="24"/>
  <c r="AX42" i="24"/>
  <c r="E57" i="24"/>
  <c r="AW42" i="24"/>
  <c r="E58" i="24"/>
  <c r="AZ43" i="24"/>
  <c r="D58" i="24"/>
  <c r="AX43" i="24"/>
  <c r="AW43" i="24"/>
  <c r="AY43" i="24"/>
  <c r="AU20" i="24"/>
  <c r="J47" i="24"/>
  <c r="AS20" i="24"/>
  <c r="AT20" i="24"/>
  <c r="AV20" i="23"/>
  <c r="AV19" i="23"/>
  <c r="AV18" i="23"/>
  <c r="J45" i="22"/>
  <c r="AS18" i="22"/>
  <c r="AU18" i="22"/>
  <c r="AT18" i="22"/>
  <c r="E46" i="21"/>
  <c r="D46" i="21"/>
  <c r="AU15" i="21"/>
  <c r="AU17" i="21" s="1"/>
  <c r="AT15" i="21"/>
  <c r="AT17" i="21" s="1"/>
  <c r="AS15" i="21"/>
  <c r="AS17" i="21" s="1"/>
  <c r="E45" i="21"/>
  <c r="D45" i="21"/>
  <c r="E44" i="21"/>
  <c r="D44" i="21"/>
  <c r="AU18" i="19"/>
  <c r="J45" i="19"/>
  <c r="AT18" i="19"/>
  <c r="AS18" i="19"/>
  <c r="AU19" i="19"/>
  <c r="AT19" i="19"/>
  <c r="J46" i="19"/>
  <c r="AS19" i="19"/>
  <c r="AU20" i="19"/>
  <c r="J47" i="19"/>
  <c r="AT20" i="19"/>
  <c r="AS20" i="19"/>
  <c r="J47" i="18"/>
  <c r="AS20" i="18"/>
  <c r="AT20" i="18"/>
  <c r="AU20" i="18"/>
  <c r="AV18" i="17"/>
  <c r="AV20" i="17"/>
  <c r="AV19" i="17"/>
  <c r="J46" i="16"/>
  <c r="E48" i="16" s="1"/>
  <c r="E49" i="16"/>
  <c r="D49" i="16"/>
  <c r="J45" i="15"/>
  <c r="AU18" i="15"/>
  <c r="AS18" i="15"/>
  <c r="AT18" i="15"/>
  <c r="AS15" i="13"/>
  <c r="AS17" i="13" s="1"/>
  <c r="AV18" i="13" s="1"/>
  <c r="AU19" i="14"/>
  <c r="J46" i="14"/>
  <c r="AS19" i="14"/>
  <c r="AT19" i="14"/>
  <c r="AU20" i="14"/>
  <c r="J47" i="14"/>
  <c r="AS20" i="14"/>
  <c r="AT20" i="14"/>
  <c r="AT18" i="14"/>
  <c r="AS18" i="14"/>
  <c r="J45" i="14"/>
  <c r="AU18" i="14"/>
  <c r="AT15" i="13"/>
  <c r="AT17" i="13" s="1"/>
  <c r="AU15" i="13"/>
  <c r="AU17" i="13" s="1"/>
  <c r="E44" i="13"/>
  <c r="D44" i="13"/>
  <c r="AU29" i="13"/>
  <c r="AT29" i="13"/>
  <c r="AV29" i="13"/>
  <c r="AS29" i="13"/>
  <c r="D45" i="13"/>
  <c r="E45" i="13"/>
  <c r="AS30" i="13"/>
  <c r="AU30" i="13"/>
  <c r="AU36" i="13"/>
  <c r="AV36" i="13"/>
  <c r="AT30" i="13"/>
  <c r="AT36" i="13"/>
  <c r="AS36" i="13"/>
  <c r="AV30" i="13"/>
  <c r="AS33" i="13"/>
  <c r="AV33" i="13"/>
  <c r="AT33" i="13"/>
  <c r="AU33" i="13"/>
  <c r="D46" i="13"/>
  <c r="E46" i="13"/>
  <c r="AS31" i="13"/>
  <c r="AV31" i="13"/>
  <c r="AT31" i="13"/>
  <c r="AU31" i="13"/>
  <c r="AV18" i="12"/>
  <c r="AV19" i="12"/>
  <c r="AV20" i="12"/>
  <c r="AX45" i="12"/>
  <c r="O115" i="12" s="1"/>
  <c r="AY45" i="12"/>
  <c r="P115" i="12" s="1"/>
  <c r="AW45" i="12"/>
  <c r="N115" i="12" s="1"/>
  <c r="AZ45" i="12"/>
  <c r="Q115" i="12" s="1"/>
  <c r="AV20" i="11"/>
  <c r="AV19" i="11"/>
  <c r="AV18" i="11"/>
  <c r="AU40" i="10"/>
  <c r="AU43" i="10"/>
  <c r="AU42" i="10"/>
  <c r="AV13" i="10"/>
  <c r="AU13" i="10" s="1"/>
  <c r="AT43" i="10"/>
  <c r="AT40" i="10"/>
  <c r="AT41" i="10"/>
  <c r="AT42" i="10"/>
  <c r="AT44" i="10"/>
  <c r="AS44" i="10"/>
  <c r="AS42" i="10"/>
  <c r="AS43" i="10"/>
  <c r="AS40" i="10"/>
  <c r="AS41" i="10"/>
  <c r="J42" i="10"/>
  <c r="AT12" i="10"/>
  <c r="AS12" i="10"/>
  <c r="AU12" i="10"/>
  <c r="AR41" i="10"/>
  <c r="AR44" i="10"/>
  <c r="AR42" i="10"/>
  <c r="AR43" i="10"/>
  <c r="AR40" i="10"/>
  <c r="E30" i="10"/>
  <c r="D30" i="10"/>
  <c r="AU18" i="18" l="1"/>
  <c r="J45" i="18"/>
  <c r="E47" i="18" s="1"/>
  <c r="AS20" i="20"/>
  <c r="AS19" i="18"/>
  <c r="AS18" i="18"/>
  <c r="AV18" i="20"/>
  <c r="J45" i="20" s="1"/>
  <c r="E47" i="20" s="1"/>
  <c r="J47" i="20"/>
  <c r="E49" i="20" s="1"/>
  <c r="J47" i="15"/>
  <c r="D49" i="15" s="1"/>
  <c r="AU19" i="18"/>
  <c r="AU20" i="20"/>
  <c r="AT19" i="18"/>
  <c r="AT21" i="18" s="1"/>
  <c r="P100" i="18" s="1"/>
  <c r="J46" i="15"/>
  <c r="D48" i="15" s="1"/>
  <c r="AS19" i="15"/>
  <c r="AS14" i="10"/>
  <c r="AU20" i="15"/>
  <c r="AU21" i="15" s="1"/>
  <c r="Q100" i="15" s="1"/>
  <c r="AV19" i="20"/>
  <c r="J46" i="20" s="1"/>
  <c r="D48" i="20" s="1"/>
  <c r="AS20" i="15"/>
  <c r="AT14" i="10"/>
  <c r="D48" i="16"/>
  <c r="AU14" i="10"/>
  <c r="AU15" i="10" s="1"/>
  <c r="AU17" i="10" s="1"/>
  <c r="AT20" i="22"/>
  <c r="AU20" i="22"/>
  <c r="AT19" i="15"/>
  <c r="AT21" i="15" s="1"/>
  <c r="P100" i="15" s="1"/>
  <c r="E47" i="16"/>
  <c r="AU21" i="16"/>
  <c r="Q100" i="16" s="1"/>
  <c r="AT18" i="24"/>
  <c r="AT21" i="24" s="1"/>
  <c r="P100" i="24" s="1"/>
  <c r="AT18" i="25"/>
  <c r="AT21" i="25" s="1"/>
  <c r="P100" i="25" s="1"/>
  <c r="AS20" i="22"/>
  <c r="AZ45" i="25"/>
  <c r="Q115" i="25" s="1"/>
  <c r="AW45" i="25"/>
  <c r="N115" i="25" s="1"/>
  <c r="AY45" i="25"/>
  <c r="P115" i="25" s="1"/>
  <c r="AT19" i="22"/>
  <c r="AX45" i="25"/>
  <c r="O115" i="25" s="1"/>
  <c r="AS19" i="22"/>
  <c r="AU19" i="22"/>
  <c r="AU19" i="24"/>
  <c r="AT13" i="10"/>
  <c r="J43" i="10"/>
  <c r="D45" i="10" s="1"/>
  <c r="AS18" i="25"/>
  <c r="AS20" i="25"/>
  <c r="D47" i="27"/>
  <c r="AU21" i="27"/>
  <c r="Q100" i="27" s="1"/>
  <c r="D48" i="27"/>
  <c r="AU21" i="26"/>
  <c r="Q100" i="26" s="1"/>
  <c r="D48" i="26"/>
  <c r="E48" i="26"/>
  <c r="AT21" i="26"/>
  <c r="P100" i="26" s="1"/>
  <c r="AS21" i="26"/>
  <c r="O100" i="26" s="1"/>
  <c r="E49" i="26"/>
  <c r="D49" i="26"/>
  <c r="D47" i="26"/>
  <c r="E47" i="26"/>
  <c r="J47" i="25"/>
  <c r="E49" i="25" s="1"/>
  <c r="AU18" i="25"/>
  <c r="AU20" i="25"/>
  <c r="AX45" i="23"/>
  <c r="O115" i="23" s="1"/>
  <c r="AY45" i="23"/>
  <c r="P115" i="23" s="1"/>
  <c r="AW45" i="23"/>
  <c r="N115" i="23" s="1"/>
  <c r="AZ45" i="23"/>
  <c r="Q115" i="23" s="1"/>
  <c r="AS19" i="24"/>
  <c r="D47" i="25"/>
  <c r="E47" i="25"/>
  <c r="E48" i="25"/>
  <c r="D48" i="25"/>
  <c r="AS18" i="24"/>
  <c r="AU18" i="24"/>
  <c r="AY45" i="24"/>
  <c r="P115" i="24" s="1"/>
  <c r="J46" i="24"/>
  <c r="D48" i="24" s="1"/>
  <c r="AX45" i="24"/>
  <c r="O115" i="24" s="1"/>
  <c r="AW45" i="24"/>
  <c r="N115" i="24" s="1"/>
  <c r="AZ45" i="24"/>
  <c r="Q115" i="24" s="1"/>
  <c r="E49" i="24"/>
  <c r="D49" i="24"/>
  <c r="D47" i="24"/>
  <c r="E47" i="24"/>
  <c r="AT18" i="23"/>
  <c r="AS18" i="23"/>
  <c r="J45" i="23"/>
  <c r="AU18" i="23"/>
  <c r="AU19" i="23"/>
  <c r="J46" i="23"/>
  <c r="AS19" i="23"/>
  <c r="AT19" i="23"/>
  <c r="AU20" i="23"/>
  <c r="J47" i="23"/>
  <c r="AS20" i="23"/>
  <c r="AT20" i="23"/>
  <c r="E47" i="22"/>
  <c r="D47" i="22"/>
  <c r="AU32" i="22"/>
  <c r="AT32" i="22"/>
  <c r="AS32" i="22"/>
  <c r="AV32" i="22"/>
  <c r="D48" i="22"/>
  <c r="E48" i="22"/>
  <c r="D49" i="22"/>
  <c r="E49" i="22"/>
  <c r="AV34" i="22"/>
  <c r="AT34" i="22"/>
  <c r="AU34" i="22"/>
  <c r="AS34" i="22"/>
  <c r="AV18" i="21"/>
  <c r="AV20" i="21"/>
  <c r="AV19" i="21"/>
  <c r="AS21" i="19"/>
  <c r="O100" i="19" s="1"/>
  <c r="E48" i="19"/>
  <c r="D48" i="19"/>
  <c r="AT21" i="19"/>
  <c r="P100" i="19" s="1"/>
  <c r="E49" i="19"/>
  <c r="D49" i="19"/>
  <c r="D47" i="19"/>
  <c r="E47" i="19"/>
  <c r="AU21" i="19"/>
  <c r="Q100" i="19" s="1"/>
  <c r="E49" i="18"/>
  <c r="D49" i="18"/>
  <c r="E48" i="18"/>
  <c r="D48" i="18"/>
  <c r="J47" i="17"/>
  <c r="AT20" i="17"/>
  <c r="AS20" i="17"/>
  <c r="AU20" i="17"/>
  <c r="J45" i="17"/>
  <c r="AU18" i="17"/>
  <c r="AT18" i="17"/>
  <c r="AS18" i="17"/>
  <c r="J46" i="17"/>
  <c r="AT19" i="17"/>
  <c r="AS19" i="17"/>
  <c r="AU19" i="17"/>
  <c r="AU21" i="14"/>
  <c r="Q100" i="14" s="1"/>
  <c r="E47" i="15"/>
  <c r="D47" i="15"/>
  <c r="AV19" i="13"/>
  <c r="J46" i="13" s="1"/>
  <c r="AV20" i="13"/>
  <c r="J47" i="13" s="1"/>
  <c r="AS21" i="14"/>
  <c r="O100" i="14" s="1"/>
  <c r="AT21" i="14"/>
  <c r="P100" i="14" s="1"/>
  <c r="D47" i="14"/>
  <c r="E47" i="14"/>
  <c r="E49" i="14"/>
  <c r="D49" i="14"/>
  <c r="E48" i="14"/>
  <c r="D48" i="14"/>
  <c r="J45" i="13"/>
  <c r="AU18" i="13"/>
  <c r="AT18" i="13"/>
  <c r="AS18" i="13"/>
  <c r="J47" i="12"/>
  <c r="AS20" i="12"/>
  <c r="AU20" i="12"/>
  <c r="AT20" i="12"/>
  <c r="AS18" i="12"/>
  <c r="J45" i="12"/>
  <c r="AU18" i="12"/>
  <c r="AT18" i="12"/>
  <c r="J46" i="12"/>
  <c r="AU19" i="12"/>
  <c r="AT19" i="12"/>
  <c r="AS19" i="12"/>
  <c r="AT18" i="11"/>
  <c r="J45" i="11"/>
  <c r="AU18" i="11"/>
  <c r="AS18" i="11"/>
  <c r="AU19" i="11"/>
  <c r="J46" i="11"/>
  <c r="AS19" i="11"/>
  <c r="AT19" i="11"/>
  <c r="J47" i="11"/>
  <c r="AS20" i="11"/>
  <c r="AU20" i="11"/>
  <c r="AT20" i="11"/>
  <c r="AS13" i="10"/>
  <c r="AV41" i="10"/>
  <c r="AZ41" i="10" s="1"/>
  <c r="AV40" i="10"/>
  <c r="AY40" i="10" s="1"/>
  <c r="AV44" i="10"/>
  <c r="AZ44" i="10" s="1"/>
  <c r="AV43" i="10"/>
  <c r="D58" i="10" s="1"/>
  <c r="AV42" i="10"/>
  <c r="AZ42" i="10" s="1"/>
  <c r="E44" i="10"/>
  <c r="D44" i="10"/>
  <c r="E46" i="10"/>
  <c r="D46" i="10"/>
  <c r="AS21" i="22" l="1"/>
  <c r="O100" i="22" s="1"/>
  <c r="AU21" i="18"/>
  <c r="Q100" i="18" s="1"/>
  <c r="D47" i="20"/>
  <c r="D47" i="18"/>
  <c r="AS15" i="10"/>
  <c r="AS17" i="10" s="1"/>
  <c r="AV18" i="10" s="1"/>
  <c r="J45" i="10" s="1"/>
  <c r="AS21" i="18"/>
  <c r="O100" i="18" s="1"/>
  <c r="D49" i="20"/>
  <c r="E49" i="15"/>
  <c r="AS18" i="20"/>
  <c r="AT18" i="20"/>
  <c r="AU18" i="20"/>
  <c r="E48" i="20"/>
  <c r="E48" i="15"/>
  <c r="AS21" i="15"/>
  <c r="O100" i="15" s="1"/>
  <c r="AS19" i="20"/>
  <c r="AT19" i="20"/>
  <c r="AU19" i="20"/>
  <c r="AU21" i="22"/>
  <c r="Q100" i="22" s="1"/>
  <c r="AT15" i="10"/>
  <c r="AT17" i="10" s="1"/>
  <c r="E45" i="10"/>
  <c r="AT21" i="22"/>
  <c r="P100" i="22" s="1"/>
  <c r="AS20" i="13"/>
  <c r="AU21" i="24"/>
  <c r="Q100" i="24" s="1"/>
  <c r="AU21" i="25"/>
  <c r="Q100" i="25" s="1"/>
  <c r="AS21" i="25"/>
  <c r="O100" i="25" s="1"/>
  <c r="AT21" i="12"/>
  <c r="P100" i="12" s="1"/>
  <c r="AT19" i="13"/>
  <c r="D49" i="25"/>
  <c r="E55" i="10"/>
  <c r="AW42" i="10"/>
  <c r="D55" i="10"/>
  <c r="D59" i="10"/>
  <c r="AW41" i="10"/>
  <c r="AX41" i="10"/>
  <c r="D56" i="10"/>
  <c r="E56" i="10"/>
  <c r="AY44" i="10"/>
  <c r="AS21" i="24"/>
  <c r="O100" i="24" s="1"/>
  <c r="E48" i="24"/>
  <c r="AU21" i="23"/>
  <c r="Q100" i="23" s="1"/>
  <c r="D47" i="23"/>
  <c r="E47" i="23"/>
  <c r="E49" i="23"/>
  <c r="D49" i="23"/>
  <c r="E48" i="23"/>
  <c r="D48" i="23"/>
  <c r="AS21" i="23"/>
  <c r="O100" i="23" s="1"/>
  <c r="AT21" i="23"/>
  <c r="P100" i="23" s="1"/>
  <c r="AT24" i="22"/>
  <c r="AT37" i="22" s="1"/>
  <c r="AS43" i="22" s="1"/>
  <c r="AS24" i="22"/>
  <c r="AS37" i="22" s="1"/>
  <c r="AR43" i="22" s="1"/>
  <c r="AU24" i="22"/>
  <c r="AU37" i="22" s="1"/>
  <c r="AT44" i="22" s="1"/>
  <c r="AV24" i="22"/>
  <c r="AV37" i="22" s="1"/>
  <c r="AU40" i="22" s="1"/>
  <c r="J47" i="21"/>
  <c r="AT20" i="21"/>
  <c r="AS20" i="21"/>
  <c r="AU20" i="21"/>
  <c r="J45" i="21"/>
  <c r="AS18" i="21"/>
  <c r="AU18" i="21"/>
  <c r="AT18" i="21"/>
  <c r="AT19" i="21"/>
  <c r="J46" i="21"/>
  <c r="AS19" i="21"/>
  <c r="AU19" i="21"/>
  <c r="AU21" i="17"/>
  <c r="Q100" i="17" s="1"/>
  <c r="AS21" i="17"/>
  <c r="O100" i="17" s="1"/>
  <c r="AT21" i="17"/>
  <c r="P100" i="17" s="1"/>
  <c r="D48" i="17"/>
  <c r="E48" i="17"/>
  <c r="E47" i="17"/>
  <c r="D47" i="17"/>
  <c r="D49" i="17"/>
  <c r="E49" i="17"/>
  <c r="AU19" i="13"/>
  <c r="AS19" i="13"/>
  <c r="AU20" i="13"/>
  <c r="AT20" i="13"/>
  <c r="E47" i="13"/>
  <c r="D47" i="13"/>
  <c r="AS32" i="13"/>
  <c r="AV32" i="13"/>
  <c r="AT32" i="13"/>
  <c r="AU32" i="13"/>
  <c r="D49" i="13"/>
  <c r="E49" i="13"/>
  <c r="AU34" i="13"/>
  <c r="AT34" i="13"/>
  <c r="AV34" i="13"/>
  <c r="AS34" i="13"/>
  <c r="D48" i="13"/>
  <c r="E48" i="13"/>
  <c r="AU21" i="12"/>
  <c r="Q100" i="12" s="1"/>
  <c r="E47" i="12"/>
  <c r="D47" i="12"/>
  <c r="E48" i="12"/>
  <c r="D48" i="12"/>
  <c r="AS21" i="12"/>
  <c r="O100" i="12" s="1"/>
  <c r="D49" i="12"/>
  <c r="E49" i="12"/>
  <c r="AS21" i="11"/>
  <c r="O100" i="11" s="1"/>
  <c r="AU21" i="11"/>
  <c r="Q100" i="11" s="1"/>
  <c r="E49" i="11"/>
  <c r="D49" i="11"/>
  <c r="E48" i="11"/>
  <c r="D48" i="11"/>
  <c r="D47" i="11"/>
  <c r="E47" i="11"/>
  <c r="AT21" i="11"/>
  <c r="P100" i="11" s="1"/>
  <c r="AW40" i="10"/>
  <c r="AX40" i="10"/>
  <c r="AZ40" i="10"/>
  <c r="AW44" i="10"/>
  <c r="AY41" i="10"/>
  <c r="E59" i="10"/>
  <c r="AW43" i="10"/>
  <c r="AY43" i="10"/>
  <c r="AX43" i="10"/>
  <c r="AX44" i="10"/>
  <c r="AX42" i="10"/>
  <c r="AY42" i="10"/>
  <c r="E57" i="10"/>
  <c r="AZ43" i="10"/>
  <c r="D57" i="10"/>
  <c r="E58" i="10"/>
  <c r="AU21" i="20" l="1"/>
  <c r="Q100" i="20" s="1"/>
  <c r="AT21" i="20"/>
  <c r="P100" i="20" s="1"/>
  <c r="AS21" i="20"/>
  <c r="O100" i="20" s="1"/>
  <c r="AT18" i="10"/>
  <c r="AV19" i="10"/>
  <c r="J46" i="10" s="1"/>
  <c r="E48" i="10" s="1"/>
  <c r="AS18" i="10"/>
  <c r="AU18" i="10"/>
  <c r="AV20" i="10"/>
  <c r="AU20" i="10" s="1"/>
  <c r="AT21" i="13"/>
  <c r="P100" i="13" s="1"/>
  <c r="AS21" i="13"/>
  <c r="O100" i="13" s="1"/>
  <c r="AS40" i="22"/>
  <c r="AS44" i="22"/>
  <c r="AU21" i="13"/>
  <c r="Q100" i="13" s="1"/>
  <c r="AS42" i="22"/>
  <c r="AZ45" i="10"/>
  <c r="Q115" i="10" s="1"/>
  <c r="AW45" i="10"/>
  <c r="N115" i="10" s="1"/>
  <c r="AY45" i="10"/>
  <c r="P115" i="10" s="1"/>
  <c r="AS41" i="22"/>
  <c r="AU44" i="22"/>
  <c r="AU43" i="22"/>
  <c r="AU42" i="22"/>
  <c r="AT41" i="22"/>
  <c r="AU41" i="22"/>
  <c r="AR42" i="22"/>
  <c r="AR44" i="22"/>
  <c r="AR40" i="22"/>
  <c r="AR41" i="22"/>
  <c r="AT40" i="22"/>
  <c r="AT42" i="22"/>
  <c r="AT43" i="22"/>
  <c r="AU21" i="21"/>
  <c r="Q100" i="21" s="1"/>
  <c r="AT21" i="21"/>
  <c r="P100" i="21" s="1"/>
  <c r="D48" i="21"/>
  <c r="E48" i="21"/>
  <c r="AS21" i="21"/>
  <c r="O100" i="21" s="1"/>
  <c r="E47" i="21"/>
  <c r="D47" i="21"/>
  <c r="E49" i="21"/>
  <c r="D49" i="21"/>
  <c r="AS24" i="13"/>
  <c r="AS37" i="13" s="1"/>
  <c r="AR43" i="13" s="1"/>
  <c r="AV24" i="13"/>
  <c r="AV37" i="13" s="1"/>
  <c r="AU24" i="13"/>
  <c r="AU37" i="13" s="1"/>
  <c r="AT24" i="13"/>
  <c r="AT37" i="13" s="1"/>
  <c r="J47" i="10"/>
  <c r="E49" i="10" s="1"/>
  <c r="AX45" i="10"/>
  <c r="O115" i="10" s="1"/>
  <c r="E47" i="10"/>
  <c r="D47" i="10"/>
  <c r="AS20" i="10" l="1"/>
  <c r="D48" i="10"/>
  <c r="AS19" i="10"/>
  <c r="AT19" i="10"/>
  <c r="AT20" i="10"/>
  <c r="AU19" i="10"/>
  <c r="AU21" i="10" s="1"/>
  <c r="Q100" i="10" s="1"/>
  <c r="AV43" i="22"/>
  <c r="AY43" i="22" s="1"/>
  <c r="D49" i="10"/>
  <c r="AV44" i="22"/>
  <c r="E59" i="22" s="1"/>
  <c r="AV41" i="22"/>
  <c r="AX41" i="22" s="1"/>
  <c r="AV42" i="22"/>
  <c r="AZ42" i="22" s="1"/>
  <c r="AV40" i="22"/>
  <c r="E55" i="22" s="1"/>
  <c r="AR40" i="13"/>
  <c r="AR42" i="13"/>
  <c r="AR44" i="13"/>
  <c r="AR41" i="13"/>
  <c r="AT43" i="13"/>
  <c r="AT40" i="13"/>
  <c r="AT44" i="13"/>
  <c r="AT41" i="13"/>
  <c r="AT42" i="13"/>
  <c r="AS44" i="13"/>
  <c r="AS42" i="13"/>
  <c r="AS43" i="13"/>
  <c r="AS40" i="13"/>
  <c r="AS41" i="13"/>
  <c r="AU43" i="13"/>
  <c r="AU40" i="13"/>
  <c r="AU41" i="13"/>
  <c r="AU44" i="13"/>
  <c r="AU42" i="13"/>
  <c r="AO179" i="8"/>
  <c r="AN179" i="8"/>
  <c r="AM179" i="8"/>
  <c r="AL179" i="8"/>
  <c r="AK179" i="8"/>
  <c r="AJ179" i="8"/>
  <c r="AI179" i="8"/>
  <c r="AH179" i="8"/>
  <c r="AG179" i="8"/>
  <c r="AF179" i="8"/>
  <c r="AE179" i="8"/>
  <c r="AD179" i="8"/>
  <c r="AC179" i="8"/>
  <c r="AB179" i="8"/>
  <c r="AA179" i="8"/>
  <c r="Z179" i="8"/>
  <c r="Y179" i="8"/>
  <c r="X179" i="8"/>
  <c r="W179" i="8"/>
  <c r="V179" i="8"/>
  <c r="AO178" i="8"/>
  <c r="AN178" i="8"/>
  <c r="AM178" i="8"/>
  <c r="AL178" i="8"/>
  <c r="AK178" i="8"/>
  <c r="AJ178" i="8"/>
  <c r="AI178" i="8"/>
  <c r="AH178" i="8"/>
  <c r="AG178" i="8"/>
  <c r="AF178" i="8"/>
  <c r="AE178" i="8"/>
  <c r="AD178" i="8"/>
  <c r="AC178" i="8"/>
  <c r="AB178" i="8"/>
  <c r="AA178" i="8"/>
  <c r="Z178" i="8"/>
  <c r="Y178" i="8"/>
  <c r="X178" i="8"/>
  <c r="W178" i="8"/>
  <c r="V178" i="8"/>
  <c r="AO177" i="8"/>
  <c r="AN177" i="8"/>
  <c r="AM177" i="8"/>
  <c r="AL177" i="8"/>
  <c r="AK177" i="8"/>
  <c r="AJ177" i="8"/>
  <c r="AI177" i="8"/>
  <c r="AH177" i="8"/>
  <c r="AG177" i="8"/>
  <c r="AF177" i="8"/>
  <c r="AE177" i="8"/>
  <c r="AD177" i="8"/>
  <c r="AC177" i="8"/>
  <c r="AB177" i="8"/>
  <c r="AA177" i="8"/>
  <c r="Z177" i="8"/>
  <c r="Y177" i="8"/>
  <c r="X177" i="8"/>
  <c r="W177" i="8"/>
  <c r="V177" i="8"/>
  <c r="AO176" i="8"/>
  <c r="AN176" i="8"/>
  <c r="AM176" i="8"/>
  <c r="AL176" i="8"/>
  <c r="AK176" i="8"/>
  <c r="AJ176" i="8"/>
  <c r="AI176" i="8"/>
  <c r="AH176" i="8"/>
  <c r="AG176" i="8"/>
  <c r="AF176" i="8"/>
  <c r="AE176" i="8"/>
  <c r="AD176" i="8"/>
  <c r="AC176" i="8"/>
  <c r="AB176" i="8"/>
  <c r="AA176" i="8"/>
  <c r="Z176" i="8"/>
  <c r="Y176" i="8"/>
  <c r="X176" i="8"/>
  <c r="W176" i="8"/>
  <c r="V176" i="8"/>
  <c r="AO175" i="8"/>
  <c r="AN175" i="8"/>
  <c r="AM175" i="8"/>
  <c r="AL175" i="8"/>
  <c r="AK175" i="8"/>
  <c r="AJ175" i="8"/>
  <c r="AI175" i="8"/>
  <c r="AH175" i="8"/>
  <c r="AG175" i="8"/>
  <c r="AF175" i="8"/>
  <c r="AE175" i="8"/>
  <c r="AD175" i="8"/>
  <c r="AC175" i="8"/>
  <c r="AB175" i="8"/>
  <c r="AA175" i="8"/>
  <c r="Z175" i="8"/>
  <c r="Y175" i="8"/>
  <c r="X175" i="8"/>
  <c r="W175" i="8"/>
  <c r="V175" i="8"/>
  <c r="AO174" i="8"/>
  <c r="AN174" i="8"/>
  <c r="AM174" i="8"/>
  <c r="AL174" i="8"/>
  <c r="AK174" i="8"/>
  <c r="AJ174" i="8"/>
  <c r="AI174" i="8"/>
  <c r="AH174" i="8"/>
  <c r="AG174" i="8"/>
  <c r="AF174" i="8"/>
  <c r="AE174" i="8"/>
  <c r="AD174" i="8"/>
  <c r="AC174" i="8"/>
  <c r="AB174" i="8"/>
  <c r="AA174" i="8"/>
  <c r="Z174" i="8"/>
  <c r="Y174" i="8"/>
  <c r="X174" i="8"/>
  <c r="W174" i="8"/>
  <c r="V174" i="8"/>
  <c r="AO173" i="8"/>
  <c r="AN173" i="8"/>
  <c r="AM173" i="8"/>
  <c r="AL173" i="8"/>
  <c r="AK173" i="8"/>
  <c r="AJ173" i="8"/>
  <c r="AI173" i="8"/>
  <c r="AH173" i="8"/>
  <c r="AG173" i="8"/>
  <c r="AF173" i="8"/>
  <c r="AE173" i="8"/>
  <c r="AD173" i="8"/>
  <c r="AC173" i="8"/>
  <c r="AB173" i="8"/>
  <c r="AA173" i="8"/>
  <c r="Z173" i="8"/>
  <c r="Y173" i="8"/>
  <c r="X173" i="8"/>
  <c r="W173" i="8"/>
  <c r="V173" i="8"/>
  <c r="AO172" i="8"/>
  <c r="AN172" i="8"/>
  <c r="AM172" i="8"/>
  <c r="AL172" i="8"/>
  <c r="AK172" i="8"/>
  <c r="AJ172" i="8"/>
  <c r="AI172" i="8"/>
  <c r="AH172" i="8"/>
  <c r="AG172" i="8"/>
  <c r="AF172" i="8"/>
  <c r="AE172" i="8"/>
  <c r="AD172" i="8"/>
  <c r="AC172" i="8"/>
  <c r="AB172" i="8"/>
  <c r="AA172" i="8"/>
  <c r="Z172" i="8"/>
  <c r="Y172" i="8"/>
  <c r="X172" i="8"/>
  <c r="W172" i="8"/>
  <c r="V172" i="8"/>
  <c r="AO171" i="8"/>
  <c r="AN171" i="8"/>
  <c r="AM171" i="8"/>
  <c r="AL171" i="8"/>
  <c r="AK171" i="8"/>
  <c r="AJ171" i="8"/>
  <c r="AI171" i="8"/>
  <c r="AH171" i="8"/>
  <c r="AG171" i="8"/>
  <c r="AF171" i="8"/>
  <c r="AE171" i="8"/>
  <c r="AD171" i="8"/>
  <c r="AC171" i="8"/>
  <c r="AB171" i="8"/>
  <c r="AA171" i="8"/>
  <c r="Z171" i="8"/>
  <c r="Y171" i="8"/>
  <c r="X171" i="8"/>
  <c r="W171" i="8"/>
  <c r="V171" i="8"/>
  <c r="AO170" i="8"/>
  <c r="AN170" i="8"/>
  <c r="AM170" i="8"/>
  <c r="AL170" i="8"/>
  <c r="AK170" i="8"/>
  <c r="AJ170" i="8"/>
  <c r="AI170" i="8"/>
  <c r="AH170" i="8"/>
  <c r="AG170" i="8"/>
  <c r="AF170" i="8"/>
  <c r="AE170" i="8"/>
  <c r="AD170" i="8"/>
  <c r="AC170" i="8"/>
  <c r="AB170" i="8"/>
  <c r="AA170" i="8"/>
  <c r="Z170" i="8"/>
  <c r="Y170" i="8"/>
  <c r="X170" i="8"/>
  <c r="W170" i="8"/>
  <c r="V170" i="8"/>
  <c r="AO169" i="8"/>
  <c r="AN169" i="8"/>
  <c r="AM169" i="8"/>
  <c r="AL169" i="8"/>
  <c r="AK169" i="8"/>
  <c r="AJ169" i="8"/>
  <c r="AI169" i="8"/>
  <c r="AH169" i="8"/>
  <c r="AG169" i="8"/>
  <c r="AF169" i="8"/>
  <c r="AE169" i="8"/>
  <c r="AD169" i="8"/>
  <c r="AC169" i="8"/>
  <c r="AB169" i="8"/>
  <c r="AA169" i="8"/>
  <c r="Z169" i="8"/>
  <c r="Y169" i="8"/>
  <c r="X169" i="8"/>
  <c r="W169" i="8"/>
  <c r="V169" i="8"/>
  <c r="AO168" i="8"/>
  <c r="AN168" i="8"/>
  <c r="AM168" i="8"/>
  <c r="AL168" i="8"/>
  <c r="AK168" i="8"/>
  <c r="AJ168" i="8"/>
  <c r="AI168" i="8"/>
  <c r="AH168" i="8"/>
  <c r="AG168" i="8"/>
  <c r="AF168" i="8"/>
  <c r="AE168" i="8"/>
  <c r="AD168" i="8"/>
  <c r="AD95" i="8" s="1"/>
  <c r="AC168" i="8"/>
  <c r="AC95" i="8" s="1"/>
  <c r="AB168" i="8"/>
  <c r="AB95" i="8" s="1"/>
  <c r="AA168" i="8"/>
  <c r="Z168" i="8"/>
  <c r="Z95" i="8" s="1"/>
  <c r="Y168" i="8"/>
  <c r="X168" i="8"/>
  <c r="W168" i="8"/>
  <c r="W95" i="8" s="1"/>
  <c r="V168" i="8"/>
  <c r="V95" i="8" s="1"/>
  <c r="AO167" i="8"/>
  <c r="AN167" i="8"/>
  <c r="AM167" i="8"/>
  <c r="AL167" i="8"/>
  <c r="X94" i="8" s="1"/>
  <c r="AK167" i="8"/>
  <c r="AJ167" i="8"/>
  <c r="AI167" i="8"/>
  <c r="AH167" i="8"/>
  <c r="AG167" i="8"/>
  <c r="AF167" i="8"/>
  <c r="AE167" i="8"/>
  <c r="AD167" i="8"/>
  <c r="AC167" i="8"/>
  <c r="AB167" i="8"/>
  <c r="AB94" i="8" s="1"/>
  <c r="AA167" i="8"/>
  <c r="Z167" i="8"/>
  <c r="Y167" i="8"/>
  <c r="Y94" i="8" s="1"/>
  <c r="X167" i="8"/>
  <c r="W167" i="8"/>
  <c r="V167" i="8"/>
  <c r="AO166" i="8"/>
  <c r="AN166" i="8"/>
  <c r="AM166" i="8"/>
  <c r="AL166" i="8"/>
  <c r="X93" i="8" s="1"/>
  <c r="AK166" i="8"/>
  <c r="AJ166" i="8"/>
  <c r="AI166" i="8"/>
  <c r="AH166" i="8"/>
  <c r="AG166" i="8"/>
  <c r="AF166" i="8"/>
  <c r="AE166" i="8"/>
  <c r="AD166" i="8"/>
  <c r="AC166" i="8"/>
  <c r="AC93" i="8" s="1"/>
  <c r="AB166" i="8"/>
  <c r="AB93" i="8" s="1"/>
  <c r="AA166" i="8"/>
  <c r="AA93" i="8" s="1"/>
  <c r="Z166" i="8"/>
  <c r="Y166" i="8"/>
  <c r="X166" i="8"/>
  <c r="W166" i="8"/>
  <c r="V166" i="8"/>
  <c r="AO165" i="8"/>
  <c r="AN165" i="8"/>
  <c r="AM165" i="8"/>
  <c r="AL165" i="8"/>
  <c r="AK165" i="8"/>
  <c r="AJ165" i="8"/>
  <c r="AI165" i="8"/>
  <c r="AH165" i="8"/>
  <c r="AG165" i="8"/>
  <c r="AF165" i="8"/>
  <c r="AE165" i="8"/>
  <c r="AD165" i="8"/>
  <c r="AD92" i="8" s="1"/>
  <c r="AC165" i="8"/>
  <c r="AC92" i="8" s="1"/>
  <c r="AB165" i="8"/>
  <c r="AB92" i="8" s="1"/>
  <c r="AA165" i="8"/>
  <c r="AA92" i="8" s="1"/>
  <c r="Z165" i="8"/>
  <c r="Z92" i="8" s="1"/>
  <c r="Y165" i="8"/>
  <c r="Y92" i="8" s="1"/>
  <c r="X165" i="8"/>
  <c r="W165" i="8"/>
  <c r="W92" i="8" s="1"/>
  <c r="V165" i="8"/>
  <c r="V92" i="8" s="1"/>
  <c r="AO164" i="8"/>
  <c r="AN164" i="8"/>
  <c r="AM164" i="8"/>
  <c r="AL164" i="8"/>
  <c r="AK164" i="8"/>
  <c r="AJ164" i="8"/>
  <c r="AI164" i="8"/>
  <c r="AH164" i="8"/>
  <c r="AG164" i="8"/>
  <c r="AF164" i="8"/>
  <c r="AE164" i="8"/>
  <c r="AD164" i="8"/>
  <c r="AD91" i="8" s="1"/>
  <c r="AC164" i="8"/>
  <c r="AC91" i="8" s="1"/>
  <c r="AB164" i="8"/>
  <c r="AB91" i="8" s="1"/>
  <c r="AA164" i="8"/>
  <c r="Z164" i="8"/>
  <c r="Z91" i="8" s="1"/>
  <c r="Y164" i="8"/>
  <c r="Y91" i="8" s="1"/>
  <c r="X164" i="8"/>
  <c r="W164" i="8"/>
  <c r="W91" i="8" s="1"/>
  <c r="V164" i="8"/>
  <c r="V91" i="8" s="1"/>
  <c r="AO163" i="8"/>
  <c r="AN163" i="8"/>
  <c r="AM163" i="8"/>
  <c r="AL163" i="8"/>
  <c r="X90" i="8" s="1"/>
  <c r="AK163" i="8"/>
  <c r="AJ163" i="8"/>
  <c r="AI163" i="8"/>
  <c r="AH163" i="8"/>
  <c r="AG163" i="8"/>
  <c r="AF163" i="8"/>
  <c r="AE163" i="8"/>
  <c r="AD163" i="8"/>
  <c r="AC163" i="8"/>
  <c r="AC90" i="8" s="1"/>
  <c r="AB163" i="8"/>
  <c r="AB90" i="8" s="1"/>
  <c r="AA163" i="8"/>
  <c r="Z163" i="8"/>
  <c r="Y163" i="8"/>
  <c r="Y90" i="8" s="1"/>
  <c r="X163" i="8"/>
  <c r="W163" i="8"/>
  <c r="W90" i="8" s="1"/>
  <c r="V163" i="8"/>
  <c r="AO162" i="8"/>
  <c r="AN162" i="8"/>
  <c r="AM162" i="8"/>
  <c r="AL162" i="8"/>
  <c r="X89" i="8" s="1"/>
  <c r="AK162" i="8"/>
  <c r="AJ162" i="8"/>
  <c r="AI162" i="8"/>
  <c r="AH162" i="8"/>
  <c r="AG162" i="8"/>
  <c r="AF162" i="8"/>
  <c r="AE162" i="8"/>
  <c r="AD162" i="8"/>
  <c r="AC162" i="8"/>
  <c r="AC89" i="8" s="1"/>
  <c r="AB162" i="8"/>
  <c r="AA162" i="8"/>
  <c r="AA89" i="8" s="1"/>
  <c r="Z162" i="8"/>
  <c r="Y162" i="8"/>
  <c r="Y89" i="8" s="1"/>
  <c r="X162" i="8"/>
  <c r="W162" i="8"/>
  <c r="W89" i="8" s="1"/>
  <c r="V162" i="8"/>
  <c r="AO161" i="8"/>
  <c r="AN161" i="8"/>
  <c r="AM161" i="8"/>
  <c r="AL161" i="8"/>
  <c r="AK161" i="8"/>
  <c r="AJ161" i="8"/>
  <c r="AI161" i="8"/>
  <c r="AH161" i="8"/>
  <c r="AG161" i="8"/>
  <c r="AF161" i="8"/>
  <c r="AE161" i="8"/>
  <c r="AD161" i="8"/>
  <c r="AD88" i="8" s="1"/>
  <c r="AC161" i="8"/>
  <c r="AC88" i="8" s="1"/>
  <c r="AB161" i="8"/>
  <c r="AB88" i="8" s="1"/>
  <c r="AA161" i="8"/>
  <c r="AA88" i="8" s="1"/>
  <c r="Z161" i="8"/>
  <c r="Z88" i="8" s="1"/>
  <c r="Y161" i="8"/>
  <c r="Y88" i="8" s="1"/>
  <c r="X161" i="8"/>
  <c r="W161" i="8"/>
  <c r="W88" i="8" s="1"/>
  <c r="V161" i="8"/>
  <c r="V88" i="8" s="1"/>
  <c r="AO160" i="8"/>
  <c r="AN160" i="8"/>
  <c r="AM160" i="8"/>
  <c r="AL160" i="8"/>
  <c r="AK160" i="8"/>
  <c r="AJ160" i="8"/>
  <c r="AI160" i="8"/>
  <c r="AH160" i="8"/>
  <c r="AG160" i="8"/>
  <c r="AF160" i="8"/>
  <c r="AE160" i="8"/>
  <c r="AD160" i="8"/>
  <c r="AD87" i="8" s="1"/>
  <c r="AC160" i="8"/>
  <c r="AB160" i="8"/>
  <c r="AB87" i="8" s="1"/>
  <c r="AA160" i="8"/>
  <c r="AA87" i="8" s="1"/>
  <c r="Z160" i="8"/>
  <c r="Z87" i="8" s="1"/>
  <c r="Y160" i="8"/>
  <c r="X160" i="8"/>
  <c r="W160" i="8"/>
  <c r="V160" i="8"/>
  <c r="V87" i="8" s="1"/>
  <c r="AO159" i="8"/>
  <c r="AN159" i="8"/>
  <c r="AM159" i="8"/>
  <c r="AL159" i="8"/>
  <c r="AK159" i="8"/>
  <c r="AJ159" i="8"/>
  <c r="AI159" i="8"/>
  <c r="AH159" i="8"/>
  <c r="AG159" i="8"/>
  <c r="AF159" i="8"/>
  <c r="AE159" i="8"/>
  <c r="AD159" i="8"/>
  <c r="AC159" i="8"/>
  <c r="AB159" i="8"/>
  <c r="AA159" i="8"/>
  <c r="Z159" i="8"/>
  <c r="Y159" i="8"/>
  <c r="X159" i="8"/>
  <c r="W159" i="8"/>
  <c r="V159" i="8"/>
  <c r="AO158" i="8"/>
  <c r="AN158" i="8"/>
  <c r="AM158" i="8"/>
  <c r="AL158" i="8"/>
  <c r="AK158" i="8"/>
  <c r="AJ158" i="8"/>
  <c r="AI158" i="8"/>
  <c r="AH158" i="8"/>
  <c r="AG158" i="8"/>
  <c r="AF158" i="8"/>
  <c r="AE158" i="8"/>
  <c r="AD158" i="8"/>
  <c r="AC158" i="8"/>
  <c r="AB158" i="8"/>
  <c r="AA158" i="8"/>
  <c r="Z158" i="8"/>
  <c r="Y158" i="8"/>
  <c r="X158" i="8"/>
  <c r="W158" i="8"/>
  <c r="V158" i="8"/>
  <c r="AO157" i="8"/>
  <c r="AN157" i="8"/>
  <c r="AM157" i="8"/>
  <c r="AL157" i="8"/>
  <c r="AK157" i="8"/>
  <c r="AJ157" i="8"/>
  <c r="AI157" i="8"/>
  <c r="AH157" i="8"/>
  <c r="AG157" i="8"/>
  <c r="AF157" i="8"/>
  <c r="AE157" i="8"/>
  <c r="AD157" i="8"/>
  <c r="AC157" i="8"/>
  <c r="AB157" i="8"/>
  <c r="AA157" i="8"/>
  <c r="Z157" i="8"/>
  <c r="Y157" i="8"/>
  <c r="X157" i="8"/>
  <c r="W157" i="8"/>
  <c r="V157" i="8"/>
  <c r="AO156" i="8"/>
  <c r="AN156" i="8"/>
  <c r="AM156" i="8"/>
  <c r="AL156" i="8"/>
  <c r="AK156" i="8"/>
  <c r="AJ156" i="8"/>
  <c r="AI156" i="8"/>
  <c r="AH156" i="8"/>
  <c r="AG156" i="8"/>
  <c r="AF156" i="8"/>
  <c r="AE156" i="8"/>
  <c r="AD156" i="8"/>
  <c r="AC156" i="8"/>
  <c r="AB156" i="8"/>
  <c r="AA156" i="8"/>
  <c r="Z156" i="8"/>
  <c r="Y156" i="8"/>
  <c r="X156" i="8"/>
  <c r="W156" i="8"/>
  <c r="V156" i="8"/>
  <c r="AO155" i="8"/>
  <c r="AN155" i="8"/>
  <c r="AM155" i="8"/>
  <c r="AL155" i="8"/>
  <c r="AK155" i="8"/>
  <c r="AJ155" i="8"/>
  <c r="AI155" i="8"/>
  <c r="AH155" i="8"/>
  <c r="AG155" i="8"/>
  <c r="AF155" i="8"/>
  <c r="AE155" i="8"/>
  <c r="AD155" i="8"/>
  <c r="AC155" i="8"/>
  <c r="AB155" i="8"/>
  <c r="AA155" i="8"/>
  <c r="Z155" i="8"/>
  <c r="Y155" i="8"/>
  <c r="X155" i="8"/>
  <c r="W155" i="8"/>
  <c r="V155" i="8"/>
  <c r="AO154" i="8"/>
  <c r="AN154" i="8"/>
  <c r="AM154" i="8"/>
  <c r="AL154" i="8"/>
  <c r="AK154" i="8"/>
  <c r="AJ154" i="8"/>
  <c r="AI154" i="8"/>
  <c r="AH154" i="8"/>
  <c r="AG154" i="8"/>
  <c r="AF154" i="8"/>
  <c r="AE154" i="8"/>
  <c r="AD154" i="8"/>
  <c r="AC154" i="8"/>
  <c r="AB154" i="8"/>
  <c r="AA154" i="8"/>
  <c r="Z154" i="8"/>
  <c r="Y154" i="8"/>
  <c r="X154" i="8"/>
  <c r="W154" i="8"/>
  <c r="V154" i="8"/>
  <c r="AO153" i="8"/>
  <c r="AN153" i="8"/>
  <c r="AM153" i="8"/>
  <c r="AL153" i="8"/>
  <c r="AK153" i="8"/>
  <c r="AJ153" i="8"/>
  <c r="AI153" i="8"/>
  <c r="AH153" i="8"/>
  <c r="AG153" i="8"/>
  <c r="AF153" i="8"/>
  <c r="AE153" i="8"/>
  <c r="AD153" i="8"/>
  <c r="AC153" i="8"/>
  <c r="AB153" i="8"/>
  <c r="AA153" i="8"/>
  <c r="Z153" i="8"/>
  <c r="Y153" i="8"/>
  <c r="X153" i="8"/>
  <c r="W153" i="8"/>
  <c r="V153" i="8"/>
  <c r="AO152" i="8"/>
  <c r="AN152" i="8"/>
  <c r="AM152" i="8"/>
  <c r="AL152" i="8"/>
  <c r="AK152" i="8"/>
  <c r="AJ152" i="8"/>
  <c r="AI152" i="8"/>
  <c r="AH152" i="8"/>
  <c r="AG152" i="8"/>
  <c r="AF152" i="8"/>
  <c r="AE152" i="8"/>
  <c r="AD152" i="8"/>
  <c r="AC152" i="8"/>
  <c r="AB152" i="8"/>
  <c r="AA152" i="8"/>
  <c r="Z152" i="8"/>
  <c r="Y152" i="8"/>
  <c r="X152" i="8"/>
  <c r="W152" i="8"/>
  <c r="V152" i="8"/>
  <c r="AO151" i="8"/>
  <c r="AN151" i="8"/>
  <c r="AM151" i="8"/>
  <c r="AL151" i="8"/>
  <c r="AK151" i="8"/>
  <c r="AJ151" i="8"/>
  <c r="AI151" i="8"/>
  <c r="AH151" i="8"/>
  <c r="AG151" i="8"/>
  <c r="AF151" i="8"/>
  <c r="AE151" i="8"/>
  <c r="AD151" i="8"/>
  <c r="AC151" i="8"/>
  <c r="AB151" i="8"/>
  <c r="AA151" i="8"/>
  <c r="Z151" i="8"/>
  <c r="Y151" i="8"/>
  <c r="X151" i="8"/>
  <c r="W151" i="8"/>
  <c r="V151" i="8"/>
  <c r="AO150" i="8"/>
  <c r="AN150" i="8"/>
  <c r="AM150" i="8"/>
  <c r="AL150" i="8"/>
  <c r="AK150" i="8"/>
  <c r="AJ150" i="8"/>
  <c r="AI150" i="8"/>
  <c r="AH150" i="8"/>
  <c r="AG150" i="8"/>
  <c r="AF150" i="8"/>
  <c r="AE150" i="8"/>
  <c r="AD150" i="8"/>
  <c r="AC150" i="8"/>
  <c r="AB150" i="8"/>
  <c r="AA150" i="8"/>
  <c r="Z150" i="8"/>
  <c r="Y150" i="8"/>
  <c r="X150" i="8"/>
  <c r="W150" i="8"/>
  <c r="V150" i="8"/>
  <c r="AO149" i="8"/>
  <c r="AN149" i="8"/>
  <c r="AM149" i="8"/>
  <c r="AL149" i="8"/>
  <c r="AK149" i="8"/>
  <c r="AJ149" i="8"/>
  <c r="AI149" i="8"/>
  <c r="AH149" i="8"/>
  <c r="AG149" i="8"/>
  <c r="AF149" i="8"/>
  <c r="AE149" i="8"/>
  <c r="AD149" i="8"/>
  <c r="AC149" i="8"/>
  <c r="AB149" i="8"/>
  <c r="AA149" i="8"/>
  <c r="Z149" i="8"/>
  <c r="Y149" i="8"/>
  <c r="X149" i="8"/>
  <c r="W149" i="8"/>
  <c r="V149" i="8"/>
  <c r="AO148" i="8"/>
  <c r="AN148" i="8"/>
  <c r="AM148" i="8"/>
  <c r="AL148" i="8"/>
  <c r="AK148" i="8"/>
  <c r="AJ148" i="8"/>
  <c r="AI148" i="8"/>
  <c r="AH148" i="8"/>
  <c r="AG148" i="8"/>
  <c r="AF148" i="8"/>
  <c r="AE148" i="8"/>
  <c r="AD148" i="8"/>
  <c r="AC148" i="8"/>
  <c r="AB148" i="8"/>
  <c r="AA148" i="8"/>
  <c r="Z148" i="8"/>
  <c r="Y148" i="8"/>
  <c r="X148" i="8"/>
  <c r="W148" i="8"/>
  <c r="V148" i="8"/>
  <c r="AO147" i="8"/>
  <c r="AN147" i="8"/>
  <c r="AM147" i="8"/>
  <c r="AL147" i="8"/>
  <c r="AK147" i="8"/>
  <c r="AJ147" i="8"/>
  <c r="AI147" i="8"/>
  <c r="AH147" i="8"/>
  <c r="AG147" i="8"/>
  <c r="AF147" i="8"/>
  <c r="AE147" i="8"/>
  <c r="AD147" i="8"/>
  <c r="AC147" i="8"/>
  <c r="AB147" i="8"/>
  <c r="AA147" i="8"/>
  <c r="Z147" i="8"/>
  <c r="Y147" i="8"/>
  <c r="X147" i="8"/>
  <c r="W147" i="8"/>
  <c r="V147" i="8"/>
  <c r="AO146" i="8"/>
  <c r="AN146" i="8"/>
  <c r="AM146" i="8"/>
  <c r="AL146" i="8"/>
  <c r="AK146" i="8"/>
  <c r="AJ146" i="8"/>
  <c r="AI146" i="8"/>
  <c r="AH146" i="8"/>
  <c r="AG146" i="8"/>
  <c r="AF146" i="8"/>
  <c r="AE146" i="8"/>
  <c r="AD146" i="8"/>
  <c r="AC146" i="8"/>
  <c r="AB146" i="8"/>
  <c r="AA146" i="8"/>
  <c r="Z146" i="8"/>
  <c r="Y146" i="8"/>
  <c r="X146" i="8"/>
  <c r="W146" i="8"/>
  <c r="V146" i="8"/>
  <c r="AO145" i="8"/>
  <c r="AN145" i="8"/>
  <c r="AM145" i="8"/>
  <c r="AL145" i="8"/>
  <c r="AK145" i="8"/>
  <c r="AJ145" i="8"/>
  <c r="AI145" i="8"/>
  <c r="AH145" i="8"/>
  <c r="AG145" i="8"/>
  <c r="AF145" i="8"/>
  <c r="AE145" i="8"/>
  <c r="AD145" i="8"/>
  <c r="AC145" i="8"/>
  <c r="AB145" i="8"/>
  <c r="AA145" i="8"/>
  <c r="Z145" i="8"/>
  <c r="Y145" i="8"/>
  <c r="X145" i="8"/>
  <c r="W145" i="8"/>
  <c r="V145" i="8"/>
  <c r="AO144" i="8"/>
  <c r="AN144" i="8"/>
  <c r="AM144" i="8"/>
  <c r="AL144" i="8"/>
  <c r="AK144" i="8"/>
  <c r="AJ144" i="8"/>
  <c r="AI144" i="8"/>
  <c r="AH144" i="8"/>
  <c r="AG144" i="8"/>
  <c r="AF144" i="8"/>
  <c r="AE144" i="8"/>
  <c r="AD144" i="8"/>
  <c r="AC144" i="8"/>
  <c r="AB144" i="8"/>
  <c r="AA144" i="8"/>
  <c r="Z144" i="8"/>
  <c r="Y144" i="8"/>
  <c r="X144" i="8"/>
  <c r="W144" i="8"/>
  <c r="V144" i="8"/>
  <c r="AO143" i="8"/>
  <c r="AN143" i="8"/>
  <c r="AM143" i="8"/>
  <c r="AL143" i="8"/>
  <c r="AK143" i="8"/>
  <c r="AJ143" i="8"/>
  <c r="AI143" i="8"/>
  <c r="AH143" i="8"/>
  <c r="AG143" i="8"/>
  <c r="AF143" i="8"/>
  <c r="AE143" i="8"/>
  <c r="AD143" i="8"/>
  <c r="AC143" i="8"/>
  <c r="AB143" i="8"/>
  <c r="AA143" i="8"/>
  <c r="Z143" i="8"/>
  <c r="Y143" i="8"/>
  <c r="X143" i="8"/>
  <c r="W143" i="8"/>
  <c r="V143" i="8"/>
  <c r="AO142" i="8"/>
  <c r="AN142" i="8"/>
  <c r="AM142" i="8"/>
  <c r="AL142" i="8"/>
  <c r="AK142" i="8"/>
  <c r="AJ142" i="8"/>
  <c r="AI142" i="8"/>
  <c r="AH142" i="8"/>
  <c r="AG142" i="8"/>
  <c r="AF142" i="8"/>
  <c r="AE142" i="8"/>
  <c r="AD142" i="8"/>
  <c r="AC142" i="8"/>
  <c r="AB142" i="8"/>
  <c r="AA142" i="8"/>
  <c r="Z142" i="8"/>
  <c r="Y142" i="8"/>
  <c r="X142" i="8"/>
  <c r="W142" i="8"/>
  <c r="V142" i="8"/>
  <c r="AO141" i="8"/>
  <c r="AN141" i="8"/>
  <c r="AM141" i="8"/>
  <c r="AL141" i="8"/>
  <c r="AK141" i="8"/>
  <c r="AJ141" i="8"/>
  <c r="AI141" i="8"/>
  <c r="AH141" i="8"/>
  <c r="AG141" i="8"/>
  <c r="AF141" i="8"/>
  <c r="AE141" i="8"/>
  <c r="AD141" i="8"/>
  <c r="AC141" i="8"/>
  <c r="AB141" i="8"/>
  <c r="AA141" i="8"/>
  <c r="Z141" i="8"/>
  <c r="Y141" i="8"/>
  <c r="X141" i="8"/>
  <c r="W141" i="8"/>
  <c r="V141" i="8"/>
  <c r="AO140" i="8"/>
  <c r="AN140" i="8"/>
  <c r="AM140" i="8"/>
  <c r="AL140" i="8"/>
  <c r="AK140" i="8"/>
  <c r="AJ140" i="8"/>
  <c r="AI140" i="8"/>
  <c r="AH140" i="8"/>
  <c r="AG140" i="8"/>
  <c r="AF140" i="8"/>
  <c r="AE140" i="8"/>
  <c r="AD140" i="8"/>
  <c r="AC140" i="8"/>
  <c r="AB140" i="8"/>
  <c r="AA140" i="8"/>
  <c r="Z140" i="8"/>
  <c r="Y140" i="8"/>
  <c r="X140" i="8"/>
  <c r="W140" i="8"/>
  <c r="V140" i="8"/>
  <c r="AO139" i="8"/>
  <c r="AN139" i="8"/>
  <c r="AM139" i="8"/>
  <c r="AL139" i="8"/>
  <c r="AK139" i="8"/>
  <c r="AJ139" i="8"/>
  <c r="AI139" i="8"/>
  <c r="AH139" i="8"/>
  <c r="AG139" i="8"/>
  <c r="AF139" i="8"/>
  <c r="AE139" i="8"/>
  <c r="AD139" i="8"/>
  <c r="AC139" i="8"/>
  <c r="AB139" i="8"/>
  <c r="AA139" i="8"/>
  <c r="Z139" i="8"/>
  <c r="Y139" i="8"/>
  <c r="X139" i="8"/>
  <c r="W139" i="8"/>
  <c r="V139" i="8"/>
  <c r="AO138" i="8"/>
  <c r="AN138" i="8"/>
  <c r="AM138" i="8"/>
  <c r="AL138" i="8"/>
  <c r="AK138" i="8"/>
  <c r="AJ138" i="8"/>
  <c r="AI138" i="8"/>
  <c r="AH138" i="8"/>
  <c r="AG138" i="8"/>
  <c r="AF138" i="8"/>
  <c r="AE138" i="8"/>
  <c r="AD138" i="8"/>
  <c r="AC138" i="8"/>
  <c r="AB138" i="8"/>
  <c r="AA138" i="8"/>
  <c r="Z138" i="8"/>
  <c r="Y138" i="8"/>
  <c r="X138" i="8"/>
  <c r="W138" i="8"/>
  <c r="V138" i="8"/>
  <c r="AO137" i="8"/>
  <c r="AN137" i="8"/>
  <c r="AM137" i="8"/>
  <c r="AL137" i="8"/>
  <c r="AK137" i="8"/>
  <c r="AJ137" i="8"/>
  <c r="AI137" i="8"/>
  <c r="AH137" i="8"/>
  <c r="AG137" i="8"/>
  <c r="AF137" i="8"/>
  <c r="AE137" i="8"/>
  <c r="AD137" i="8"/>
  <c r="AC137" i="8"/>
  <c r="AB137" i="8"/>
  <c r="AA137" i="8"/>
  <c r="Z137" i="8"/>
  <c r="Y137" i="8"/>
  <c r="X137" i="8"/>
  <c r="W137" i="8"/>
  <c r="V137" i="8"/>
  <c r="AO136" i="8"/>
  <c r="AN136" i="8"/>
  <c r="AM136" i="8"/>
  <c r="AL136" i="8"/>
  <c r="AK136" i="8"/>
  <c r="AJ136" i="8"/>
  <c r="AI136" i="8"/>
  <c r="AH136" i="8"/>
  <c r="AG136" i="8"/>
  <c r="AF136" i="8"/>
  <c r="AE136" i="8"/>
  <c r="AD136" i="8"/>
  <c r="AC136" i="8"/>
  <c r="AB136" i="8"/>
  <c r="AA136" i="8"/>
  <c r="Z136" i="8"/>
  <c r="Y136" i="8"/>
  <c r="X136" i="8"/>
  <c r="W136" i="8"/>
  <c r="V136" i="8"/>
  <c r="AO135" i="8"/>
  <c r="AN135" i="8"/>
  <c r="AM135" i="8"/>
  <c r="AL135" i="8"/>
  <c r="AK135" i="8"/>
  <c r="AJ135" i="8"/>
  <c r="AI135" i="8"/>
  <c r="AH135" i="8"/>
  <c r="AG135" i="8"/>
  <c r="AF135" i="8"/>
  <c r="AE135" i="8"/>
  <c r="AD135" i="8"/>
  <c r="AC135" i="8"/>
  <c r="AB135" i="8"/>
  <c r="AA135" i="8"/>
  <c r="Z135" i="8"/>
  <c r="Y135" i="8"/>
  <c r="X135" i="8"/>
  <c r="W135" i="8"/>
  <c r="V135" i="8"/>
  <c r="AO134" i="8"/>
  <c r="AN134" i="8"/>
  <c r="AM134" i="8"/>
  <c r="AL134" i="8"/>
  <c r="AK134" i="8"/>
  <c r="AJ134" i="8"/>
  <c r="AI134" i="8"/>
  <c r="AH134" i="8"/>
  <c r="AG134" i="8"/>
  <c r="AF134" i="8"/>
  <c r="AE134" i="8"/>
  <c r="AD134" i="8"/>
  <c r="AC134" i="8"/>
  <c r="AB134" i="8"/>
  <c r="AA134" i="8"/>
  <c r="Z134" i="8"/>
  <c r="Y134" i="8"/>
  <c r="X134" i="8"/>
  <c r="W134" i="8"/>
  <c r="V134" i="8"/>
  <c r="AO133" i="8"/>
  <c r="AN133" i="8"/>
  <c r="AM133" i="8"/>
  <c r="AL133" i="8"/>
  <c r="AK133" i="8"/>
  <c r="AJ133" i="8"/>
  <c r="AI133" i="8"/>
  <c r="AH133" i="8"/>
  <c r="AG133" i="8"/>
  <c r="AF133" i="8"/>
  <c r="AE133" i="8"/>
  <c r="AD133" i="8"/>
  <c r="AC133" i="8"/>
  <c r="AB133" i="8"/>
  <c r="AA133" i="8"/>
  <c r="Z133" i="8"/>
  <c r="Y133" i="8"/>
  <c r="X133" i="8"/>
  <c r="W133" i="8"/>
  <c r="V133" i="8"/>
  <c r="AO132" i="8"/>
  <c r="AN132" i="8"/>
  <c r="AM132" i="8"/>
  <c r="AL132" i="8"/>
  <c r="AK132" i="8"/>
  <c r="AJ132" i="8"/>
  <c r="AI132" i="8"/>
  <c r="AH132" i="8"/>
  <c r="AG132" i="8"/>
  <c r="AF132" i="8"/>
  <c r="AE132" i="8"/>
  <c r="AD132" i="8"/>
  <c r="AC132" i="8"/>
  <c r="AB132" i="8"/>
  <c r="AA132" i="8"/>
  <c r="Z132" i="8"/>
  <c r="Y132" i="8"/>
  <c r="X132" i="8"/>
  <c r="W132" i="8"/>
  <c r="V132" i="8"/>
  <c r="AO131" i="8"/>
  <c r="AN131" i="8"/>
  <c r="AM131" i="8"/>
  <c r="AL131" i="8"/>
  <c r="AK131" i="8"/>
  <c r="AJ131" i="8"/>
  <c r="AI131" i="8"/>
  <c r="AH131" i="8"/>
  <c r="AG131" i="8"/>
  <c r="AF131" i="8"/>
  <c r="AE131" i="8"/>
  <c r="AD131" i="8"/>
  <c r="AC131" i="8"/>
  <c r="AB131" i="8"/>
  <c r="AA131" i="8"/>
  <c r="Z131" i="8"/>
  <c r="Y131" i="8"/>
  <c r="X131" i="8"/>
  <c r="W131" i="8"/>
  <c r="V131" i="8"/>
  <c r="AO130" i="8"/>
  <c r="AN130" i="8"/>
  <c r="AM130" i="8"/>
  <c r="AL130" i="8"/>
  <c r="AK130" i="8"/>
  <c r="AJ130" i="8"/>
  <c r="AI130" i="8"/>
  <c r="AH130" i="8"/>
  <c r="AG130" i="8"/>
  <c r="AF130" i="8"/>
  <c r="AE130" i="8"/>
  <c r="AD130" i="8"/>
  <c r="AC130" i="8"/>
  <c r="AB130" i="8"/>
  <c r="AA130" i="8"/>
  <c r="Z130" i="8"/>
  <c r="Y130" i="8"/>
  <c r="X130" i="8"/>
  <c r="W130" i="8"/>
  <c r="V130" i="8"/>
  <c r="AO129" i="8"/>
  <c r="AN129" i="8"/>
  <c r="AM129" i="8"/>
  <c r="AL129" i="8"/>
  <c r="AK129" i="8"/>
  <c r="AJ129" i="8"/>
  <c r="AI129" i="8"/>
  <c r="AH129" i="8"/>
  <c r="AG129" i="8"/>
  <c r="AF129" i="8"/>
  <c r="AE129" i="8"/>
  <c r="AD129" i="8"/>
  <c r="AC129" i="8"/>
  <c r="AB129" i="8"/>
  <c r="AA129" i="8"/>
  <c r="Z129" i="8"/>
  <c r="Y129" i="8"/>
  <c r="X129" i="8"/>
  <c r="W129" i="8"/>
  <c r="V129" i="8"/>
  <c r="AO128" i="8"/>
  <c r="AN128" i="8"/>
  <c r="AM128" i="8"/>
  <c r="AL128" i="8"/>
  <c r="AK128" i="8"/>
  <c r="AJ128" i="8"/>
  <c r="AI128" i="8"/>
  <c r="AH128" i="8"/>
  <c r="AG128" i="8"/>
  <c r="AF128" i="8"/>
  <c r="AE128" i="8"/>
  <c r="AD128" i="8"/>
  <c r="AC128" i="8"/>
  <c r="AB128" i="8"/>
  <c r="AA128" i="8"/>
  <c r="Z128" i="8"/>
  <c r="Y128" i="8"/>
  <c r="X128" i="8"/>
  <c r="W128" i="8"/>
  <c r="V128" i="8"/>
  <c r="AO127" i="8"/>
  <c r="AN127" i="8"/>
  <c r="AM127" i="8"/>
  <c r="AL127" i="8"/>
  <c r="AK127" i="8"/>
  <c r="AJ127" i="8"/>
  <c r="AI127" i="8"/>
  <c r="AH127" i="8"/>
  <c r="AG127" i="8"/>
  <c r="AF127" i="8"/>
  <c r="AE127" i="8"/>
  <c r="AD127" i="8"/>
  <c r="AC127" i="8"/>
  <c r="AB127" i="8"/>
  <c r="AA127" i="8"/>
  <c r="Z127" i="8"/>
  <c r="Y127" i="8"/>
  <c r="X127" i="8"/>
  <c r="W127" i="8"/>
  <c r="V127" i="8"/>
  <c r="AO126" i="8"/>
  <c r="AN126" i="8"/>
  <c r="AM126" i="8"/>
  <c r="AL126" i="8"/>
  <c r="AK126" i="8"/>
  <c r="AJ126" i="8"/>
  <c r="AI126" i="8"/>
  <c r="AH126" i="8"/>
  <c r="AG126" i="8"/>
  <c r="AF126" i="8"/>
  <c r="AE126" i="8"/>
  <c r="AD126" i="8"/>
  <c r="AC126" i="8"/>
  <c r="AB126" i="8"/>
  <c r="AA126" i="8"/>
  <c r="Z126" i="8"/>
  <c r="Y126" i="8"/>
  <c r="X126" i="8"/>
  <c r="W126" i="8"/>
  <c r="V126" i="8"/>
  <c r="AO125" i="8"/>
  <c r="AN125" i="8"/>
  <c r="AM125" i="8"/>
  <c r="AL125" i="8"/>
  <c r="AK125" i="8"/>
  <c r="AJ125" i="8"/>
  <c r="AI125" i="8"/>
  <c r="AH125" i="8"/>
  <c r="AG125" i="8"/>
  <c r="AF125" i="8"/>
  <c r="AE125" i="8"/>
  <c r="AD125" i="8"/>
  <c r="AC125" i="8"/>
  <c r="AB125" i="8"/>
  <c r="AA125" i="8"/>
  <c r="Z125" i="8"/>
  <c r="Y125" i="8"/>
  <c r="X125" i="8"/>
  <c r="W125" i="8"/>
  <c r="V125" i="8"/>
  <c r="AO124" i="8"/>
  <c r="AN124" i="8"/>
  <c r="AM124" i="8"/>
  <c r="AL124" i="8"/>
  <c r="AK124" i="8"/>
  <c r="AJ124" i="8"/>
  <c r="AI124" i="8"/>
  <c r="AH124" i="8"/>
  <c r="AG124" i="8"/>
  <c r="AF124" i="8"/>
  <c r="AE124" i="8"/>
  <c r="AD124" i="8"/>
  <c r="AC124" i="8"/>
  <c r="AB124" i="8"/>
  <c r="AA124" i="8"/>
  <c r="Z124" i="8"/>
  <c r="Y124" i="8"/>
  <c r="X124" i="8"/>
  <c r="W124" i="8"/>
  <c r="V124" i="8"/>
  <c r="AO123" i="8"/>
  <c r="AN123" i="8"/>
  <c r="AM123" i="8"/>
  <c r="AL123" i="8"/>
  <c r="AK123" i="8"/>
  <c r="AJ123" i="8"/>
  <c r="AI123" i="8"/>
  <c r="AH123" i="8"/>
  <c r="AG123" i="8"/>
  <c r="AF123" i="8"/>
  <c r="AE123" i="8"/>
  <c r="AD123" i="8"/>
  <c r="AC123" i="8"/>
  <c r="AB123" i="8"/>
  <c r="AA123" i="8"/>
  <c r="Z123" i="8"/>
  <c r="Y123" i="8"/>
  <c r="X123" i="8"/>
  <c r="W123" i="8"/>
  <c r="V123" i="8"/>
  <c r="AO122" i="8"/>
  <c r="AN122" i="8"/>
  <c r="AM122" i="8"/>
  <c r="AL122" i="8"/>
  <c r="AK122" i="8"/>
  <c r="AJ122" i="8"/>
  <c r="AI122" i="8"/>
  <c r="AH122" i="8"/>
  <c r="AG122" i="8"/>
  <c r="AF122" i="8"/>
  <c r="AE122" i="8"/>
  <c r="AD122" i="8"/>
  <c r="AC122" i="8"/>
  <c r="AB122" i="8"/>
  <c r="AA122" i="8"/>
  <c r="Z122" i="8"/>
  <c r="Y122" i="8"/>
  <c r="X122" i="8"/>
  <c r="W122" i="8"/>
  <c r="V122" i="8"/>
  <c r="AO121" i="8"/>
  <c r="AN121" i="8"/>
  <c r="AM121" i="8"/>
  <c r="AL121" i="8"/>
  <c r="AK121" i="8"/>
  <c r="AJ121" i="8"/>
  <c r="AI121" i="8"/>
  <c r="AH121" i="8"/>
  <c r="AG121" i="8"/>
  <c r="AF121" i="8"/>
  <c r="AE121" i="8"/>
  <c r="AD121" i="8"/>
  <c r="AC121" i="8"/>
  <c r="AB121" i="8"/>
  <c r="AA121" i="8"/>
  <c r="Z121" i="8"/>
  <c r="Y121" i="8"/>
  <c r="X121" i="8"/>
  <c r="W121" i="8"/>
  <c r="V121" i="8"/>
  <c r="AO120" i="8"/>
  <c r="AN120" i="8"/>
  <c r="AM120" i="8"/>
  <c r="AL120" i="8"/>
  <c r="AK120" i="8"/>
  <c r="AJ120" i="8"/>
  <c r="AI120" i="8"/>
  <c r="AH120" i="8"/>
  <c r="AG120" i="8"/>
  <c r="AF120" i="8"/>
  <c r="AE120" i="8"/>
  <c r="AD120" i="8"/>
  <c r="AC120" i="8"/>
  <c r="AB120" i="8"/>
  <c r="AA120" i="8"/>
  <c r="Z120" i="8"/>
  <c r="Y120" i="8"/>
  <c r="X120" i="8"/>
  <c r="W120" i="8"/>
  <c r="V120" i="8"/>
  <c r="AO119" i="8"/>
  <c r="AN119" i="8"/>
  <c r="AM119" i="8"/>
  <c r="AL119" i="8"/>
  <c r="AK119" i="8"/>
  <c r="AJ119" i="8"/>
  <c r="AI119" i="8"/>
  <c r="AH119" i="8"/>
  <c r="AG119" i="8"/>
  <c r="AF119" i="8"/>
  <c r="AE119" i="8"/>
  <c r="AD119" i="8"/>
  <c r="AC119" i="8"/>
  <c r="AB119" i="8"/>
  <c r="AA119" i="8"/>
  <c r="Z119" i="8"/>
  <c r="Y119" i="8"/>
  <c r="X119" i="8"/>
  <c r="W119" i="8"/>
  <c r="V119" i="8"/>
  <c r="AO118" i="8"/>
  <c r="AN118" i="8"/>
  <c r="AM118" i="8"/>
  <c r="AL118" i="8"/>
  <c r="AK118" i="8"/>
  <c r="AJ118" i="8"/>
  <c r="AI118" i="8"/>
  <c r="AH118" i="8"/>
  <c r="AG118" i="8"/>
  <c r="AF118" i="8"/>
  <c r="AE118" i="8"/>
  <c r="AD118" i="8"/>
  <c r="AC118" i="8"/>
  <c r="AB118" i="8"/>
  <c r="AA118" i="8"/>
  <c r="Z118" i="8"/>
  <c r="Y118" i="8"/>
  <c r="X118" i="8"/>
  <c r="W118" i="8"/>
  <c r="V118" i="8"/>
  <c r="AO117" i="8"/>
  <c r="AN117" i="8"/>
  <c r="AM117" i="8"/>
  <c r="AL117" i="8"/>
  <c r="AK117" i="8"/>
  <c r="AJ117" i="8"/>
  <c r="AI117" i="8"/>
  <c r="AH117" i="8"/>
  <c r="AG117" i="8"/>
  <c r="AF117" i="8"/>
  <c r="AE117" i="8"/>
  <c r="AD117" i="8"/>
  <c r="AC117" i="8"/>
  <c r="AB117" i="8"/>
  <c r="AA117" i="8"/>
  <c r="Z117" i="8"/>
  <c r="Y117" i="8"/>
  <c r="X117" i="8"/>
  <c r="W117" i="8"/>
  <c r="V117" i="8"/>
  <c r="AO116" i="8"/>
  <c r="AN116" i="8"/>
  <c r="AM116" i="8"/>
  <c r="AL116" i="8"/>
  <c r="AK116" i="8"/>
  <c r="AJ116" i="8"/>
  <c r="AI116" i="8"/>
  <c r="AH116" i="8"/>
  <c r="AG116" i="8"/>
  <c r="AF116" i="8"/>
  <c r="AE116" i="8"/>
  <c r="AD116" i="8"/>
  <c r="AC116" i="8"/>
  <c r="AB116" i="8"/>
  <c r="AA116" i="8"/>
  <c r="Z116" i="8"/>
  <c r="Y116" i="8"/>
  <c r="X116" i="8"/>
  <c r="W116" i="8"/>
  <c r="V116" i="8"/>
  <c r="AO115" i="8"/>
  <c r="AN115" i="8"/>
  <c r="AM115" i="8"/>
  <c r="AL115" i="8"/>
  <c r="AK115" i="8"/>
  <c r="AJ115" i="8"/>
  <c r="AI115" i="8"/>
  <c r="AH115" i="8"/>
  <c r="AG115" i="8"/>
  <c r="AF115" i="8"/>
  <c r="AE115" i="8"/>
  <c r="AD115" i="8"/>
  <c r="AC115" i="8"/>
  <c r="AB115" i="8"/>
  <c r="AA115" i="8"/>
  <c r="Z115" i="8"/>
  <c r="Y115" i="8"/>
  <c r="X115" i="8"/>
  <c r="W115" i="8"/>
  <c r="V115" i="8"/>
  <c r="AO114" i="8"/>
  <c r="AN114" i="8"/>
  <c r="AM114" i="8"/>
  <c r="AL114" i="8"/>
  <c r="AK114" i="8"/>
  <c r="AJ114" i="8"/>
  <c r="AI114" i="8"/>
  <c r="AH114" i="8"/>
  <c r="AG114" i="8"/>
  <c r="AF114" i="8"/>
  <c r="AE114" i="8"/>
  <c r="AD114" i="8"/>
  <c r="AC114" i="8"/>
  <c r="AB114" i="8"/>
  <c r="AA114" i="8"/>
  <c r="Z114" i="8"/>
  <c r="Y114" i="8"/>
  <c r="X114" i="8"/>
  <c r="W114" i="8"/>
  <c r="V114" i="8"/>
  <c r="AO113" i="8"/>
  <c r="AN113" i="8"/>
  <c r="AM113" i="8"/>
  <c r="AL113" i="8"/>
  <c r="AK113" i="8"/>
  <c r="AJ113" i="8"/>
  <c r="AI113" i="8"/>
  <c r="AH113" i="8"/>
  <c r="AG113" i="8"/>
  <c r="AF113" i="8"/>
  <c r="AE113" i="8"/>
  <c r="AD113" i="8"/>
  <c r="AC113" i="8"/>
  <c r="AB113" i="8"/>
  <c r="AA113" i="8"/>
  <c r="Z113" i="8"/>
  <c r="Y113" i="8"/>
  <c r="X113" i="8"/>
  <c r="W113" i="8"/>
  <c r="V113" i="8"/>
  <c r="AO112" i="8"/>
  <c r="AN112" i="8"/>
  <c r="AM112" i="8"/>
  <c r="AL112" i="8"/>
  <c r="AK112" i="8"/>
  <c r="AJ112" i="8"/>
  <c r="AI112" i="8"/>
  <c r="AH112" i="8"/>
  <c r="AG112" i="8"/>
  <c r="AF112" i="8"/>
  <c r="AE112" i="8"/>
  <c r="AD112" i="8"/>
  <c r="AC112" i="8"/>
  <c r="AB112" i="8"/>
  <c r="AA112" i="8"/>
  <c r="Z112" i="8"/>
  <c r="Y112" i="8"/>
  <c r="X112" i="8"/>
  <c r="W112" i="8"/>
  <c r="V112" i="8"/>
  <c r="AO111" i="8"/>
  <c r="AN111" i="8"/>
  <c r="AM111" i="8"/>
  <c r="AL111" i="8"/>
  <c r="AK111" i="8"/>
  <c r="AJ111" i="8"/>
  <c r="AI111" i="8"/>
  <c r="AH111" i="8"/>
  <c r="AG111" i="8"/>
  <c r="AF111" i="8"/>
  <c r="AE111" i="8"/>
  <c r="AD111" i="8"/>
  <c r="AC111" i="8"/>
  <c r="AB111" i="8"/>
  <c r="AA111" i="8"/>
  <c r="Z111" i="8"/>
  <c r="Y111" i="8"/>
  <c r="X111" i="8"/>
  <c r="W111" i="8"/>
  <c r="V111" i="8"/>
  <c r="AO110" i="8"/>
  <c r="AN110" i="8"/>
  <c r="AM110" i="8"/>
  <c r="AL110" i="8"/>
  <c r="AK110" i="8"/>
  <c r="AJ110" i="8"/>
  <c r="AI110" i="8"/>
  <c r="AH110" i="8"/>
  <c r="AG110" i="8"/>
  <c r="AF110" i="8"/>
  <c r="AE110" i="8"/>
  <c r="AD110" i="8"/>
  <c r="AC110" i="8"/>
  <c r="AB110" i="8"/>
  <c r="AA110" i="8"/>
  <c r="Z110" i="8"/>
  <c r="Y110" i="8"/>
  <c r="X110" i="8"/>
  <c r="W110" i="8"/>
  <c r="V110" i="8"/>
  <c r="AO109" i="8"/>
  <c r="AN109" i="8"/>
  <c r="AM109" i="8"/>
  <c r="AL109" i="8"/>
  <c r="AK109" i="8"/>
  <c r="AJ109" i="8"/>
  <c r="AI109" i="8"/>
  <c r="AH109" i="8"/>
  <c r="AG109" i="8"/>
  <c r="AF109" i="8"/>
  <c r="AE109" i="8"/>
  <c r="AD109" i="8"/>
  <c r="AC109" i="8"/>
  <c r="AB109" i="8"/>
  <c r="AA109" i="8"/>
  <c r="Z109" i="8"/>
  <c r="Y109" i="8"/>
  <c r="X109" i="8"/>
  <c r="W109" i="8"/>
  <c r="V109" i="8"/>
  <c r="AO108" i="8"/>
  <c r="AN108" i="8"/>
  <c r="AM108" i="8"/>
  <c r="AL108" i="8"/>
  <c r="AK108" i="8"/>
  <c r="AJ108" i="8"/>
  <c r="AI108" i="8"/>
  <c r="AH108" i="8"/>
  <c r="AG108" i="8"/>
  <c r="AF108" i="8"/>
  <c r="AE108" i="8"/>
  <c r="AD108" i="8"/>
  <c r="AC108" i="8"/>
  <c r="AB108" i="8"/>
  <c r="AA108" i="8"/>
  <c r="Z108" i="8"/>
  <c r="Y108" i="8"/>
  <c r="X108" i="8"/>
  <c r="W108" i="8"/>
  <c r="V108" i="8"/>
  <c r="AO107" i="8"/>
  <c r="AN107" i="8"/>
  <c r="AM107" i="8"/>
  <c r="AL107" i="8"/>
  <c r="AK107" i="8"/>
  <c r="AJ107" i="8"/>
  <c r="AI107" i="8"/>
  <c r="AH107" i="8"/>
  <c r="AG107" i="8"/>
  <c r="AF107" i="8"/>
  <c r="AE107" i="8"/>
  <c r="AD107" i="8"/>
  <c r="AC107" i="8"/>
  <c r="AB107" i="8"/>
  <c r="AA107" i="8"/>
  <c r="Z107" i="8"/>
  <c r="Y107" i="8"/>
  <c r="X107" i="8"/>
  <c r="W107" i="8"/>
  <c r="V107" i="8"/>
  <c r="AO106" i="8"/>
  <c r="AN106" i="8"/>
  <c r="AM106" i="8"/>
  <c r="AL106" i="8"/>
  <c r="AK106" i="8"/>
  <c r="AJ106" i="8"/>
  <c r="AI106" i="8"/>
  <c r="AH106" i="8"/>
  <c r="AG106" i="8"/>
  <c r="AF106" i="8"/>
  <c r="AE106" i="8"/>
  <c r="AD106" i="8"/>
  <c r="AC106" i="8"/>
  <c r="AB106" i="8"/>
  <c r="AA106" i="8"/>
  <c r="Z106" i="8"/>
  <c r="Y106" i="8"/>
  <c r="X106" i="8"/>
  <c r="W106" i="8"/>
  <c r="V106" i="8"/>
  <c r="AO105" i="8"/>
  <c r="AN105" i="8"/>
  <c r="AM105" i="8"/>
  <c r="AL105" i="8"/>
  <c r="AK105" i="8"/>
  <c r="AJ105" i="8"/>
  <c r="AI105" i="8"/>
  <c r="AH105" i="8"/>
  <c r="AG105" i="8"/>
  <c r="AF105" i="8"/>
  <c r="AE105" i="8"/>
  <c r="AD105" i="8"/>
  <c r="AC105" i="8"/>
  <c r="AB105" i="8"/>
  <c r="AA105" i="8"/>
  <c r="Z105" i="8"/>
  <c r="Y105" i="8"/>
  <c r="X105" i="8"/>
  <c r="W105" i="8"/>
  <c r="V105" i="8"/>
  <c r="AO104" i="8"/>
  <c r="AN104" i="8"/>
  <c r="AM104" i="8"/>
  <c r="AL104" i="8"/>
  <c r="AK104" i="8"/>
  <c r="AJ104" i="8"/>
  <c r="AI104" i="8"/>
  <c r="AH104" i="8"/>
  <c r="AG104" i="8"/>
  <c r="AF104" i="8"/>
  <c r="AE104" i="8"/>
  <c r="AD104" i="8"/>
  <c r="AC104" i="8"/>
  <c r="AB104" i="8"/>
  <c r="AA104" i="8"/>
  <c r="Z104" i="8"/>
  <c r="Y104" i="8"/>
  <c r="X104" i="8"/>
  <c r="W104" i="8"/>
  <c r="V104" i="8"/>
  <c r="AO103" i="8"/>
  <c r="AN103" i="8"/>
  <c r="AM103" i="8"/>
  <c r="AL103" i="8"/>
  <c r="AK103" i="8"/>
  <c r="AJ103" i="8"/>
  <c r="AI103" i="8"/>
  <c r="AH103" i="8"/>
  <c r="AG103" i="8"/>
  <c r="AF103" i="8"/>
  <c r="AE103" i="8"/>
  <c r="AD103" i="8"/>
  <c r="AC103" i="8"/>
  <c r="AB103" i="8"/>
  <c r="AA103" i="8"/>
  <c r="Z103" i="8"/>
  <c r="Y103" i="8"/>
  <c r="X103" i="8"/>
  <c r="W103" i="8"/>
  <c r="V103" i="8"/>
  <c r="AO102" i="8"/>
  <c r="AN102" i="8"/>
  <c r="AM102" i="8"/>
  <c r="AL102" i="8"/>
  <c r="AK102" i="8"/>
  <c r="AJ102" i="8"/>
  <c r="AI102" i="8"/>
  <c r="AH102" i="8"/>
  <c r="AG102" i="8"/>
  <c r="AF102" i="8"/>
  <c r="AE102" i="8"/>
  <c r="AD102" i="8"/>
  <c r="AC102" i="8"/>
  <c r="AB102" i="8"/>
  <c r="AA102" i="8"/>
  <c r="Z102" i="8"/>
  <c r="Y102" i="8"/>
  <c r="X102" i="8"/>
  <c r="W102" i="8"/>
  <c r="V102" i="8"/>
  <c r="AO101" i="8"/>
  <c r="AN101" i="8"/>
  <c r="AM101" i="8"/>
  <c r="AL101" i="8"/>
  <c r="AK101" i="8"/>
  <c r="AJ101" i="8"/>
  <c r="AI101" i="8"/>
  <c r="AH101" i="8"/>
  <c r="AG101" i="8"/>
  <c r="AF101" i="8"/>
  <c r="AE101" i="8"/>
  <c r="AD101" i="8"/>
  <c r="AC101" i="8"/>
  <c r="AB101" i="8"/>
  <c r="AA101" i="8"/>
  <c r="Z101" i="8"/>
  <c r="Y101" i="8"/>
  <c r="X101" i="8"/>
  <c r="W101" i="8"/>
  <c r="V101" i="8"/>
  <c r="AO100" i="8"/>
  <c r="AN100" i="8"/>
  <c r="AM100" i="8"/>
  <c r="AL100" i="8"/>
  <c r="AK100" i="8"/>
  <c r="AJ100" i="8"/>
  <c r="AI100" i="8"/>
  <c r="AH100" i="8"/>
  <c r="AG100" i="8"/>
  <c r="AF100" i="8"/>
  <c r="AE100" i="8"/>
  <c r="AD100" i="8"/>
  <c r="AC100" i="8"/>
  <c r="AB100" i="8"/>
  <c r="AA100" i="8"/>
  <c r="Z100" i="8"/>
  <c r="Y100" i="8"/>
  <c r="X100" i="8"/>
  <c r="W100" i="8"/>
  <c r="V100" i="8"/>
  <c r="AV95" i="8"/>
  <c r="AA95" i="8"/>
  <c r="Y95" i="8"/>
  <c r="X95" i="8"/>
  <c r="AV94" i="8"/>
  <c r="AD94" i="8"/>
  <c r="AC94" i="8"/>
  <c r="AA94" i="8"/>
  <c r="Z94" i="8"/>
  <c r="W94" i="8"/>
  <c r="V94" i="8"/>
  <c r="AV93" i="8"/>
  <c r="AD93" i="8"/>
  <c r="Z93" i="8"/>
  <c r="Y93" i="8"/>
  <c r="W93" i="8"/>
  <c r="V93" i="8"/>
  <c r="AV92" i="8"/>
  <c r="X92" i="8"/>
  <c r="AV91" i="8"/>
  <c r="AA91" i="8"/>
  <c r="X91" i="8"/>
  <c r="AV90" i="8"/>
  <c r="AD90" i="8"/>
  <c r="AA90" i="8"/>
  <c r="Z90" i="8"/>
  <c r="V90" i="8"/>
  <c r="AV89" i="8"/>
  <c r="AD89" i="8"/>
  <c r="AB89" i="8"/>
  <c r="Z89" i="8"/>
  <c r="V89" i="8"/>
  <c r="AV88" i="8"/>
  <c r="X88" i="8"/>
  <c r="AV87" i="8"/>
  <c r="AC87" i="8"/>
  <c r="Y87" i="8"/>
  <c r="X87" i="8"/>
  <c r="W87" i="8"/>
  <c r="AV86" i="8"/>
  <c r="AV85" i="8"/>
  <c r="AV84" i="8"/>
  <c r="AV83" i="8"/>
  <c r="AV82" i="8"/>
  <c r="Z82" i="8"/>
  <c r="Y82" i="8"/>
  <c r="X82" i="8"/>
  <c r="W82" i="8"/>
  <c r="V82" i="8"/>
  <c r="AV81" i="8"/>
  <c r="Z81" i="8"/>
  <c r="Y81" i="8"/>
  <c r="X81" i="8"/>
  <c r="W81" i="8"/>
  <c r="V81" i="8"/>
  <c r="AV80" i="8"/>
  <c r="Z80" i="8"/>
  <c r="Y80" i="8"/>
  <c r="X80" i="8"/>
  <c r="W80" i="8"/>
  <c r="V80" i="8"/>
  <c r="AV79" i="8"/>
  <c r="Z79" i="8"/>
  <c r="Y79" i="8"/>
  <c r="X79" i="8"/>
  <c r="W79" i="8"/>
  <c r="V79" i="8"/>
  <c r="AV78" i="8"/>
  <c r="Z78" i="8"/>
  <c r="Y78" i="8"/>
  <c r="X78" i="8"/>
  <c r="W78" i="8"/>
  <c r="V78" i="8"/>
  <c r="AV77" i="8"/>
  <c r="Z77" i="8"/>
  <c r="Y77" i="8"/>
  <c r="X77" i="8"/>
  <c r="W77" i="8"/>
  <c r="V77" i="8"/>
  <c r="AV76" i="8"/>
  <c r="Z76" i="8"/>
  <c r="Y76" i="8"/>
  <c r="X76" i="8"/>
  <c r="W76" i="8"/>
  <c r="V76" i="8"/>
  <c r="AV75" i="8"/>
  <c r="Z75" i="8"/>
  <c r="Y75" i="8"/>
  <c r="X75" i="8"/>
  <c r="W75" i="8"/>
  <c r="V75" i="8"/>
  <c r="AV74" i="8"/>
  <c r="Z74" i="8"/>
  <c r="Y74" i="8"/>
  <c r="X74" i="8"/>
  <c r="W74" i="8"/>
  <c r="V74" i="8"/>
  <c r="AV73" i="8"/>
  <c r="Z73" i="8"/>
  <c r="Y73" i="8"/>
  <c r="X73" i="8"/>
  <c r="W73" i="8"/>
  <c r="V73" i="8"/>
  <c r="AV72" i="8"/>
  <c r="AV71" i="8"/>
  <c r="AV70" i="8"/>
  <c r="AV69" i="8"/>
  <c r="AV68" i="8"/>
  <c r="Z68" i="8"/>
  <c r="Y68" i="8"/>
  <c r="X68" i="8"/>
  <c r="W68" i="8"/>
  <c r="V68" i="8"/>
  <c r="AV67" i="8"/>
  <c r="Z67" i="8"/>
  <c r="Y67" i="8"/>
  <c r="X67" i="8"/>
  <c r="W67" i="8"/>
  <c r="V67" i="8"/>
  <c r="AV66" i="8"/>
  <c r="Z66" i="8"/>
  <c r="Y66" i="8"/>
  <c r="X66" i="8"/>
  <c r="W66" i="8"/>
  <c r="V66" i="8"/>
  <c r="AV65" i="8"/>
  <c r="Z65" i="8"/>
  <c r="Y65" i="8"/>
  <c r="X65" i="8"/>
  <c r="W65" i="8"/>
  <c r="V65" i="8"/>
  <c r="AV64" i="8"/>
  <c r="Z64" i="8"/>
  <c r="Y64" i="8"/>
  <c r="X64" i="8"/>
  <c r="W64" i="8"/>
  <c r="V64" i="8"/>
  <c r="AV63" i="8"/>
  <c r="Z63" i="8"/>
  <c r="Y63" i="8"/>
  <c r="X63" i="8"/>
  <c r="W63" i="8"/>
  <c r="V63" i="8"/>
  <c r="AV62" i="8"/>
  <c r="Z62" i="8"/>
  <c r="Y62" i="8"/>
  <c r="X62" i="8"/>
  <c r="W62" i="8"/>
  <c r="V62" i="8"/>
  <c r="AV61" i="8"/>
  <c r="Z61" i="8"/>
  <c r="Y61" i="8"/>
  <c r="X61" i="8"/>
  <c r="W61" i="8"/>
  <c r="V61" i="8"/>
  <c r="AV60" i="8"/>
  <c r="Z60" i="8"/>
  <c r="Y60" i="8"/>
  <c r="X60" i="8"/>
  <c r="W60" i="8"/>
  <c r="V60" i="8"/>
  <c r="AV59" i="8"/>
  <c r="Z59" i="8"/>
  <c r="Y59" i="8"/>
  <c r="X59" i="8"/>
  <c r="W59" i="8"/>
  <c r="V59" i="8"/>
  <c r="AV58" i="8"/>
  <c r="AQ58" i="8"/>
  <c r="Z58" i="8"/>
  <c r="Y58" i="8"/>
  <c r="X58" i="8"/>
  <c r="W58" i="8"/>
  <c r="V58" i="8"/>
  <c r="AV57" i="8"/>
  <c r="Z57" i="8"/>
  <c r="Y57" i="8"/>
  <c r="X57" i="8"/>
  <c r="W57" i="8"/>
  <c r="V57" i="8"/>
  <c r="AV56" i="8"/>
  <c r="Z56" i="8"/>
  <c r="Y56" i="8"/>
  <c r="X56" i="8"/>
  <c r="W56" i="8"/>
  <c r="V56" i="8"/>
  <c r="AV55" i="8"/>
  <c r="AV54" i="8"/>
  <c r="AV53" i="8"/>
  <c r="AV52" i="8"/>
  <c r="AV51" i="8"/>
  <c r="AP44" i="8"/>
  <c r="B59" i="8" s="1"/>
  <c r="AP43" i="8"/>
  <c r="B58" i="8" s="1"/>
  <c r="AP42" i="8"/>
  <c r="B57" i="8" s="1"/>
  <c r="AP41" i="8"/>
  <c r="B56" i="8" s="1"/>
  <c r="AP40" i="8"/>
  <c r="B55" i="8" s="1"/>
  <c r="B40" i="8"/>
  <c r="X39" i="8"/>
  <c r="X38" i="8"/>
  <c r="X37" i="8"/>
  <c r="X36" i="8"/>
  <c r="X35" i="8"/>
  <c r="Q35" i="8"/>
  <c r="P35" i="8"/>
  <c r="B35" i="8"/>
  <c r="X34" i="8"/>
  <c r="J34" i="8"/>
  <c r="E35" i="8" s="1"/>
  <c r="X33" i="8"/>
  <c r="X32" i="8"/>
  <c r="AG31" i="8"/>
  <c r="X31" i="8"/>
  <c r="O99" i="8"/>
  <c r="X30" i="8"/>
  <c r="X29" i="8"/>
  <c r="B29" i="8"/>
  <c r="AQ27" i="8" s="1"/>
  <c r="X28" i="8"/>
  <c r="B27" i="8"/>
  <c r="P25" i="8"/>
  <c r="P24" i="8" s="1"/>
  <c r="G20" i="8" s="1"/>
  <c r="G24" i="8"/>
  <c r="E24" i="8"/>
  <c r="C24" i="8"/>
  <c r="AB23" i="8"/>
  <c r="AA23" i="8"/>
  <c r="Z23" i="8"/>
  <c r="Y23" i="8"/>
  <c r="I23" i="8"/>
  <c r="G23" i="8"/>
  <c r="E23" i="8"/>
  <c r="C23" i="8"/>
  <c r="AB22" i="8"/>
  <c r="AA22" i="8"/>
  <c r="Z22" i="8"/>
  <c r="Y22" i="8"/>
  <c r="I22" i="8"/>
  <c r="G22" i="8"/>
  <c r="E22" i="8"/>
  <c r="C22" i="8"/>
  <c r="I21" i="8"/>
  <c r="G21" i="8"/>
  <c r="E21" i="8"/>
  <c r="C21" i="8"/>
  <c r="AQ20" i="8"/>
  <c r="B49" i="8" s="1"/>
  <c r="AQ36" i="8" s="1"/>
  <c r="AI20" i="8"/>
  <c r="I20" i="8"/>
  <c r="AQ19" i="8"/>
  <c r="B48" i="8" s="1"/>
  <c r="AQ35" i="8" s="1"/>
  <c r="AI19" i="8"/>
  <c r="AQ18" i="8"/>
  <c r="AI18" i="8"/>
  <c r="AJ18" i="8" s="1"/>
  <c r="I18" i="8"/>
  <c r="AI17" i="8"/>
  <c r="AI16" i="8"/>
  <c r="AI15" i="8"/>
  <c r="AJ15" i="8" s="1"/>
  <c r="AQ14" i="8"/>
  <c r="B46" i="8" s="1"/>
  <c r="AQ33" i="8" s="1"/>
  <c r="AI14" i="8"/>
  <c r="I14" i="8"/>
  <c r="AQ13" i="8"/>
  <c r="B45" i="8" s="1"/>
  <c r="AQ32" i="8" s="1"/>
  <c r="AI13" i="8"/>
  <c r="AQ12" i="8"/>
  <c r="AI12" i="8"/>
  <c r="AJ12" i="8" s="1"/>
  <c r="AI11" i="8"/>
  <c r="AB11" i="8"/>
  <c r="AA11" i="8"/>
  <c r="Z11" i="8"/>
  <c r="Y11" i="8"/>
  <c r="AI10" i="8"/>
  <c r="AB10" i="8"/>
  <c r="AA10" i="8"/>
  <c r="Z10" i="8"/>
  <c r="Y10" i="8"/>
  <c r="AI9" i="8"/>
  <c r="AJ9" i="8" s="1"/>
  <c r="AB9" i="8"/>
  <c r="AA9" i="8"/>
  <c r="Z9" i="8"/>
  <c r="AC9" i="8" s="1"/>
  <c r="Y9" i="8"/>
  <c r="AQ8" i="8"/>
  <c r="AB8" i="8"/>
  <c r="AA8" i="8"/>
  <c r="Z8" i="8"/>
  <c r="AC8" i="8" s="1"/>
  <c r="Y8" i="8"/>
  <c r="AQ7" i="8"/>
  <c r="B42" i="8" s="1"/>
  <c r="AQ29" i="8" s="1"/>
  <c r="AQ6" i="8"/>
  <c r="AS21" i="10" l="1"/>
  <c r="O100" i="10" s="1"/>
  <c r="AT21" i="10"/>
  <c r="P100" i="10" s="1"/>
  <c r="D58" i="22"/>
  <c r="AZ43" i="22"/>
  <c r="AW43" i="22"/>
  <c r="E58" i="22"/>
  <c r="AX43" i="22"/>
  <c r="AW44" i="22"/>
  <c r="J35" i="8"/>
  <c r="E36" i="8" s="1"/>
  <c r="AZ44" i="22"/>
  <c r="AX42" i="22"/>
  <c r="AW42" i="22"/>
  <c r="D57" i="22"/>
  <c r="AX44" i="22"/>
  <c r="D59" i="22"/>
  <c r="E56" i="22"/>
  <c r="AW40" i="22"/>
  <c r="AY40" i="22"/>
  <c r="AY44" i="22"/>
  <c r="AY42" i="22"/>
  <c r="AX40" i="22"/>
  <c r="AZ41" i="22"/>
  <c r="E57" i="22"/>
  <c r="AY41" i="22"/>
  <c r="AW41" i="22"/>
  <c r="D56" i="22"/>
  <c r="AZ40" i="22"/>
  <c r="D55" i="22"/>
  <c r="AV44" i="13"/>
  <c r="D59" i="13" s="1"/>
  <c r="AV42" i="13"/>
  <c r="D57" i="13" s="1"/>
  <c r="AV41" i="13"/>
  <c r="AZ41" i="13" s="1"/>
  <c r="AV43" i="13"/>
  <c r="D58" i="13" s="1"/>
  <c r="AV40" i="13"/>
  <c r="E55" i="13" s="1"/>
  <c r="AC23" i="8"/>
  <c r="AE92" i="8"/>
  <c r="I24" i="8"/>
  <c r="AC11" i="8"/>
  <c r="AC22" i="8"/>
  <c r="E18" i="8"/>
  <c r="AL15" i="8" s="1"/>
  <c r="AK15" i="8" s="1"/>
  <c r="AU26" i="8" s="1"/>
  <c r="P114" i="8" s="1"/>
  <c r="AE88" i="8"/>
  <c r="AD22" i="8"/>
  <c r="AB39" i="8" s="1"/>
  <c r="AC32" i="8" s="1"/>
  <c r="Q99" i="8" s="1"/>
  <c r="V50" i="8"/>
  <c r="AE89" i="8"/>
  <c r="AE93" i="8"/>
  <c r="AC10" i="8"/>
  <c r="AQ59" i="8"/>
  <c r="AE90" i="8"/>
  <c r="AE94" i="8"/>
  <c r="AE87" i="8"/>
  <c r="AE91" i="8"/>
  <c r="AE95" i="8"/>
  <c r="AS5" i="8"/>
  <c r="B43" i="8"/>
  <c r="AQ30" i="8" s="1"/>
  <c r="B41" i="8"/>
  <c r="AQ28" i="8" s="1"/>
  <c r="AD8" i="8"/>
  <c r="AB36" i="8" s="1"/>
  <c r="AC31" i="8" s="1"/>
  <c r="B44" i="8"/>
  <c r="AQ31" i="8" s="1"/>
  <c r="D36" i="8"/>
  <c r="B47" i="8"/>
  <c r="AQ34" i="8" s="1"/>
  <c r="V49" i="8"/>
  <c r="V47" i="8" s="1"/>
  <c r="V48" i="8" s="1"/>
  <c r="V51" i="8" s="1"/>
  <c r="J27" i="8" s="1"/>
  <c r="AS33" i="8" s="1"/>
  <c r="D35" i="8"/>
  <c r="AW44" i="13" l="1"/>
  <c r="E59" i="13"/>
  <c r="AZ44" i="13"/>
  <c r="AY40" i="13"/>
  <c r="AY44" i="13"/>
  <c r="AW42" i="13"/>
  <c r="Z46" i="8"/>
  <c r="Z47" i="8" s="1"/>
  <c r="Z48" i="8" s="1"/>
  <c r="Z49" i="8" s="1"/>
  <c r="J29" i="8" s="1"/>
  <c r="E29" i="8" s="1"/>
  <c r="AX44" i="13"/>
  <c r="AU35" i="8"/>
  <c r="AZ40" i="13"/>
  <c r="AL9" i="8"/>
  <c r="AK9" i="8" s="1"/>
  <c r="AS26" i="8" s="1"/>
  <c r="N114" i="8" s="1"/>
  <c r="AU5" i="8"/>
  <c r="AW45" i="22"/>
  <c r="N115" i="22" s="1"/>
  <c r="AX45" i="22"/>
  <c r="O115" i="22" s="1"/>
  <c r="AZ45" i="22"/>
  <c r="Q115" i="22" s="1"/>
  <c r="AY45" i="22"/>
  <c r="P115" i="22" s="1"/>
  <c r="AY42" i="13"/>
  <c r="E57" i="13"/>
  <c r="AX41" i="13"/>
  <c r="AY41" i="13"/>
  <c r="AX42" i="13"/>
  <c r="D56" i="13"/>
  <c r="AZ42" i="13"/>
  <c r="E58" i="13"/>
  <c r="AX43" i="13"/>
  <c r="E56" i="13"/>
  <c r="AW41" i="13"/>
  <c r="AW40" i="13"/>
  <c r="D55" i="13"/>
  <c r="AZ43" i="13"/>
  <c r="AX40" i="13"/>
  <c r="AY43" i="13"/>
  <c r="AW43" i="13"/>
  <c r="AL12" i="8"/>
  <c r="AK12" i="8" s="1"/>
  <c r="AT26" i="8" s="1"/>
  <c r="O114" i="8" s="1"/>
  <c r="AL18" i="8"/>
  <c r="AK18" i="8" s="1"/>
  <c r="AV26" i="8" s="1"/>
  <c r="Q114" i="8" s="1"/>
  <c r="AS36" i="8"/>
  <c r="AV35" i="8"/>
  <c r="E40" i="8"/>
  <c r="D40" i="8"/>
  <c r="AU29" i="8"/>
  <c r="AV27" i="8"/>
  <c r="AS35" i="8"/>
  <c r="AU36" i="8"/>
  <c r="P99" i="8"/>
  <c r="AT5" i="8"/>
  <c r="AU28" i="8"/>
  <c r="AT28" i="8"/>
  <c r="AV28" i="8"/>
  <c r="AS28" i="8"/>
  <c r="AT36" i="8"/>
  <c r="AS27" i="8"/>
  <c r="AV29" i="8"/>
  <c r="AV33" i="8"/>
  <c r="AU34" i="8"/>
  <c r="AT34" i="8"/>
  <c r="AS34" i="8"/>
  <c r="AV34" i="8"/>
  <c r="AU33" i="8"/>
  <c r="AU31" i="8"/>
  <c r="AT31" i="8"/>
  <c r="AV31" i="8"/>
  <c r="AS31" i="8"/>
  <c r="AU32" i="8"/>
  <c r="AS29" i="8"/>
  <c r="J28" i="8"/>
  <c r="AT32" i="8"/>
  <c r="AS32" i="8"/>
  <c r="E27" i="8"/>
  <c r="AV36" i="8"/>
  <c r="D27" i="8"/>
  <c r="AT27" i="8"/>
  <c r="AU27" i="8"/>
  <c r="AT35" i="8"/>
  <c r="AU30" i="8"/>
  <c r="AT30" i="8"/>
  <c r="AS30" i="8"/>
  <c r="AV30" i="8"/>
  <c r="AV32" i="8"/>
  <c r="AT29" i="8"/>
  <c r="AT33" i="8"/>
  <c r="D29" i="8" l="1"/>
  <c r="AY45" i="13"/>
  <c r="P115" i="13" s="1"/>
  <c r="AX45" i="13"/>
  <c r="O115" i="13" s="1"/>
  <c r="AZ45" i="13"/>
  <c r="Q115" i="13" s="1"/>
  <c r="AW45" i="13"/>
  <c r="N115" i="13" s="1"/>
  <c r="J30" i="8"/>
  <c r="D30" i="8" s="1"/>
  <c r="AU24" i="8"/>
  <c r="AU37" i="8" s="1"/>
  <c r="AT43" i="8" s="1"/>
  <c r="AT24" i="8"/>
  <c r="AT37" i="8" s="1"/>
  <c r="AS44" i="8" s="1"/>
  <c r="AS24" i="8"/>
  <c r="AS37" i="8" s="1"/>
  <c r="AR44" i="8" s="1"/>
  <c r="AV24" i="8"/>
  <c r="AV37" i="8" s="1"/>
  <c r="AU43" i="8" s="1"/>
  <c r="AV7" i="8"/>
  <c r="AV8" i="8"/>
  <c r="AV6" i="8"/>
  <c r="E28" i="8"/>
  <c r="D28" i="8"/>
  <c r="E30" i="8" l="1"/>
  <c r="AR40" i="8"/>
  <c r="AR42" i="8"/>
  <c r="AT42" i="8"/>
  <c r="AT41" i="8"/>
  <c r="AR43" i="8"/>
  <c r="AU44" i="8"/>
  <c r="AU42" i="8"/>
  <c r="AS40" i="8"/>
  <c r="AT40" i="8"/>
  <c r="AS42" i="8"/>
  <c r="AS41" i="8"/>
  <c r="AS43" i="8"/>
  <c r="AT44" i="8"/>
  <c r="AU40" i="8"/>
  <c r="AU41" i="8"/>
  <c r="AR41" i="8"/>
  <c r="J40" i="8"/>
  <c r="AU7" i="8"/>
  <c r="AT7" i="8"/>
  <c r="AS7" i="8"/>
  <c r="J39" i="8"/>
  <c r="AU6" i="8"/>
  <c r="AS6" i="8"/>
  <c r="AT6" i="8"/>
  <c r="J41" i="8"/>
  <c r="AT8" i="8"/>
  <c r="AS8" i="8"/>
  <c r="AU8" i="8"/>
  <c r="AV41" i="8" l="1"/>
  <c r="AY41" i="8" s="1"/>
  <c r="AV40" i="8"/>
  <c r="AX40" i="8" s="1"/>
  <c r="AU9" i="8"/>
  <c r="AU11" i="8" s="1"/>
  <c r="AV12" i="8" s="1"/>
  <c r="AV42" i="8"/>
  <c r="E57" i="8" s="1"/>
  <c r="AV44" i="8"/>
  <c r="E59" i="8" s="1"/>
  <c r="AV43" i="8"/>
  <c r="AX43" i="8" s="1"/>
  <c r="E43" i="8"/>
  <c r="D43" i="8"/>
  <c r="D41" i="8"/>
  <c r="E41" i="8"/>
  <c r="AT9" i="8"/>
  <c r="AT11" i="8" s="1"/>
  <c r="AS9" i="8"/>
  <c r="AS11" i="8" s="1"/>
  <c r="E42" i="8"/>
  <c r="D42" i="8"/>
  <c r="AY40" i="8" l="1"/>
  <c r="AW40" i="8"/>
  <c r="D55" i="8"/>
  <c r="AY42" i="8"/>
  <c r="AZ40" i="8"/>
  <c r="D57" i="8"/>
  <c r="AZ43" i="8"/>
  <c r="AY44" i="8"/>
  <c r="D58" i="8"/>
  <c r="AV13" i="8"/>
  <c r="AS13" i="8" s="1"/>
  <c r="AZ41" i="8"/>
  <c r="AV14" i="8"/>
  <c r="J44" i="8" s="1"/>
  <c r="E56" i="8"/>
  <c r="AX41" i="8"/>
  <c r="E55" i="8"/>
  <c r="E58" i="8"/>
  <c r="AW41" i="8"/>
  <c r="D56" i="8"/>
  <c r="AZ44" i="8"/>
  <c r="AW42" i="8"/>
  <c r="AZ42" i="8"/>
  <c r="AX44" i="8"/>
  <c r="D59" i="8"/>
  <c r="AX42" i="8"/>
  <c r="AW44" i="8"/>
  <c r="AW43" i="8"/>
  <c r="AY43" i="8"/>
  <c r="J42" i="8"/>
  <c r="AS12" i="8"/>
  <c r="AU12" i="8"/>
  <c r="AT12" i="8"/>
  <c r="AY45" i="8" l="1"/>
  <c r="P115" i="8" s="1"/>
  <c r="AU13" i="8"/>
  <c r="J43" i="8"/>
  <c r="E45" i="8" s="1"/>
  <c r="AS14" i="8"/>
  <c r="AS15" i="8" s="1"/>
  <c r="AS17" i="8" s="1"/>
  <c r="AV18" i="8" s="1"/>
  <c r="AT14" i="8"/>
  <c r="AU14" i="8"/>
  <c r="AT13" i="8"/>
  <c r="AW45" i="8"/>
  <c r="N115" i="8" s="1"/>
  <c r="AX45" i="8"/>
  <c r="O115" i="8" s="1"/>
  <c r="AZ45" i="8"/>
  <c r="Q115" i="8" s="1"/>
  <c r="E46" i="8"/>
  <c r="D46" i="8"/>
  <c r="D44" i="8"/>
  <c r="E44" i="8"/>
  <c r="D45" i="8" l="1"/>
  <c r="AU15" i="8"/>
  <c r="AU17" i="8" s="1"/>
  <c r="AT15" i="8"/>
  <c r="AT17" i="8" s="1"/>
  <c r="AV19" i="8"/>
  <c r="J46" i="8" s="1"/>
  <c r="AV20" i="8"/>
  <c r="J47" i="8" s="1"/>
  <c r="J45" i="8"/>
  <c r="AU18" i="8"/>
  <c r="AS18" i="8"/>
  <c r="AT18" i="8"/>
  <c r="AS20" i="8" l="1"/>
  <c r="AU19" i="8"/>
  <c r="AS19" i="8"/>
  <c r="AU20" i="8"/>
  <c r="AT19" i="8"/>
  <c r="AT20" i="8"/>
  <c r="E47" i="8"/>
  <c r="D47" i="8"/>
  <c r="E49" i="8"/>
  <c r="D49" i="8"/>
  <c r="D48" i="8"/>
  <c r="E48" i="8"/>
  <c r="AS21" i="8" l="1"/>
  <c r="O100" i="8" s="1"/>
  <c r="AU21" i="8"/>
  <c r="Q100" i="8" s="1"/>
  <c r="AT21" i="8"/>
  <c r="P100" i="8" s="1"/>
  <c r="AO179" i="7"/>
  <c r="AN179" i="7"/>
  <c r="AM179" i="7"/>
  <c r="AL179" i="7"/>
  <c r="AK179" i="7"/>
  <c r="AJ179" i="7"/>
  <c r="AI179" i="7"/>
  <c r="AH179" i="7"/>
  <c r="AG179" i="7"/>
  <c r="AF179" i="7"/>
  <c r="AE179" i="7"/>
  <c r="AD179" i="7"/>
  <c r="AC179" i="7"/>
  <c r="AB179" i="7"/>
  <c r="AA179" i="7"/>
  <c r="Z179" i="7"/>
  <c r="Y179" i="7"/>
  <c r="X179" i="7"/>
  <c r="W179" i="7"/>
  <c r="V179" i="7"/>
  <c r="AO178" i="7"/>
  <c r="AN178" i="7"/>
  <c r="AM178" i="7"/>
  <c r="AL178" i="7"/>
  <c r="AK178" i="7"/>
  <c r="AJ178" i="7"/>
  <c r="AI178" i="7"/>
  <c r="AH178" i="7"/>
  <c r="AG178" i="7"/>
  <c r="AF178" i="7"/>
  <c r="AE178" i="7"/>
  <c r="AD178" i="7"/>
  <c r="AC178" i="7"/>
  <c r="AB178" i="7"/>
  <c r="AA178" i="7"/>
  <c r="Z178" i="7"/>
  <c r="Y178" i="7"/>
  <c r="X178" i="7"/>
  <c r="W178" i="7"/>
  <c r="V178" i="7"/>
  <c r="AO177" i="7"/>
  <c r="AN177" i="7"/>
  <c r="AM177" i="7"/>
  <c r="AL177" i="7"/>
  <c r="AK177" i="7"/>
  <c r="AJ177" i="7"/>
  <c r="AI177" i="7"/>
  <c r="AH177" i="7"/>
  <c r="AG177" i="7"/>
  <c r="AF177" i="7"/>
  <c r="AE177" i="7"/>
  <c r="AD177" i="7"/>
  <c r="AC177" i="7"/>
  <c r="AB177" i="7"/>
  <c r="AA177" i="7"/>
  <c r="Z177" i="7"/>
  <c r="Y177" i="7"/>
  <c r="X177" i="7"/>
  <c r="W177" i="7"/>
  <c r="V177" i="7"/>
  <c r="AO176" i="7"/>
  <c r="AN176" i="7"/>
  <c r="AM176" i="7"/>
  <c r="AL176" i="7"/>
  <c r="AK176" i="7"/>
  <c r="AJ176" i="7"/>
  <c r="AI176" i="7"/>
  <c r="AH176" i="7"/>
  <c r="AG176" i="7"/>
  <c r="AF176" i="7"/>
  <c r="AE176" i="7"/>
  <c r="AD176" i="7"/>
  <c r="AC176" i="7"/>
  <c r="AB176" i="7"/>
  <c r="AA176" i="7"/>
  <c r="Z176" i="7"/>
  <c r="Y176" i="7"/>
  <c r="X176" i="7"/>
  <c r="W176" i="7"/>
  <c r="V176" i="7"/>
  <c r="AO175" i="7"/>
  <c r="AN175" i="7"/>
  <c r="AM175" i="7"/>
  <c r="AL175" i="7"/>
  <c r="AK175" i="7"/>
  <c r="AJ175" i="7"/>
  <c r="AI175" i="7"/>
  <c r="AH175" i="7"/>
  <c r="AG175" i="7"/>
  <c r="AF175" i="7"/>
  <c r="AE175" i="7"/>
  <c r="AD175" i="7"/>
  <c r="AC175" i="7"/>
  <c r="AB175" i="7"/>
  <c r="AA175" i="7"/>
  <c r="Z175" i="7"/>
  <c r="Y175" i="7"/>
  <c r="X175" i="7"/>
  <c r="W175" i="7"/>
  <c r="V175" i="7"/>
  <c r="AO174" i="7"/>
  <c r="AN174" i="7"/>
  <c r="AM174" i="7"/>
  <c r="AL174" i="7"/>
  <c r="AK174" i="7"/>
  <c r="AJ174" i="7"/>
  <c r="AI174" i="7"/>
  <c r="AH174" i="7"/>
  <c r="AG174" i="7"/>
  <c r="AF174" i="7"/>
  <c r="AE174" i="7"/>
  <c r="AD174" i="7"/>
  <c r="AC174" i="7"/>
  <c r="AB174" i="7"/>
  <c r="AA174" i="7"/>
  <c r="Z174" i="7"/>
  <c r="Y174" i="7"/>
  <c r="X174" i="7"/>
  <c r="W174" i="7"/>
  <c r="V174" i="7"/>
  <c r="AO173" i="7"/>
  <c r="AN173" i="7"/>
  <c r="AM173" i="7"/>
  <c r="AL173" i="7"/>
  <c r="AK173" i="7"/>
  <c r="AJ173" i="7"/>
  <c r="AI173" i="7"/>
  <c r="AH173" i="7"/>
  <c r="AG173" i="7"/>
  <c r="AF173" i="7"/>
  <c r="AE173" i="7"/>
  <c r="AD173" i="7"/>
  <c r="AC173" i="7"/>
  <c r="AB173" i="7"/>
  <c r="AA173" i="7"/>
  <c r="Z173" i="7"/>
  <c r="Y173" i="7"/>
  <c r="X173" i="7"/>
  <c r="W173" i="7"/>
  <c r="V173" i="7"/>
  <c r="AO172" i="7"/>
  <c r="AN172" i="7"/>
  <c r="AM172" i="7"/>
  <c r="AL172" i="7"/>
  <c r="AK172" i="7"/>
  <c r="AJ172" i="7"/>
  <c r="AI172" i="7"/>
  <c r="AH172" i="7"/>
  <c r="AG172" i="7"/>
  <c r="AF172" i="7"/>
  <c r="AE172" i="7"/>
  <c r="AD172" i="7"/>
  <c r="AC172" i="7"/>
  <c r="AB172" i="7"/>
  <c r="AA172" i="7"/>
  <c r="Z172" i="7"/>
  <c r="Y172" i="7"/>
  <c r="X172" i="7"/>
  <c r="W172" i="7"/>
  <c r="V172" i="7"/>
  <c r="AO171" i="7"/>
  <c r="AN171" i="7"/>
  <c r="AM171" i="7"/>
  <c r="AL171" i="7"/>
  <c r="AK171" i="7"/>
  <c r="AJ171" i="7"/>
  <c r="AI171" i="7"/>
  <c r="AH171" i="7"/>
  <c r="AG171" i="7"/>
  <c r="AF171" i="7"/>
  <c r="AE171" i="7"/>
  <c r="AD171" i="7"/>
  <c r="AC171" i="7"/>
  <c r="AB171" i="7"/>
  <c r="AA171" i="7"/>
  <c r="Z171" i="7"/>
  <c r="Y171" i="7"/>
  <c r="X171" i="7"/>
  <c r="W171" i="7"/>
  <c r="V171" i="7"/>
  <c r="AO170" i="7"/>
  <c r="AN170" i="7"/>
  <c r="AM170" i="7"/>
  <c r="AL170" i="7"/>
  <c r="AK170" i="7"/>
  <c r="AJ170" i="7"/>
  <c r="AI170" i="7"/>
  <c r="AH170" i="7"/>
  <c r="AG170" i="7"/>
  <c r="AF170" i="7"/>
  <c r="AE170" i="7"/>
  <c r="AD170" i="7"/>
  <c r="AC170" i="7"/>
  <c r="AB170" i="7"/>
  <c r="AA170" i="7"/>
  <c r="Z170" i="7"/>
  <c r="Y170" i="7"/>
  <c r="X170" i="7"/>
  <c r="W170" i="7"/>
  <c r="V170" i="7"/>
  <c r="AO169" i="7"/>
  <c r="AN169" i="7"/>
  <c r="AM169" i="7"/>
  <c r="AL169" i="7"/>
  <c r="AK169" i="7"/>
  <c r="AJ169" i="7"/>
  <c r="AI169" i="7"/>
  <c r="AH169" i="7"/>
  <c r="AG169" i="7"/>
  <c r="AF169" i="7"/>
  <c r="AE169" i="7"/>
  <c r="AD169" i="7"/>
  <c r="AC169" i="7"/>
  <c r="AB169" i="7"/>
  <c r="AA169" i="7"/>
  <c r="Z169" i="7"/>
  <c r="Y169" i="7"/>
  <c r="X169" i="7"/>
  <c r="W169" i="7"/>
  <c r="V169" i="7"/>
  <c r="AO168" i="7"/>
  <c r="AN168" i="7"/>
  <c r="AM168" i="7"/>
  <c r="AL168" i="7"/>
  <c r="X95" i="7" s="1"/>
  <c r="AK168" i="7"/>
  <c r="AJ168" i="7"/>
  <c r="AI168" i="7"/>
  <c r="AH168" i="7"/>
  <c r="AG168" i="7"/>
  <c r="AF168" i="7"/>
  <c r="AE168" i="7"/>
  <c r="AD168" i="7"/>
  <c r="AD95" i="7" s="1"/>
  <c r="AC168" i="7"/>
  <c r="AC95" i="7" s="1"/>
  <c r="AB168" i="7"/>
  <c r="AB95" i="7" s="1"/>
  <c r="AA168" i="7"/>
  <c r="AA95" i="7" s="1"/>
  <c r="Z168" i="7"/>
  <c r="Z95" i="7" s="1"/>
  <c r="Y168" i="7"/>
  <c r="Y95" i="7" s="1"/>
  <c r="X168" i="7"/>
  <c r="W168" i="7"/>
  <c r="W95" i="7" s="1"/>
  <c r="V168" i="7"/>
  <c r="V95" i="7" s="1"/>
  <c r="AO167" i="7"/>
  <c r="AN167" i="7"/>
  <c r="AM167" i="7"/>
  <c r="AL167" i="7"/>
  <c r="X94" i="7" s="1"/>
  <c r="AK167" i="7"/>
  <c r="AJ167" i="7"/>
  <c r="AI167" i="7"/>
  <c r="AH167" i="7"/>
  <c r="AG167" i="7"/>
  <c r="AF167" i="7"/>
  <c r="AE167" i="7"/>
  <c r="AD167" i="7"/>
  <c r="AD94" i="7" s="1"/>
  <c r="AC167" i="7"/>
  <c r="AC94" i="7" s="1"/>
  <c r="AB167" i="7"/>
  <c r="AB94" i="7" s="1"/>
  <c r="AA167" i="7"/>
  <c r="AA94" i="7" s="1"/>
  <c r="Z167" i="7"/>
  <c r="Z94" i="7" s="1"/>
  <c r="Y167" i="7"/>
  <c r="Y94" i="7" s="1"/>
  <c r="X167" i="7"/>
  <c r="W167" i="7"/>
  <c r="W94" i="7" s="1"/>
  <c r="V167" i="7"/>
  <c r="V94" i="7" s="1"/>
  <c r="AO166" i="7"/>
  <c r="AN166" i="7"/>
  <c r="AM166" i="7"/>
  <c r="AL166" i="7"/>
  <c r="X93" i="7" s="1"/>
  <c r="AK166" i="7"/>
  <c r="AJ166" i="7"/>
  <c r="AI166" i="7"/>
  <c r="AH166" i="7"/>
  <c r="AG166" i="7"/>
  <c r="AF166" i="7"/>
  <c r="AE166" i="7"/>
  <c r="AD166" i="7"/>
  <c r="AD93" i="7" s="1"/>
  <c r="AC166" i="7"/>
  <c r="AC93" i="7" s="1"/>
  <c r="AB166" i="7"/>
  <c r="AB93" i="7" s="1"/>
  <c r="AA166" i="7"/>
  <c r="AA93" i="7" s="1"/>
  <c r="Z166" i="7"/>
  <c r="Z93" i="7" s="1"/>
  <c r="Y166" i="7"/>
  <c r="Y93" i="7" s="1"/>
  <c r="X166" i="7"/>
  <c r="W166" i="7"/>
  <c r="W93" i="7" s="1"/>
  <c r="V166" i="7"/>
  <c r="V93" i="7" s="1"/>
  <c r="AO165" i="7"/>
  <c r="AN165" i="7"/>
  <c r="AM165" i="7"/>
  <c r="AL165" i="7"/>
  <c r="X92" i="7" s="1"/>
  <c r="AK165" i="7"/>
  <c r="AJ165" i="7"/>
  <c r="AI165" i="7"/>
  <c r="AH165" i="7"/>
  <c r="AG165" i="7"/>
  <c r="AF165" i="7"/>
  <c r="AE165" i="7"/>
  <c r="AD165" i="7"/>
  <c r="AD92" i="7" s="1"/>
  <c r="AC165" i="7"/>
  <c r="AC92" i="7" s="1"/>
  <c r="AB165" i="7"/>
  <c r="AB92" i="7" s="1"/>
  <c r="AA165" i="7"/>
  <c r="AA92" i="7" s="1"/>
  <c r="Z165" i="7"/>
  <c r="Z92" i="7" s="1"/>
  <c r="Y165" i="7"/>
  <c r="Y92" i="7" s="1"/>
  <c r="X165" i="7"/>
  <c r="W165" i="7"/>
  <c r="W92" i="7" s="1"/>
  <c r="V165" i="7"/>
  <c r="V92" i="7" s="1"/>
  <c r="AO164" i="7"/>
  <c r="AN164" i="7"/>
  <c r="AM164" i="7"/>
  <c r="AL164" i="7"/>
  <c r="X91" i="7" s="1"/>
  <c r="AK164" i="7"/>
  <c r="AJ164" i="7"/>
  <c r="AI164" i="7"/>
  <c r="AH164" i="7"/>
  <c r="AG164" i="7"/>
  <c r="AF164" i="7"/>
  <c r="AE164" i="7"/>
  <c r="AD164" i="7"/>
  <c r="AD91" i="7" s="1"/>
  <c r="AC164" i="7"/>
  <c r="AC91" i="7" s="1"/>
  <c r="AB164" i="7"/>
  <c r="AB91" i="7" s="1"/>
  <c r="AA164" i="7"/>
  <c r="AA91" i="7" s="1"/>
  <c r="Z164" i="7"/>
  <c r="Z91" i="7" s="1"/>
  <c r="Y164" i="7"/>
  <c r="Y91" i="7" s="1"/>
  <c r="X164" i="7"/>
  <c r="W164" i="7"/>
  <c r="W91" i="7" s="1"/>
  <c r="V164" i="7"/>
  <c r="V91" i="7" s="1"/>
  <c r="AO163" i="7"/>
  <c r="AN163" i="7"/>
  <c r="AM163" i="7"/>
  <c r="AL163" i="7"/>
  <c r="X90" i="7" s="1"/>
  <c r="AK163" i="7"/>
  <c r="AJ163" i="7"/>
  <c r="AI163" i="7"/>
  <c r="AH163" i="7"/>
  <c r="AG163" i="7"/>
  <c r="AF163" i="7"/>
  <c r="AE163" i="7"/>
  <c r="AD163" i="7"/>
  <c r="AD90" i="7" s="1"/>
  <c r="AC163" i="7"/>
  <c r="AC90" i="7" s="1"/>
  <c r="AB163" i="7"/>
  <c r="AB90" i="7" s="1"/>
  <c r="AA163" i="7"/>
  <c r="AA90" i="7" s="1"/>
  <c r="Z163" i="7"/>
  <c r="Z90" i="7" s="1"/>
  <c r="Y163" i="7"/>
  <c r="Y90" i="7" s="1"/>
  <c r="X163" i="7"/>
  <c r="W163" i="7"/>
  <c r="W90" i="7" s="1"/>
  <c r="V163" i="7"/>
  <c r="V90" i="7" s="1"/>
  <c r="AO162" i="7"/>
  <c r="AN162" i="7"/>
  <c r="AM162" i="7"/>
  <c r="AL162" i="7"/>
  <c r="X89" i="7" s="1"/>
  <c r="AK162" i="7"/>
  <c r="AJ162" i="7"/>
  <c r="AI162" i="7"/>
  <c r="AH162" i="7"/>
  <c r="AG162" i="7"/>
  <c r="AF162" i="7"/>
  <c r="AE162" i="7"/>
  <c r="AD162" i="7"/>
  <c r="AD89" i="7" s="1"/>
  <c r="AC162" i="7"/>
  <c r="AC89" i="7" s="1"/>
  <c r="AB162" i="7"/>
  <c r="AB89" i="7" s="1"/>
  <c r="AA162" i="7"/>
  <c r="AA89" i="7" s="1"/>
  <c r="Z162" i="7"/>
  <c r="Z89" i="7" s="1"/>
  <c r="Y162" i="7"/>
  <c r="Y89" i="7" s="1"/>
  <c r="X162" i="7"/>
  <c r="W162" i="7"/>
  <c r="W89" i="7" s="1"/>
  <c r="V162" i="7"/>
  <c r="V89" i="7" s="1"/>
  <c r="AO161" i="7"/>
  <c r="AN161" i="7"/>
  <c r="AM161" i="7"/>
  <c r="AL161" i="7"/>
  <c r="X88" i="7" s="1"/>
  <c r="AK161" i="7"/>
  <c r="AJ161" i="7"/>
  <c r="AI161" i="7"/>
  <c r="AH161" i="7"/>
  <c r="AG161" i="7"/>
  <c r="AF161" i="7"/>
  <c r="AE161" i="7"/>
  <c r="AD161" i="7"/>
  <c r="AD88" i="7" s="1"/>
  <c r="AC161" i="7"/>
  <c r="AC88" i="7" s="1"/>
  <c r="AB161" i="7"/>
  <c r="AB88" i="7" s="1"/>
  <c r="AA161" i="7"/>
  <c r="AA88" i="7" s="1"/>
  <c r="Z161" i="7"/>
  <c r="Z88" i="7" s="1"/>
  <c r="Y161" i="7"/>
  <c r="Y88" i="7" s="1"/>
  <c r="X161" i="7"/>
  <c r="W161" i="7"/>
  <c r="W88" i="7" s="1"/>
  <c r="V161" i="7"/>
  <c r="V88" i="7" s="1"/>
  <c r="AO160" i="7"/>
  <c r="AN160" i="7"/>
  <c r="AM160" i="7"/>
  <c r="AL160" i="7"/>
  <c r="X87" i="7" s="1"/>
  <c r="AK160" i="7"/>
  <c r="AJ160" i="7"/>
  <c r="AI160" i="7"/>
  <c r="AH160" i="7"/>
  <c r="AG160" i="7"/>
  <c r="AF160" i="7"/>
  <c r="AE160" i="7"/>
  <c r="AD160" i="7"/>
  <c r="AD87" i="7" s="1"/>
  <c r="AC160" i="7"/>
  <c r="AC87" i="7" s="1"/>
  <c r="AB160" i="7"/>
  <c r="AB87" i="7" s="1"/>
  <c r="AA160" i="7"/>
  <c r="AA87" i="7" s="1"/>
  <c r="Z160" i="7"/>
  <c r="Z87" i="7" s="1"/>
  <c r="Y160" i="7"/>
  <c r="Y87" i="7" s="1"/>
  <c r="X160" i="7"/>
  <c r="W160" i="7"/>
  <c r="W87" i="7" s="1"/>
  <c r="V160" i="7"/>
  <c r="V87" i="7" s="1"/>
  <c r="AO159" i="7"/>
  <c r="AN159" i="7"/>
  <c r="AM159" i="7"/>
  <c r="AL159" i="7"/>
  <c r="AK159" i="7"/>
  <c r="AJ159" i="7"/>
  <c r="AI159" i="7"/>
  <c r="AH159" i="7"/>
  <c r="AG159" i="7"/>
  <c r="AF159" i="7"/>
  <c r="AE159" i="7"/>
  <c r="AD159" i="7"/>
  <c r="AC159" i="7"/>
  <c r="AB159" i="7"/>
  <c r="AA159" i="7"/>
  <c r="Z159" i="7"/>
  <c r="Y159" i="7"/>
  <c r="X159" i="7"/>
  <c r="W159" i="7"/>
  <c r="V159" i="7"/>
  <c r="AO158" i="7"/>
  <c r="AN158" i="7"/>
  <c r="AM158" i="7"/>
  <c r="AL158" i="7"/>
  <c r="AK158" i="7"/>
  <c r="AJ158" i="7"/>
  <c r="AI158" i="7"/>
  <c r="AH158" i="7"/>
  <c r="AG158" i="7"/>
  <c r="AF158" i="7"/>
  <c r="AE158" i="7"/>
  <c r="AD158" i="7"/>
  <c r="AC158" i="7"/>
  <c r="AB158" i="7"/>
  <c r="AA158" i="7"/>
  <c r="Z158" i="7"/>
  <c r="Y158" i="7"/>
  <c r="X158" i="7"/>
  <c r="W158" i="7"/>
  <c r="V158" i="7"/>
  <c r="AO157" i="7"/>
  <c r="AN157" i="7"/>
  <c r="AM157" i="7"/>
  <c r="AL157" i="7"/>
  <c r="AK157" i="7"/>
  <c r="AJ157" i="7"/>
  <c r="AI157" i="7"/>
  <c r="AH157" i="7"/>
  <c r="AG157" i="7"/>
  <c r="AF157" i="7"/>
  <c r="AE157" i="7"/>
  <c r="AD157" i="7"/>
  <c r="AC157" i="7"/>
  <c r="AB157" i="7"/>
  <c r="AA157" i="7"/>
  <c r="Z157" i="7"/>
  <c r="Y157" i="7"/>
  <c r="X157" i="7"/>
  <c r="W157" i="7"/>
  <c r="V157" i="7"/>
  <c r="AO156" i="7"/>
  <c r="AN156" i="7"/>
  <c r="AM156" i="7"/>
  <c r="AL156" i="7"/>
  <c r="AK156" i="7"/>
  <c r="AJ156" i="7"/>
  <c r="AI156" i="7"/>
  <c r="AH156" i="7"/>
  <c r="AG156" i="7"/>
  <c r="AF156" i="7"/>
  <c r="AE156" i="7"/>
  <c r="AD156" i="7"/>
  <c r="AC156" i="7"/>
  <c r="AB156" i="7"/>
  <c r="AA156" i="7"/>
  <c r="Z156" i="7"/>
  <c r="Y156" i="7"/>
  <c r="X156" i="7"/>
  <c r="W156" i="7"/>
  <c r="V156" i="7"/>
  <c r="AO155" i="7"/>
  <c r="AN155" i="7"/>
  <c r="AM155" i="7"/>
  <c r="AL155" i="7"/>
  <c r="AK155" i="7"/>
  <c r="AJ155" i="7"/>
  <c r="AI155" i="7"/>
  <c r="AH155" i="7"/>
  <c r="AG155" i="7"/>
  <c r="AF155" i="7"/>
  <c r="AE155" i="7"/>
  <c r="AD155" i="7"/>
  <c r="AC155" i="7"/>
  <c r="AB155" i="7"/>
  <c r="AA155" i="7"/>
  <c r="Z155" i="7"/>
  <c r="Y155" i="7"/>
  <c r="X155" i="7"/>
  <c r="W155" i="7"/>
  <c r="V155" i="7"/>
  <c r="AO154" i="7"/>
  <c r="AN154" i="7"/>
  <c r="AM154" i="7"/>
  <c r="AL154" i="7"/>
  <c r="AK154" i="7"/>
  <c r="AJ154" i="7"/>
  <c r="AI154" i="7"/>
  <c r="AH154" i="7"/>
  <c r="AG154" i="7"/>
  <c r="AF154" i="7"/>
  <c r="AE154" i="7"/>
  <c r="AD154" i="7"/>
  <c r="AC154" i="7"/>
  <c r="AB154" i="7"/>
  <c r="AA154" i="7"/>
  <c r="Z154" i="7"/>
  <c r="Y154" i="7"/>
  <c r="X154" i="7"/>
  <c r="W154" i="7"/>
  <c r="V154" i="7"/>
  <c r="AO153" i="7"/>
  <c r="AN153" i="7"/>
  <c r="AM153" i="7"/>
  <c r="AL153" i="7"/>
  <c r="AK153" i="7"/>
  <c r="AJ153" i="7"/>
  <c r="AI153" i="7"/>
  <c r="AH153" i="7"/>
  <c r="AG153" i="7"/>
  <c r="AF153" i="7"/>
  <c r="AE153" i="7"/>
  <c r="AD153" i="7"/>
  <c r="AC153" i="7"/>
  <c r="AB153" i="7"/>
  <c r="AA153" i="7"/>
  <c r="Z153" i="7"/>
  <c r="Y153" i="7"/>
  <c r="X153" i="7"/>
  <c r="W153" i="7"/>
  <c r="V153" i="7"/>
  <c r="AO152" i="7"/>
  <c r="AN152" i="7"/>
  <c r="AM152" i="7"/>
  <c r="AL152" i="7"/>
  <c r="AK152" i="7"/>
  <c r="AJ152" i="7"/>
  <c r="AI152" i="7"/>
  <c r="AH152" i="7"/>
  <c r="AG152" i="7"/>
  <c r="AF152" i="7"/>
  <c r="AE152" i="7"/>
  <c r="AD152" i="7"/>
  <c r="AC152" i="7"/>
  <c r="AB152" i="7"/>
  <c r="AA152" i="7"/>
  <c r="Z152" i="7"/>
  <c r="Y152" i="7"/>
  <c r="X152" i="7"/>
  <c r="W152" i="7"/>
  <c r="V152" i="7"/>
  <c r="AO151" i="7"/>
  <c r="AN151" i="7"/>
  <c r="AM151" i="7"/>
  <c r="AL151" i="7"/>
  <c r="AK151" i="7"/>
  <c r="AJ151" i="7"/>
  <c r="AI151" i="7"/>
  <c r="AH151" i="7"/>
  <c r="AG151" i="7"/>
  <c r="AF151" i="7"/>
  <c r="AE151" i="7"/>
  <c r="AD151" i="7"/>
  <c r="AC151" i="7"/>
  <c r="AB151" i="7"/>
  <c r="AA151" i="7"/>
  <c r="Z151" i="7"/>
  <c r="Y151" i="7"/>
  <c r="X151" i="7"/>
  <c r="W151" i="7"/>
  <c r="V151" i="7"/>
  <c r="AO150" i="7"/>
  <c r="AN150" i="7"/>
  <c r="AM150" i="7"/>
  <c r="AL150" i="7"/>
  <c r="AK150" i="7"/>
  <c r="AJ150" i="7"/>
  <c r="AI150" i="7"/>
  <c r="AH150" i="7"/>
  <c r="AG150" i="7"/>
  <c r="AF150" i="7"/>
  <c r="AE150" i="7"/>
  <c r="AD150" i="7"/>
  <c r="AC150" i="7"/>
  <c r="AB150" i="7"/>
  <c r="AA150" i="7"/>
  <c r="Z150" i="7"/>
  <c r="Y150" i="7"/>
  <c r="X150" i="7"/>
  <c r="W150" i="7"/>
  <c r="V150" i="7"/>
  <c r="AO149" i="7"/>
  <c r="AN149" i="7"/>
  <c r="AM149" i="7"/>
  <c r="AL149" i="7"/>
  <c r="AK149" i="7"/>
  <c r="AJ149" i="7"/>
  <c r="AI149" i="7"/>
  <c r="AH149" i="7"/>
  <c r="AG149" i="7"/>
  <c r="AF149" i="7"/>
  <c r="AE149" i="7"/>
  <c r="AD149" i="7"/>
  <c r="AC149" i="7"/>
  <c r="AB149" i="7"/>
  <c r="AA149" i="7"/>
  <c r="Z149" i="7"/>
  <c r="Y149" i="7"/>
  <c r="X149" i="7"/>
  <c r="W149" i="7"/>
  <c r="V149" i="7"/>
  <c r="AO148" i="7"/>
  <c r="AN148" i="7"/>
  <c r="AM148" i="7"/>
  <c r="AL148" i="7"/>
  <c r="AK148" i="7"/>
  <c r="AJ148" i="7"/>
  <c r="AI148" i="7"/>
  <c r="AH148" i="7"/>
  <c r="AG148" i="7"/>
  <c r="AF148" i="7"/>
  <c r="AE148" i="7"/>
  <c r="AD148" i="7"/>
  <c r="AC148" i="7"/>
  <c r="AB148" i="7"/>
  <c r="AA148" i="7"/>
  <c r="Z148" i="7"/>
  <c r="Y148" i="7"/>
  <c r="X148" i="7"/>
  <c r="W148" i="7"/>
  <c r="V148" i="7"/>
  <c r="AO147" i="7"/>
  <c r="AN147" i="7"/>
  <c r="AM147" i="7"/>
  <c r="AL147" i="7"/>
  <c r="AK147" i="7"/>
  <c r="AJ147" i="7"/>
  <c r="AI147" i="7"/>
  <c r="AH147" i="7"/>
  <c r="AG147" i="7"/>
  <c r="AF147" i="7"/>
  <c r="AE147" i="7"/>
  <c r="AD147" i="7"/>
  <c r="AC147" i="7"/>
  <c r="AB147" i="7"/>
  <c r="AA147" i="7"/>
  <c r="Z147" i="7"/>
  <c r="Y147" i="7"/>
  <c r="X147" i="7"/>
  <c r="W147" i="7"/>
  <c r="V147" i="7"/>
  <c r="AO146" i="7"/>
  <c r="AN146" i="7"/>
  <c r="AM146" i="7"/>
  <c r="AL146" i="7"/>
  <c r="AK146" i="7"/>
  <c r="AJ146" i="7"/>
  <c r="AI146" i="7"/>
  <c r="AH146" i="7"/>
  <c r="AG146" i="7"/>
  <c r="AF146" i="7"/>
  <c r="AE146" i="7"/>
  <c r="AD146" i="7"/>
  <c r="AC146" i="7"/>
  <c r="AB146" i="7"/>
  <c r="AA146" i="7"/>
  <c r="Z146" i="7"/>
  <c r="Y146" i="7"/>
  <c r="X146" i="7"/>
  <c r="W146" i="7"/>
  <c r="V146" i="7"/>
  <c r="AO145" i="7"/>
  <c r="AN145" i="7"/>
  <c r="AM145" i="7"/>
  <c r="AL145" i="7"/>
  <c r="AK145" i="7"/>
  <c r="AJ145" i="7"/>
  <c r="AI145" i="7"/>
  <c r="AH145" i="7"/>
  <c r="AG145" i="7"/>
  <c r="AF145" i="7"/>
  <c r="AE145" i="7"/>
  <c r="AD145" i="7"/>
  <c r="AC145" i="7"/>
  <c r="AB145" i="7"/>
  <c r="AA145" i="7"/>
  <c r="Z145" i="7"/>
  <c r="Y145" i="7"/>
  <c r="X145" i="7"/>
  <c r="W145" i="7"/>
  <c r="V145" i="7"/>
  <c r="AO144" i="7"/>
  <c r="AN144" i="7"/>
  <c r="AM144" i="7"/>
  <c r="AL144" i="7"/>
  <c r="AK144" i="7"/>
  <c r="AJ144" i="7"/>
  <c r="AI144" i="7"/>
  <c r="AH144" i="7"/>
  <c r="AG144" i="7"/>
  <c r="AF144" i="7"/>
  <c r="AE144" i="7"/>
  <c r="AD144" i="7"/>
  <c r="AC144" i="7"/>
  <c r="AB144" i="7"/>
  <c r="AA144" i="7"/>
  <c r="Z144" i="7"/>
  <c r="Y144" i="7"/>
  <c r="X144" i="7"/>
  <c r="W144" i="7"/>
  <c r="V144" i="7"/>
  <c r="AO143" i="7"/>
  <c r="AN143" i="7"/>
  <c r="AM143" i="7"/>
  <c r="AL143" i="7"/>
  <c r="AK143" i="7"/>
  <c r="AJ143" i="7"/>
  <c r="AI143" i="7"/>
  <c r="AH143" i="7"/>
  <c r="AG143" i="7"/>
  <c r="AF143" i="7"/>
  <c r="AE143" i="7"/>
  <c r="AD143" i="7"/>
  <c r="AC143" i="7"/>
  <c r="AB143" i="7"/>
  <c r="AA143" i="7"/>
  <c r="Z143" i="7"/>
  <c r="Y143" i="7"/>
  <c r="X143" i="7"/>
  <c r="W143" i="7"/>
  <c r="V143" i="7"/>
  <c r="AO142" i="7"/>
  <c r="AN142" i="7"/>
  <c r="AM142" i="7"/>
  <c r="AL142" i="7"/>
  <c r="AK142" i="7"/>
  <c r="AJ142" i="7"/>
  <c r="AI142" i="7"/>
  <c r="AH142" i="7"/>
  <c r="AG142" i="7"/>
  <c r="AF142" i="7"/>
  <c r="AE142" i="7"/>
  <c r="AD142" i="7"/>
  <c r="AC142" i="7"/>
  <c r="AB142" i="7"/>
  <c r="AA142" i="7"/>
  <c r="Z142" i="7"/>
  <c r="Y142" i="7"/>
  <c r="X142" i="7"/>
  <c r="W142" i="7"/>
  <c r="V142" i="7"/>
  <c r="AO141" i="7"/>
  <c r="AN141" i="7"/>
  <c r="AM141" i="7"/>
  <c r="AL141" i="7"/>
  <c r="AK141" i="7"/>
  <c r="AJ141" i="7"/>
  <c r="AI141" i="7"/>
  <c r="AH141" i="7"/>
  <c r="AG141" i="7"/>
  <c r="AF141" i="7"/>
  <c r="AE141" i="7"/>
  <c r="AD141" i="7"/>
  <c r="AC141" i="7"/>
  <c r="AB141" i="7"/>
  <c r="AA141" i="7"/>
  <c r="Z141" i="7"/>
  <c r="Y141" i="7"/>
  <c r="X141" i="7"/>
  <c r="W141" i="7"/>
  <c r="V141" i="7"/>
  <c r="AO140" i="7"/>
  <c r="AN140" i="7"/>
  <c r="AM140" i="7"/>
  <c r="AL140" i="7"/>
  <c r="AK140" i="7"/>
  <c r="AJ140" i="7"/>
  <c r="AI140" i="7"/>
  <c r="AH140" i="7"/>
  <c r="AG140" i="7"/>
  <c r="AF140" i="7"/>
  <c r="AE140" i="7"/>
  <c r="AD140" i="7"/>
  <c r="AC140" i="7"/>
  <c r="AB140" i="7"/>
  <c r="AA140" i="7"/>
  <c r="Z140" i="7"/>
  <c r="Y140" i="7"/>
  <c r="X140" i="7"/>
  <c r="W140" i="7"/>
  <c r="V140" i="7"/>
  <c r="AO139" i="7"/>
  <c r="AN139" i="7"/>
  <c r="AM139" i="7"/>
  <c r="AL139" i="7"/>
  <c r="AK139" i="7"/>
  <c r="AJ139" i="7"/>
  <c r="AI139" i="7"/>
  <c r="AH139" i="7"/>
  <c r="AG139" i="7"/>
  <c r="AF139" i="7"/>
  <c r="AE139" i="7"/>
  <c r="AD139" i="7"/>
  <c r="AC139" i="7"/>
  <c r="AB139" i="7"/>
  <c r="AA139" i="7"/>
  <c r="Z139" i="7"/>
  <c r="Y139" i="7"/>
  <c r="X139" i="7"/>
  <c r="W139" i="7"/>
  <c r="V139" i="7"/>
  <c r="AO138" i="7"/>
  <c r="AN138" i="7"/>
  <c r="AM138" i="7"/>
  <c r="AL138" i="7"/>
  <c r="AK138" i="7"/>
  <c r="AJ138" i="7"/>
  <c r="AI138" i="7"/>
  <c r="AH138" i="7"/>
  <c r="AG138" i="7"/>
  <c r="AF138" i="7"/>
  <c r="AE138" i="7"/>
  <c r="AD138" i="7"/>
  <c r="AC138" i="7"/>
  <c r="AB138" i="7"/>
  <c r="AA138" i="7"/>
  <c r="Z138" i="7"/>
  <c r="Y138" i="7"/>
  <c r="X138" i="7"/>
  <c r="W138" i="7"/>
  <c r="V138" i="7"/>
  <c r="AO137" i="7"/>
  <c r="AN137" i="7"/>
  <c r="AM137" i="7"/>
  <c r="AL137" i="7"/>
  <c r="AK137" i="7"/>
  <c r="AJ137" i="7"/>
  <c r="AI137" i="7"/>
  <c r="AH137" i="7"/>
  <c r="AG137" i="7"/>
  <c r="AF137" i="7"/>
  <c r="AE137" i="7"/>
  <c r="AD137" i="7"/>
  <c r="AC137" i="7"/>
  <c r="AB137" i="7"/>
  <c r="AA137" i="7"/>
  <c r="Z137" i="7"/>
  <c r="Y137" i="7"/>
  <c r="X137" i="7"/>
  <c r="W137" i="7"/>
  <c r="V137" i="7"/>
  <c r="AO136" i="7"/>
  <c r="AN136" i="7"/>
  <c r="AM136" i="7"/>
  <c r="AL136" i="7"/>
  <c r="AK136" i="7"/>
  <c r="AJ136" i="7"/>
  <c r="AI136" i="7"/>
  <c r="AH136" i="7"/>
  <c r="AG136" i="7"/>
  <c r="AF136" i="7"/>
  <c r="AE136" i="7"/>
  <c r="AD136" i="7"/>
  <c r="AC136" i="7"/>
  <c r="AB136" i="7"/>
  <c r="AA136" i="7"/>
  <c r="Z136" i="7"/>
  <c r="Y136" i="7"/>
  <c r="X136" i="7"/>
  <c r="W136" i="7"/>
  <c r="V136" i="7"/>
  <c r="AO135" i="7"/>
  <c r="AN135" i="7"/>
  <c r="AM135" i="7"/>
  <c r="AL135" i="7"/>
  <c r="AK135" i="7"/>
  <c r="AJ135" i="7"/>
  <c r="AI135" i="7"/>
  <c r="AH135" i="7"/>
  <c r="AG135" i="7"/>
  <c r="AF135" i="7"/>
  <c r="AE135" i="7"/>
  <c r="AD135" i="7"/>
  <c r="AC135" i="7"/>
  <c r="AB135" i="7"/>
  <c r="AA135" i="7"/>
  <c r="Z135" i="7"/>
  <c r="Y135" i="7"/>
  <c r="X135" i="7"/>
  <c r="W135" i="7"/>
  <c r="V135" i="7"/>
  <c r="AO134" i="7"/>
  <c r="AN134" i="7"/>
  <c r="AM134" i="7"/>
  <c r="AL134" i="7"/>
  <c r="AK134" i="7"/>
  <c r="AJ134" i="7"/>
  <c r="AI134" i="7"/>
  <c r="AH134" i="7"/>
  <c r="AG134" i="7"/>
  <c r="AF134" i="7"/>
  <c r="AE134" i="7"/>
  <c r="AD134" i="7"/>
  <c r="AC134" i="7"/>
  <c r="AB134" i="7"/>
  <c r="AA134" i="7"/>
  <c r="Z134" i="7"/>
  <c r="Y134" i="7"/>
  <c r="X134" i="7"/>
  <c r="W134" i="7"/>
  <c r="V134" i="7"/>
  <c r="AO133" i="7"/>
  <c r="AN133" i="7"/>
  <c r="AM133" i="7"/>
  <c r="AL133" i="7"/>
  <c r="AK133" i="7"/>
  <c r="AJ133" i="7"/>
  <c r="AI133" i="7"/>
  <c r="AH133" i="7"/>
  <c r="AG133" i="7"/>
  <c r="AF133" i="7"/>
  <c r="AE133" i="7"/>
  <c r="AD133" i="7"/>
  <c r="AC133" i="7"/>
  <c r="AB133" i="7"/>
  <c r="AA133" i="7"/>
  <c r="Z133" i="7"/>
  <c r="Y133" i="7"/>
  <c r="X133" i="7"/>
  <c r="W133" i="7"/>
  <c r="V133" i="7"/>
  <c r="AO132" i="7"/>
  <c r="AN132" i="7"/>
  <c r="AM132" i="7"/>
  <c r="AL132" i="7"/>
  <c r="AK132" i="7"/>
  <c r="AJ132" i="7"/>
  <c r="AI132" i="7"/>
  <c r="AH132" i="7"/>
  <c r="AG132" i="7"/>
  <c r="AF132" i="7"/>
  <c r="AE132" i="7"/>
  <c r="AD132" i="7"/>
  <c r="AC132" i="7"/>
  <c r="AB132" i="7"/>
  <c r="AA132" i="7"/>
  <c r="Z132" i="7"/>
  <c r="Y132" i="7"/>
  <c r="X132" i="7"/>
  <c r="W132" i="7"/>
  <c r="V132" i="7"/>
  <c r="AO131" i="7"/>
  <c r="AN131" i="7"/>
  <c r="AM131" i="7"/>
  <c r="AL131" i="7"/>
  <c r="AK131" i="7"/>
  <c r="AJ131" i="7"/>
  <c r="AI131" i="7"/>
  <c r="AH131" i="7"/>
  <c r="AG131" i="7"/>
  <c r="AF131" i="7"/>
  <c r="AE131" i="7"/>
  <c r="AD131" i="7"/>
  <c r="AC131" i="7"/>
  <c r="AB131" i="7"/>
  <c r="AA131" i="7"/>
  <c r="Z131" i="7"/>
  <c r="Y131" i="7"/>
  <c r="X131" i="7"/>
  <c r="W131" i="7"/>
  <c r="V131" i="7"/>
  <c r="AO130" i="7"/>
  <c r="AN130" i="7"/>
  <c r="AM130" i="7"/>
  <c r="AL130" i="7"/>
  <c r="AK130" i="7"/>
  <c r="AJ130" i="7"/>
  <c r="AI130" i="7"/>
  <c r="AH130" i="7"/>
  <c r="AG130" i="7"/>
  <c r="AF130" i="7"/>
  <c r="AE130" i="7"/>
  <c r="AD130" i="7"/>
  <c r="AC130" i="7"/>
  <c r="AB130" i="7"/>
  <c r="AA130" i="7"/>
  <c r="Z130" i="7"/>
  <c r="Y130" i="7"/>
  <c r="X130" i="7"/>
  <c r="W130" i="7"/>
  <c r="V130" i="7"/>
  <c r="AO129" i="7"/>
  <c r="AN129" i="7"/>
  <c r="AM129" i="7"/>
  <c r="AL129" i="7"/>
  <c r="AK129" i="7"/>
  <c r="AJ129" i="7"/>
  <c r="AI129" i="7"/>
  <c r="AH129" i="7"/>
  <c r="AG129" i="7"/>
  <c r="AF129" i="7"/>
  <c r="AE129" i="7"/>
  <c r="AD129" i="7"/>
  <c r="AC129" i="7"/>
  <c r="AB129" i="7"/>
  <c r="AA129" i="7"/>
  <c r="Z129" i="7"/>
  <c r="Y129" i="7"/>
  <c r="X129" i="7"/>
  <c r="W129" i="7"/>
  <c r="V129" i="7"/>
  <c r="AO128" i="7"/>
  <c r="AN128" i="7"/>
  <c r="AM128" i="7"/>
  <c r="AL128" i="7"/>
  <c r="AK128" i="7"/>
  <c r="AJ128" i="7"/>
  <c r="AI128" i="7"/>
  <c r="AH128" i="7"/>
  <c r="AG128" i="7"/>
  <c r="AF128" i="7"/>
  <c r="AE128" i="7"/>
  <c r="AD128" i="7"/>
  <c r="AC128" i="7"/>
  <c r="AB128" i="7"/>
  <c r="AA128" i="7"/>
  <c r="Z128" i="7"/>
  <c r="Y128" i="7"/>
  <c r="X128" i="7"/>
  <c r="W128" i="7"/>
  <c r="V128" i="7"/>
  <c r="AO127" i="7"/>
  <c r="AN127" i="7"/>
  <c r="AM127" i="7"/>
  <c r="AL127" i="7"/>
  <c r="AK127" i="7"/>
  <c r="AJ127" i="7"/>
  <c r="AI127" i="7"/>
  <c r="AH127" i="7"/>
  <c r="AG127" i="7"/>
  <c r="AF127" i="7"/>
  <c r="AE127" i="7"/>
  <c r="AD127" i="7"/>
  <c r="AC127" i="7"/>
  <c r="AB127" i="7"/>
  <c r="AA127" i="7"/>
  <c r="Z127" i="7"/>
  <c r="Y127" i="7"/>
  <c r="X127" i="7"/>
  <c r="W127" i="7"/>
  <c r="V127" i="7"/>
  <c r="AO126" i="7"/>
  <c r="AN126" i="7"/>
  <c r="AM126" i="7"/>
  <c r="AL126" i="7"/>
  <c r="AK126" i="7"/>
  <c r="AJ126" i="7"/>
  <c r="AI126" i="7"/>
  <c r="AH126" i="7"/>
  <c r="AG126" i="7"/>
  <c r="AF126" i="7"/>
  <c r="AE126" i="7"/>
  <c r="AD126" i="7"/>
  <c r="AC126" i="7"/>
  <c r="AB126" i="7"/>
  <c r="AA126" i="7"/>
  <c r="Z126" i="7"/>
  <c r="Y126" i="7"/>
  <c r="X126" i="7"/>
  <c r="W126" i="7"/>
  <c r="V126" i="7"/>
  <c r="AO125" i="7"/>
  <c r="AN125" i="7"/>
  <c r="AM125" i="7"/>
  <c r="AL125" i="7"/>
  <c r="AK125" i="7"/>
  <c r="AJ125" i="7"/>
  <c r="AI125" i="7"/>
  <c r="AH125" i="7"/>
  <c r="AG125" i="7"/>
  <c r="AF125" i="7"/>
  <c r="AE125" i="7"/>
  <c r="AD125" i="7"/>
  <c r="AC125" i="7"/>
  <c r="AB125" i="7"/>
  <c r="AA125" i="7"/>
  <c r="Z125" i="7"/>
  <c r="Y125" i="7"/>
  <c r="X125" i="7"/>
  <c r="W125" i="7"/>
  <c r="V125" i="7"/>
  <c r="AO124" i="7"/>
  <c r="AN124" i="7"/>
  <c r="AM124" i="7"/>
  <c r="AL124" i="7"/>
  <c r="AK124" i="7"/>
  <c r="AJ124" i="7"/>
  <c r="AI124" i="7"/>
  <c r="AH124" i="7"/>
  <c r="AG124" i="7"/>
  <c r="AF124" i="7"/>
  <c r="AE124" i="7"/>
  <c r="AD124" i="7"/>
  <c r="AC124" i="7"/>
  <c r="AB124" i="7"/>
  <c r="AA124" i="7"/>
  <c r="Z124" i="7"/>
  <c r="Y124" i="7"/>
  <c r="X124" i="7"/>
  <c r="W124" i="7"/>
  <c r="V124" i="7"/>
  <c r="AO123" i="7"/>
  <c r="AN123" i="7"/>
  <c r="AM123" i="7"/>
  <c r="AL123" i="7"/>
  <c r="AK123" i="7"/>
  <c r="AJ123" i="7"/>
  <c r="AI123" i="7"/>
  <c r="AH123" i="7"/>
  <c r="AG123" i="7"/>
  <c r="AF123" i="7"/>
  <c r="AE123" i="7"/>
  <c r="AD123" i="7"/>
  <c r="AC123" i="7"/>
  <c r="AB123" i="7"/>
  <c r="AA123" i="7"/>
  <c r="Z123" i="7"/>
  <c r="Y123" i="7"/>
  <c r="X123" i="7"/>
  <c r="W123" i="7"/>
  <c r="V123" i="7"/>
  <c r="AO122" i="7"/>
  <c r="AN122" i="7"/>
  <c r="AM122" i="7"/>
  <c r="AL122" i="7"/>
  <c r="AK122" i="7"/>
  <c r="AJ122" i="7"/>
  <c r="AI122" i="7"/>
  <c r="AH122" i="7"/>
  <c r="AG122" i="7"/>
  <c r="AF122" i="7"/>
  <c r="AE122" i="7"/>
  <c r="AD122" i="7"/>
  <c r="AC122" i="7"/>
  <c r="AB122" i="7"/>
  <c r="AA122" i="7"/>
  <c r="Z122" i="7"/>
  <c r="Y122" i="7"/>
  <c r="X122" i="7"/>
  <c r="W122" i="7"/>
  <c r="V122" i="7"/>
  <c r="AO121" i="7"/>
  <c r="AN121" i="7"/>
  <c r="AM121" i="7"/>
  <c r="AL121" i="7"/>
  <c r="AK121" i="7"/>
  <c r="AJ121" i="7"/>
  <c r="AI121" i="7"/>
  <c r="AH121" i="7"/>
  <c r="AG121" i="7"/>
  <c r="AF121" i="7"/>
  <c r="AE121" i="7"/>
  <c r="AD121" i="7"/>
  <c r="AC121" i="7"/>
  <c r="AB121" i="7"/>
  <c r="AA121" i="7"/>
  <c r="Z121" i="7"/>
  <c r="Y121" i="7"/>
  <c r="X121" i="7"/>
  <c r="W121" i="7"/>
  <c r="V121" i="7"/>
  <c r="AO120" i="7"/>
  <c r="AN120" i="7"/>
  <c r="AM120" i="7"/>
  <c r="AL120" i="7"/>
  <c r="AK120" i="7"/>
  <c r="AJ120" i="7"/>
  <c r="AI120" i="7"/>
  <c r="AH120" i="7"/>
  <c r="AG120" i="7"/>
  <c r="AF120" i="7"/>
  <c r="AE120" i="7"/>
  <c r="AD120" i="7"/>
  <c r="AC120" i="7"/>
  <c r="AB120" i="7"/>
  <c r="AA120" i="7"/>
  <c r="Z120" i="7"/>
  <c r="Y120" i="7"/>
  <c r="X120" i="7"/>
  <c r="W120" i="7"/>
  <c r="V120" i="7"/>
  <c r="AO119" i="7"/>
  <c r="AN119" i="7"/>
  <c r="AM119" i="7"/>
  <c r="AL119" i="7"/>
  <c r="AK119" i="7"/>
  <c r="AJ119" i="7"/>
  <c r="AI119" i="7"/>
  <c r="AH119" i="7"/>
  <c r="AG119" i="7"/>
  <c r="AF119" i="7"/>
  <c r="AE119" i="7"/>
  <c r="AD119" i="7"/>
  <c r="AC119" i="7"/>
  <c r="AB119" i="7"/>
  <c r="AA119" i="7"/>
  <c r="Z119" i="7"/>
  <c r="Y119" i="7"/>
  <c r="X119" i="7"/>
  <c r="W119" i="7"/>
  <c r="V119" i="7"/>
  <c r="AO118" i="7"/>
  <c r="AN118" i="7"/>
  <c r="AM118" i="7"/>
  <c r="AL118" i="7"/>
  <c r="AK118" i="7"/>
  <c r="AJ118" i="7"/>
  <c r="AI118" i="7"/>
  <c r="AH118" i="7"/>
  <c r="AG118" i="7"/>
  <c r="AF118" i="7"/>
  <c r="AE118" i="7"/>
  <c r="AD118" i="7"/>
  <c r="AC118" i="7"/>
  <c r="AB118" i="7"/>
  <c r="AA118" i="7"/>
  <c r="Z118" i="7"/>
  <c r="Y118" i="7"/>
  <c r="X118" i="7"/>
  <c r="W118" i="7"/>
  <c r="V118" i="7"/>
  <c r="AO117" i="7"/>
  <c r="AN117" i="7"/>
  <c r="AM117" i="7"/>
  <c r="AL117" i="7"/>
  <c r="AK117" i="7"/>
  <c r="AJ117" i="7"/>
  <c r="AI117" i="7"/>
  <c r="AH117" i="7"/>
  <c r="AG117" i="7"/>
  <c r="AF117" i="7"/>
  <c r="AE117" i="7"/>
  <c r="AD117" i="7"/>
  <c r="AC117" i="7"/>
  <c r="AB117" i="7"/>
  <c r="AA117" i="7"/>
  <c r="Z117" i="7"/>
  <c r="Y117" i="7"/>
  <c r="X117" i="7"/>
  <c r="W117" i="7"/>
  <c r="V117" i="7"/>
  <c r="AO116" i="7"/>
  <c r="AN116" i="7"/>
  <c r="AM116" i="7"/>
  <c r="AL116" i="7"/>
  <c r="AK116" i="7"/>
  <c r="AJ116" i="7"/>
  <c r="AI116" i="7"/>
  <c r="AH116" i="7"/>
  <c r="AG116" i="7"/>
  <c r="AF116" i="7"/>
  <c r="AE116" i="7"/>
  <c r="AD116" i="7"/>
  <c r="AC116" i="7"/>
  <c r="AB116" i="7"/>
  <c r="AA116" i="7"/>
  <c r="Z116" i="7"/>
  <c r="Y116" i="7"/>
  <c r="X116" i="7"/>
  <c r="W116" i="7"/>
  <c r="V116" i="7"/>
  <c r="AO115" i="7"/>
  <c r="AN115" i="7"/>
  <c r="AM115" i="7"/>
  <c r="AL115" i="7"/>
  <c r="AK115" i="7"/>
  <c r="AJ115" i="7"/>
  <c r="AI115" i="7"/>
  <c r="AH115" i="7"/>
  <c r="AG115" i="7"/>
  <c r="AF115" i="7"/>
  <c r="AE115" i="7"/>
  <c r="AD115" i="7"/>
  <c r="AC115" i="7"/>
  <c r="AB115" i="7"/>
  <c r="AA115" i="7"/>
  <c r="Z115" i="7"/>
  <c r="Y115" i="7"/>
  <c r="X115" i="7"/>
  <c r="W115" i="7"/>
  <c r="V115" i="7"/>
  <c r="AO114" i="7"/>
  <c r="AN114" i="7"/>
  <c r="AM114" i="7"/>
  <c r="AL114" i="7"/>
  <c r="AK114" i="7"/>
  <c r="AJ114" i="7"/>
  <c r="AI114" i="7"/>
  <c r="AH114" i="7"/>
  <c r="AG114" i="7"/>
  <c r="AF114" i="7"/>
  <c r="AE114" i="7"/>
  <c r="AD114" i="7"/>
  <c r="AC114" i="7"/>
  <c r="AB114" i="7"/>
  <c r="AA114" i="7"/>
  <c r="Z114" i="7"/>
  <c r="Y114" i="7"/>
  <c r="X114" i="7"/>
  <c r="W114" i="7"/>
  <c r="V114" i="7"/>
  <c r="AO113" i="7"/>
  <c r="AN113" i="7"/>
  <c r="AM113" i="7"/>
  <c r="AL113" i="7"/>
  <c r="AK113" i="7"/>
  <c r="AJ113" i="7"/>
  <c r="AI113" i="7"/>
  <c r="AH113" i="7"/>
  <c r="AG113" i="7"/>
  <c r="AF113" i="7"/>
  <c r="AE113" i="7"/>
  <c r="AD113" i="7"/>
  <c r="AC113" i="7"/>
  <c r="AB113" i="7"/>
  <c r="AA113" i="7"/>
  <c r="Z113" i="7"/>
  <c r="Y113" i="7"/>
  <c r="X113" i="7"/>
  <c r="W113" i="7"/>
  <c r="V113" i="7"/>
  <c r="AO112" i="7"/>
  <c r="AN112" i="7"/>
  <c r="AM112" i="7"/>
  <c r="AL112" i="7"/>
  <c r="AK112" i="7"/>
  <c r="AJ112" i="7"/>
  <c r="AI112" i="7"/>
  <c r="AH112" i="7"/>
  <c r="AG112" i="7"/>
  <c r="AF112" i="7"/>
  <c r="AE112" i="7"/>
  <c r="AD112" i="7"/>
  <c r="AC112" i="7"/>
  <c r="AB112" i="7"/>
  <c r="AA112" i="7"/>
  <c r="Z112" i="7"/>
  <c r="Y112" i="7"/>
  <c r="X112" i="7"/>
  <c r="W112" i="7"/>
  <c r="V112" i="7"/>
  <c r="AO111" i="7"/>
  <c r="AN111" i="7"/>
  <c r="AM111" i="7"/>
  <c r="AL111" i="7"/>
  <c r="AK111" i="7"/>
  <c r="AJ111" i="7"/>
  <c r="AI111" i="7"/>
  <c r="AH111" i="7"/>
  <c r="AG111" i="7"/>
  <c r="AF111" i="7"/>
  <c r="AE111" i="7"/>
  <c r="AD111" i="7"/>
  <c r="AC111" i="7"/>
  <c r="AB111" i="7"/>
  <c r="AA111" i="7"/>
  <c r="Z111" i="7"/>
  <c r="Y111" i="7"/>
  <c r="X111" i="7"/>
  <c r="W111" i="7"/>
  <c r="V111" i="7"/>
  <c r="AO110" i="7"/>
  <c r="AN110" i="7"/>
  <c r="AM110" i="7"/>
  <c r="AL110" i="7"/>
  <c r="AK110" i="7"/>
  <c r="AJ110" i="7"/>
  <c r="AI110" i="7"/>
  <c r="AH110" i="7"/>
  <c r="AG110" i="7"/>
  <c r="AF110" i="7"/>
  <c r="AE110" i="7"/>
  <c r="AD110" i="7"/>
  <c r="AC110" i="7"/>
  <c r="AB110" i="7"/>
  <c r="AA110" i="7"/>
  <c r="Z110" i="7"/>
  <c r="Y110" i="7"/>
  <c r="X110" i="7"/>
  <c r="W110" i="7"/>
  <c r="V110" i="7"/>
  <c r="AO109" i="7"/>
  <c r="AN109" i="7"/>
  <c r="AM109" i="7"/>
  <c r="AL109" i="7"/>
  <c r="AK109" i="7"/>
  <c r="AJ109" i="7"/>
  <c r="AI109" i="7"/>
  <c r="AH109" i="7"/>
  <c r="AG109" i="7"/>
  <c r="AF109" i="7"/>
  <c r="AE109" i="7"/>
  <c r="AD109" i="7"/>
  <c r="AC109" i="7"/>
  <c r="AB109" i="7"/>
  <c r="AA109" i="7"/>
  <c r="Z109" i="7"/>
  <c r="Y109" i="7"/>
  <c r="X109" i="7"/>
  <c r="W109" i="7"/>
  <c r="V109" i="7"/>
  <c r="AO108" i="7"/>
  <c r="AN108" i="7"/>
  <c r="AM108" i="7"/>
  <c r="AL108" i="7"/>
  <c r="AK108" i="7"/>
  <c r="AJ108" i="7"/>
  <c r="AI108" i="7"/>
  <c r="AH108" i="7"/>
  <c r="AG108" i="7"/>
  <c r="AF108" i="7"/>
  <c r="AE108" i="7"/>
  <c r="AD108" i="7"/>
  <c r="AC108" i="7"/>
  <c r="AB108" i="7"/>
  <c r="AA108" i="7"/>
  <c r="Z108" i="7"/>
  <c r="Y108" i="7"/>
  <c r="X108" i="7"/>
  <c r="W108" i="7"/>
  <c r="V108" i="7"/>
  <c r="AO107" i="7"/>
  <c r="AN107" i="7"/>
  <c r="AM107" i="7"/>
  <c r="AL107" i="7"/>
  <c r="AK107" i="7"/>
  <c r="AJ107" i="7"/>
  <c r="AI107" i="7"/>
  <c r="AH107" i="7"/>
  <c r="AG107" i="7"/>
  <c r="AF107" i="7"/>
  <c r="AE107" i="7"/>
  <c r="AD107" i="7"/>
  <c r="AC107" i="7"/>
  <c r="AB107" i="7"/>
  <c r="AA107" i="7"/>
  <c r="Z107" i="7"/>
  <c r="Y107" i="7"/>
  <c r="X107" i="7"/>
  <c r="W107" i="7"/>
  <c r="V107" i="7"/>
  <c r="AO106" i="7"/>
  <c r="AN106" i="7"/>
  <c r="AM106" i="7"/>
  <c r="AL106" i="7"/>
  <c r="AK106" i="7"/>
  <c r="AJ106" i="7"/>
  <c r="AI106" i="7"/>
  <c r="AH106" i="7"/>
  <c r="AG106" i="7"/>
  <c r="AF106" i="7"/>
  <c r="AE106" i="7"/>
  <c r="AD106" i="7"/>
  <c r="AC106" i="7"/>
  <c r="AB106" i="7"/>
  <c r="AA106" i="7"/>
  <c r="Z106" i="7"/>
  <c r="Y106" i="7"/>
  <c r="X106" i="7"/>
  <c r="W106" i="7"/>
  <c r="V106" i="7"/>
  <c r="AO105" i="7"/>
  <c r="AN105" i="7"/>
  <c r="AM105" i="7"/>
  <c r="AL105" i="7"/>
  <c r="AK105" i="7"/>
  <c r="AJ105" i="7"/>
  <c r="AI105" i="7"/>
  <c r="AH105" i="7"/>
  <c r="AG105" i="7"/>
  <c r="AF105" i="7"/>
  <c r="AE105" i="7"/>
  <c r="AD105" i="7"/>
  <c r="AC105" i="7"/>
  <c r="AB105" i="7"/>
  <c r="AA105" i="7"/>
  <c r="Z105" i="7"/>
  <c r="Y105" i="7"/>
  <c r="X105" i="7"/>
  <c r="W105" i="7"/>
  <c r="V105" i="7"/>
  <c r="AO104" i="7"/>
  <c r="AN104" i="7"/>
  <c r="AM104" i="7"/>
  <c r="AL104" i="7"/>
  <c r="AK104" i="7"/>
  <c r="AJ104" i="7"/>
  <c r="AI104" i="7"/>
  <c r="AH104" i="7"/>
  <c r="AG104" i="7"/>
  <c r="AF104" i="7"/>
  <c r="AE104" i="7"/>
  <c r="AD104" i="7"/>
  <c r="AC104" i="7"/>
  <c r="AB104" i="7"/>
  <c r="AA104" i="7"/>
  <c r="Z104" i="7"/>
  <c r="Y104" i="7"/>
  <c r="X104" i="7"/>
  <c r="W104" i="7"/>
  <c r="V104" i="7"/>
  <c r="AO103" i="7"/>
  <c r="AN103" i="7"/>
  <c r="AM103" i="7"/>
  <c r="AL103" i="7"/>
  <c r="AK103" i="7"/>
  <c r="AJ103" i="7"/>
  <c r="AI103" i="7"/>
  <c r="AH103" i="7"/>
  <c r="AG103" i="7"/>
  <c r="AF103" i="7"/>
  <c r="AE103" i="7"/>
  <c r="AD103" i="7"/>
  <c r="AC103" i="7"/>
  <c r="AB103" i="7"/>
  <c r="AA103" i="7"/>
  <c r="Z103" i="7"/>
  <c r="Y103" i="7"/>
  <c r="X103" i="7"/>
  <c r="W103" i="7"/>
  <c r="V103" i="7"/>
  <c r="AO102" i="7"/>
  <c r="AN102" i="7"/>
  <c r="AM102" i="7"/>
  <c r="AL102" i="7"/>
  <c r="AK102" i="7"/>
  <c r="AJ102" i="7"/>
  <c r="AI102" i="7"/>
  <c r="AH102" i="7"/>
  <c r="AG102" i="7"/>
  <c r="AF102" i="7"/>
  <c r="AE102" i="7"/>
  <c r="AD102" i="7"/>
  <c r="AC102" i="7"/>
  <c r="AB102" i="7"/>
  <c r="AA102" i="7"/>
  <c r="Z102" i="7"/>
  <c r="Y102" i="7"/>
  <c r="X102" i="7"/>
  <c r="W102" i="7"/>
  <c r="V102" i="7"/>
  <c r="AO101" i="7"/>
  <c r="AN101" i="7"/>
  <c r="AM101" i="7"/>
  <c r="AL101" i="7"/>
  <c r="AK101" i="7"/>
  <c r="AJ101" i="7"/>
  <c r="AI101" i="7"/>
  <c r="AH101" i="7"/>
  <c r="AG101" i="7"/>
  <c r="AF101" i="7"/>
  <c r="AE101" i="7"/>
  <c r="AD101" i="7"/>
  <c r="AC101" i="7"/>
  <c r="AB101" i="7"/>
  <c r="AA101" i="7"/>
  <c r="Z101" i="7"/>
  <c r="Y101" i="7"/>
  <c r="X101" i="7"/>
  <c r="W101" i="7"/>
  <c r="V101" i="7"/>
  <c r="AO100" i="7"/>
  <c r="AN100" i="7"/>
  <c r="AM100" i="7"/>
  <c r="AL100" i="7"/>
  <c r="AK100" i="7"/>
  <c r="AJ100" i="7"/>
  <c r="AI100" i="7"/>
  <c r="AH100" i="7"/>
  <c r="AG100" i="7"/>
  <c r="AF100" i="7"/>
  <c r="AE100" i="7"/>
  <c r="AD100" i="7"/>
  <c r="AC100" i="7"/>
  <c r="AB100" i="7"/>
  <c r="AA100" i="7"/>
  <c r="Z100" i="7"/>
  <c r="Y100" i="7"/>
  <c r="X100" i="7"/>
  <c r="W100" i="7"/>
  <c r="V100" i="7"/>
  <c r="V101" i="1"/>
  <c r="W101" i="1"/>
  <c r="X101" i="1"/>
  <c r="Y101" i="1"/>
  <c r="AA101" i="1"/>
  <c r="AC101" i="1"/>
  <c r="AD101" i="1"/>
  <c r="AE101" i="1"/>
  <c r="AF101" i="1"/>
  <c r="AG101" i="1"/>
  <c r="AH101" i="1"/>
  <c r="AI101" i="1"/>
  <c r="AJ101" i="1"/>
  <c r="AK101" i="1"/>
  <c r="AL101" i="1"/>
  <c r="AM101" i="1"/>
  <c r="AN101" i="1"/>
  <c r="AO101" i="1"/>
  <c r="V102" i="1"/>
  <c r="W102" i="1"/>
  <c r="X102" i="1"/>
  <c r="Y102" i="1"/>
  <c r="AA102" i="1"/>
  <c r="AC102" i="1"/>
  <c r="AD102" i="1"/>
  <c r="AE102" i="1"/>
  <c r="AF102" i="1"/>
  <c r="AG102" i="1"/>
  <c r="AH102" i="1"/>
  <c r="AI102" i="1"/>
  <c r="AJ102" i="1"/>
  <c r="AK102" i="1"/>
  <c r="AL102" i="1"/>
  <c r="AM102" i="1"/>
  <c r="AN102" i="1"/>
  <c r="AO102" i="1"/>
  <c r="V103" i="1"/>
  <c r="W103" i="1"/>
  <c r="X103" i="1"/>
  <c r="Y103" i="1"/>
  <c r="AA103" i="1"/>
  <c r="AC103" i="1"/>
  <c r="AD103" i="1"/>
  <c r="AE103" i="1"/>
  <c r="AF103" i="1"/>
  <c r="AG103" i="1"/>
  <c r="AH103" i="1"/>
  <c r="AI103" i="1"/>
  <c r="AJ103" i="1"/>
  <c r="AK103" i="1"/>
  <c r="AL103" i="1"/>
  <c r="AM103" i="1"/>
  <c r="AN103" i="1"/>
  <c r="AO103" i="1"/>
  <c r="V104" i="1"/>
  <c r="W104" i="1"/>
  <c r="X104" i="1"/>
  <c r="Y104" i="1"/>
  <c r="AA104" i="1"/>
  <c r="AC104" i="1"/>
  <c r="AD104" i="1"/>
  <c r="AE104" i="1"/>
  <c r="AF104" i="1"/>
  <c r="AG104" i="1"/>
  <c r="AH104" i="1"/>
  <c r="AI104" i="1"/>
  <c r="AJ104" i="1"/>
  <c r="AK104" i="1"/>
  <c r="AL104" i="1"/>
  <c r="AM104" i="1"/>
  <c r="AN104" i="1"/>
  <c r="AO104" i="1"/>
  <c r="V105" i="1"/>
  <c r="W105" i="1"/>
  <c r="X105" i="1"/>
  <c r="Y105" i="1"/>
  <c r="AA105" i="1"/>
  <c r="AC105" i="1"/>
  <c r="AD105" i="1"/>
  <c r="AE105" i="1"/>
  <c r="AF105" i="1"/>
  <c r="AG105" i="1"/>
  <c r="AH105" i="1"/>
  <c r="AI105" i="1"/>
  <c r="AJ105" i="1"/>
  <c r="AK105" i="1"/>
  <c r="AL105" i="1"/>
  <c r="AM105" i="1"/>
  <c r="AN105" i="1"/>
  <c r="AO105" i="1"/>
  <c r="V106" i="1"/>
  <c r="W106" i="1"/>
  <c r="X106" i="1"/>
  <c r="Y106" i="1"/>
  <c r="AA106" i="1"/>
  <c r="AC106" i="1"/>
  <c r="AD106" i="1"/>
  <c r="AE106" i="1"/>
  <c r="AF106" i="1"/>
  <c r="AG106" i="1"/>
  <c r="AH106" i="1"/>
  <c r="AI106" i="1"/>
  <c r="AJ106" i="1"/>
  <c r="AK106" i="1"/>
  <c r="AL106" i="1"/>
  <c r="AM106" i="1"/>
  <c r="AN106" i="1"/>
  <c r="AO106" i="1"/>
  <c r="V107" i="1"/>
  <c r="W107" i="1"/>
  <c r="X107" i="1"/>
  <c r="Y107" i="1"/>
  <c r="AA107" i="1"/>
  <c r="AC107" i="1"/>
  <c r="AD107" i="1"/>
  <c r="AE107" i="1"/>
  <c r="AF107" i="1"/>
  <c r="AG107" i="1"/>
  <c r="AH107" i="1"/>
  <c r="AI107" i="1"/>
  <c r="AJ107" i="1"/>
  <c r="AK107" i="1"/>
  <c r="AL107" i="1"/>
  <c r="AM107" i="1"/>
  <c r="AN107" i="1"/>
  <c r="AO107" i="1"/>
  <c r="V108" i="1"/>
  <c r="W108" i="1"/>
  <c r="X108" i="1"/>
  <c r="Y108" i="1"/>
  <c r="AA108" i="1"/>
  <c r="AC108" i="1"/>
  <c r="AD108" i="1"/>
  <c r="AE108" i="1"/>
  <c r="AF108" i="1"/>
  <c r="AG108" i="1"/>
  <c r="AH108" i="1"/>
  <c r="AI108" i="1"/>
  <c r="AJ108" i="1"/>
  <c r="AK108" i="1"/>
  <c r="AL108" i="1"/>
  <c r="AM108" i="1"/>
  <c r="AN108" i="1"/>
  <c r="AO108" i="1"/>
  <c r="V109" i="1"/>
  <c r="W109" i="1"/>
  <c r="X109" i="1"/>
  <c r="Y109" i="1"/>
  <c r="AA109" i="1"/>
  <c r="AC109" i="1"/>
  <c r="AD109" i="1"/>
  <c r="AE109" i="1"/>
  <c r="AF109" i="1"/>
  <c r="AG109" i="1"/>
  <c r="AH109" i="1"/>
  <c r="AI109" i="1"/>
  <c r="AJ109" i="1"/>
  <c r="AK109" i="1"/>
  <c r="AL109" i="1"/>
  <c r="AM109" i="1"/>
  <c r="AN109" i="1"/>
  <c r="AO109" i="1"/>
  <c r="V110" i="1"/>
  <c r="W110" i="1"/>
  <c r="X110" i="1"/>
  <c r="Y110" i="1"/>
  <c r="AA110" i="1"/>
  <c r="AC110" i="1"/>
  <c r="AD110" i="1"/>
  <c r="AE110" i="1"/>
  <c r="AF110" i="1"/>
  <c r="AG110" i="1"/>
  <c r="AH110" i="1"/>
  <c r="AI110" i="1"/>
  <c r="AJ110" i="1"/>
  <c r="AK110" i="1"/>
  <c r="AL110" i="1"/>
  <c r="AM110" i="1"/>
  <c r="AN110" i="1"/>
  <c r="AO110" i="1"/>
  <c r="V111" i="1"/>
  <c r="W111" i="1"/>
  <c r="X111" i="1"/>
  <c r="Y111" i="1"/>
  <c r="AA111" i="1"/>
  <c r="AC111" i="1"/>
  <c r="AD111" i="1"/>
  <c r="AE111" i="1"/>
  <c r="AF111" i="1"/>
  <c r="AG111" i="1"/>
  <c r="AH111" i="1"/>
  <c r="AI111" i="1"/>
  <c r="AJ111" i="1"/>
  <c r="AK111" i="1"/>
  <c r="AL111" i="1"/>
  <c r="AM111" i="1"/>
  <c r="AN111" i="1"/>
  <c r="AO111" i="1"/>
  <c r="V112" i="1"/>
  <c r="W112" i="1"/>
  <c r="X112" i="1"/>
  <c r="Y112" i="1"/>
  <c r="AA112" i="1"/>
  <c r="AC112" i="1"/>
  <c r="AD112" i="1"/>
  <c r="AE112" i="1"/>
  <c r="AF112" i="1"/>
  <c r="AG112" i="1"/>
  <c r="AH112" i="1"/>
  <c r="AI112" i="1"/>
  <c r="AJ112" i="1"/>
  <c r="AK112" i="1"/>
  <c r="AL112" i="1"/>
  <c r="AM112" i="1"/>
  <c r="AN112" i="1"/>
  <c r="AO112" i="1"/>
  <c r="V113" i="1"/>
  <c r="W113" i="1"/>
  <c r="X113" i="1"/>
  <c r="Y113" i="1"/>
  <c r="AA113" i="1"/>
  <c r="AC113" i="1"/>
  <c r="AD113" i="1"/>
  <c r="AE113" i="1"/>
  <c r="AF113" i="1"/>
  <c r="AG113" i="1"/>
  <c r="AH113" i="1"/>
  <c r="AI113" i="1"/>
  <c r="AJ113" i="1"/>
  <c r="AK113" i="1"/>
  <c r="AL113" i="1"/>
  <c r="AM113" i="1"/>
  <c r="AN113" i="1"/>
  <c r="AO113" i="1"/>
  <c r="V114" i="1"/>
  <c r="W114" i="1"/>
  <c r="X114" i="1"/>
  <c r="Y114" i="1"/>
  <c r="AA114" i="1"/>
  <c r="AC114" i="1"/>
  <c r="AD114" i="1"/>
  <c r="AE114" i="1"/>
  <c r="AF114" i="1"/>
  <c r="AG114" i="1"/>
  <c r="AH114" i="1"/>
  <c r="AI114" i="1"/>
  <c r="AJ114" i="1"/>
  <c r="AK114" i="1"/>
  <c r="AL114" i="1"/>
  <c r="AM114" i="1"/>
  <c r="AN114" i="1"/>
  <c r="AO114" i="1"/>
  <c r="V115" i="1"/>
  <c r="W115" i="1"/>
  <c r="X115" i="1"/>
  <c r="Y115" i="1"/>
  <c r="AA115" i="1"/>
  <c r="AC115" i="1"/>
  <c r="AD115" i="1"/>
  <c r="AE115" i="1"/>
  <c r="AF115" i="1"/>
  <c r="AG115" i="1"/>
  <c r="AH115" i="1"/>
  <c r="AI115" i="1"/>
  <c r="AJ115" i="1"/>
  <c r="AK115" i="1"/>
  <c r="AL115" i="1"/>
  <c r="AM115" i="1"/>
  <c r="AN115" i="1"/>
  <c r="AO115" i="1"/>
  <c r="V116" i="1"/>
  <c r="W116" i="1"/>
  <c r="X116" i="1"/>
  <c r="Y116" i="1"/>
  <c r="AA116" i="1"/>
  <c r="AC116" i="1"/>
  <c r="AD116" i="1"/>
  <c r="AE116" i="1"/>
  <c r="AF116" i="1"/>
  <c r="AG116" i="1"/>
  <c r="AH116" i="1"/>
  <c r="AI116" i="1"/>
  <c r="AJ116" i="1"/>
  <c r="AK116" i="1"/>
  <c r="AL116" i="1"/>
  <c r="AM116" i="1"/>
  <c r="AN116" i="1"/>
  <c r="AO116" i="1"/>
  <c r="V117" i="1"/>
  <c r="W117" i="1"/>
  <c r="X117" i="1"/>
  <c r="Y117" i="1"/>
  <c r="AA117" i="1"/>
  <c r="AC117" i="1"/>
  <c r="AD117" i="1"/>
  <c r="AE117" i="1"/>
  <c r="AF117" i="1"/>
  <c r="AG117" i="1"/>
  <c r="AH117" i="1"/>
  <c r="AI117" i="1"/>
  <c r="AJ117" i="1"/>
  <c r="AK117" i="1"/>
  <c r="AL117" i="1"/>
  <c r="AM117" i="1"/>
  <c r="AN117" i="1"/>
  <c r="AO117" i="1"/>
  <c r="V118" i="1"/>
  <c r="W118" i="1"/>
  <c r="X118" i="1"/>
  <c r="Y118" i="1"/>
  <c r="AA118" i="1"/>
  <c r="AC118" i="1"/>
  <c r="AD118" i="1"/>
  <c r="AE118" i="1"/>
  <c r="AF118" i="1"/>
  <c r="AG118" i="1"/>
  <c r="AH118" i="1"/>
  <c r="AI118" i="1"/>
  <c r="AJ118" i="1"/>
  <c r="AK118" i="1"/>
  <c r="AL118" i="1"/>
  <c r="AM118" i="1"/>
  <c r="AN118" i="1"/>
  <c r="AO118" i="1"/>
  <c r="V119" i="1"/>
  <c r="W119" i="1"/>
  <c r="X119" i="1"/>
  <c r="Y119" i="1"/>
  <c r="AA119" i="1"/>
  <c r="AC119" i="1"/>
  <c r="AD119" i="1"/>
  <c r="AE119" i="1"/>
  <c r="AF119" i="1"/>
  <c r="AG119" i="1"/>
  <c r="AH119" i="1"/>
  <c r="AI119" i="1"/>
  <c r="AJ119" i="1"/>
  <c r="AK119" i="1"/>
  <c r="AL119" i="1"/>
  <c r="AM119" i="1"/>
  <c r="AN119" i="1"/>
  <c r="AO119" i="1"/>
  <c r="V120" i="1"/>
  <c r="W120" i="1"/>
  <c r="X120" i="1"/>
  <c r="Y120" i="1"/>
  <c r="AA120" i="1"/>
  <c r="AC120" i="1"/>
  <c r="AD120" i="1"/>
  <c r="AE120" i="1"/>
  <c r="AF120" i="1"/>
  <c r="AG120" i="1"/>
  <c r="AH120" i="1"/>
  <c r="AI120" i="1"/>
  <c r="AJ120" i="1"/>
  <c r="AK120" i="1"/>
  <c r="AL120" i="1"/>
  <c r="AM120" i="1"/>
  <c r="AN120" i="1"/>
  <c r="AO120" i="1"/>
  <c r="V121" i="1"/>
  <c r="W121" i="1"/>
  <c r="X121" i="1"/>
  <c r="Y121" i="1"/>
  <c r="AA121" i="1"/>
  <c r="AC121" i="1"/>
  <c r="AD121" i="1"/>
  <c r="AE121" i="1"/>
  <c r="AF121" i="1"/>
  <c r="AG121" i="1"/>
  <c r="AH121" i="1"/>
  <c r="AI121" i="1"/>
  <c r="AJ121" i="1"/>
  <c r="AK121" i="1"/>
  <c r="AL121" i="1"/>
  <c r="AM121" i="1"/>
  <c r="AN121" i="1"/>
  <c r="AO121" i="1"/>
  <c r="V122" i="1"/>
  <c r="W122" i="1"/>
  <c r="X122" i="1"/>
  <c r="Y122" i="1"/>
  <c r="AA122" i="1"/>
  <c r="AC122" i="1"/>
  <c r="AD122" i="1"/>
  <c r="AE122" i="1"/>
  <c r="AF122" i="1"/>
  <c r="AG122" i="1"/>
  <c r="AH122" i="1"/>
  <c r="AI122" i="1"/>
  <c r="AJ122" i="1"/>
  <c r="AK122" i="1"/>
  <c r="AL122" i="1"/>
  <c r="AM122" i="1"/>
  <c r="AN122" i="1"/>
  <c r="AO122" i="1"/>
  <c r="V123" i="1"/>
  <c r="W123" i="1"/>
  <c r="X123" i="1"/>
  <c r="Y123" i="1"/>
  <c r="AA123" i="1"/>
  <c r="AC123" i="1"/>
  <c r="AD123" i="1"/>
  <c r="AE123" i="1"/>
  <c r="AF123" i="1"/>
  <c r="AG123" i="1"/>
  <c r="AH123" i="1"/>
  <c r="AI123" i="1"/>
  <c r="AJ123" i="1"/>
  <c r="AK123" i="1"/>
  <c r="AL123" i="1"/>
  <c r="AM123" i="1"/>
  <c r="AN123" i="1"/>
  <c r="AO123" i="1"/>
  <c r="V124" i="1"/>
  <c r="W124" i="1"/>
  <c r="X124" i="1"/>
  <c r="Y124" i="1"/>
  <c r="AA124" i="1"/>
  <c r="AC124" i="1"/>
  <c r="AD124" i="1"/>
  <c r="AE124" i="1"/>
  <c r="AF124" i="1"/>
  <c r="AG124" i="1"/>
  <c r="AH124" i="1"/>
  <c r="AI124" i="1"/>
  <c r="AJ124" i="1"/>
  <c r="AK124" i="1"/>
  <c r="AL124" i="1"/>
  <c r="AM124" i="1"/>
  <c r="AN124" i="1"/>
  <c r="AO124" i="1"/>
  <c r="V125" i="1"/>
  <c r="W125" i="1"/>
  <c r="X125" i="1"/>
  <c r="Y125" i="1"/>
  <c r="AA125" i="1"/>
  <c r="AC125" i="1"/>
  <c r="AD125" i="1"/>
  <c r="AE125" i="1"/>
  <c r="AF125" i="1"/>
  <c r="AG125" i="1"/>
  <c r="AH125" i="1"/>
  <c r="AI125" i="1"/>
  <c r="AJ125" i="1"/>
  <c r="AK125" i="1"/>
  <c r="AL125" i="1"/>
  <c r="AM125" i="1"/>
  <c r="AN125" i="1"/>
  <c r="AO125" i="1"/>
  <c r="V126" i="1"/>
  <c r="W126" i="1"/>
  <c r="X126" i="1"/>
  <c r="Y126" i="1"/>
  <c r="AA126" i="1"/>
  <c r="AB126" i="1"/>
  <c r="AC126" i="1"/>
  <c r="AD126" i="1"/>
  <c r="AE126" i="1"/>
  <c r="AF126" i="1"/>
  <c r="AG126" i="1"/>
  <c r="AH126" i="1"/>
  <c r="AI126" i="1"/>
  <c r="AJ126" i="1"/>
  <c r="AK126" i="1"/>
  <c r="AL126" i="1"/>
  <c r="AM126" i="1"/>
  <c r="AN126" i="1"/>
  <c r="AO126" i="1"/>
  <c r="V127" i="1"/>
  <c r="W127" i="1"/>
  <c r="X127" i="1"/>
  <c r="Y127" i="1"/>
  <c r="AA127" i="1"/>
  <c r="AC127" i="1"/>
  <c r="AD127" i="1"/>
  <c r="AE127" i="1"/>
  <c r="AF127" i="1"/>
  <c r="AG127" i="1"/>
  <c r="AH127" i="1"/>
  <c r="AI127" i="1"/>
  <c r="AJ127" i="1"/>
  <c r="AK127" i="1"/>
  <c r="AL127" i="1"/>
  <c r="AM127" i="1"/>
  <c r="AN127" i="1"/>
  <c r="AO127" i="1"/>
  <c r="V128" i="1"/>
  <c r="W128" i="1"/>
  <c r="X128" i="1"/>
  <c r="Y128" i="1"/>
  <c r="AA128" i="1"/>
  <c r="AC128" i="1"/>
  <c r="AD128" i="1"/>
  <c r="AE128" i="1"/>
  <c r="AF128" i="1"/>
  <c r="AG128" i="1"/>
  <c r="AH128" i="1"/>
  <c r="AI128" i="1"/>
  <c r="AJ128" i="1"/>
  <c r="AK128" i="1"/>
  <c r="AL128" i="1"/>
  <c r="AM128" i="1"/>
  <c r="AN128" i="1"/>
  <c r="AO128" i="1"/>
  <c r="V129" i="1"/>
  <c r="W129" i="1"/>
  <c r="X129" i="1"/>
  <c r="Y129" i="1"/>
  <c r="AA129" i="1"/>
  <c r="AC129" i="1"/>
  <c r="AD129" i="1"/>
  <c r="AE129" i="1"/>
  <c r="AF129" i="1"/>
  <c r="AG129" i="1"/>
  <c r="AH129" i="1"/>
  <c r="AI129" i="1"/>
  <c r="AJ129" i="1"/>
  <c r="AK129" i="1"/>
  <c r="AL129" i="1"/>
  <c r="AM129" i="1"/>
  <c r="AN129" i="1"/>
  <c r="AO129" i="1"/>
  <c r="V130" i="1"/>
  <c r="W130" i="1"/>
  <c r="X130" i="1"/>
  <c r="Y130" i="1"/>
  <c r="AA130" i="1"/>
  <c r="AC130" i="1"/>
  <c r="AD130" i="1"/>
  <c r="AE130" i="1"/>
  <c r="AF130" i="1"/>
  <c r="AG130" i="1"/>
  <c r="AH130" i="1"/>
  <c r="AI130" i="1"/>
  <c r="AJ130" i="1"/>
  <c r="AK130" i="1"/>
  <c r="AL130" i="1"/>
  <c r="AM130" i="1"/>
  <c r="AN130" i="1"/>
  <c r="AO130" i="1"/>
  <c r="V131" i="1"/>
  <c r="W131" i="1"/>
  <c r="X131" i="1"/>
  <c r="Y131" i="1"/>
  <c r="AA131" i="1"/>
  <c r="AC131" i="1"/>
  <c r="AD131" i="1"/>
  <c r="AE131" i="1"/>
  <c r="AF131" i="1"/>
  <c r="AG131" i="1"/>
  <c r="AH131" i="1"/>
  <c r="AI131" i="1"/>
  <c r="AJ131" i="1"/>
  <c r="AK131" i="1"/>
  <c r="AL131" i="1"/>
  <c r="AM131" i="1"/>
  <c r="AN131" i="1"/>
  <c r="AO131" i="1"/>
  <c r="V132" i="1"/>
  <c r="W132" i="1"/>
  <c r="X132" i="1"/>
  <c r="Y132" i="1"/>
  <c r="AA132" i="1"/>
  <c r="AC132" i="1"/>
  <c r="AD132" i="1"/>
  <c r="AE132" i="1"/>
  <c r="AF132" i="1"/>
  <c r="AG132" i="1"/>
  <c r="AH132" i="1"/>
  <c r="AI132" i="1"/>
  <c r="AJ132" i="1"/>
  <c r="AK132" i="1"/>
  <c r="AL132" i="1"/>
  <c r="AM132" i="1"/>
  <c r="AN132" i="1"/>
  <c r="AO132" i="1"/>
  <c r="V133" i="1"/>
  <c r="W133" i="1"/>
  <c r="X133" i="1"/>
  <c r="Y133" i="1"/>
  <c r="AA133" i="1"/>
  <c r="AC133" i="1"/>
  <c r="AD133" i="1"/>
  <c r="AE133" i="1"/>
  <c r="AF133" i="1"/>
  <c r="AG133" i="1"/>
  <c r="AH133" i="1"/>
  <c r="AI133" i="1"/>
  <c r="AJ133" i="1"/>
  <c r="AK133" i="1"/>
  <c r="AL133" i="1"/>
  <c r="AM133" i="1"/>
  <c r="AN133" i="1"/>
  <c r="AO133" i="1"/>
  <c r="V134" i="1"/>
  <c r="W134" i="1"/>
  <c r="X134" i="1"/>
  <c r="Y134" i="1"/>
  <c r="AA134" i="1"/>
  <c r="AC134" i="1"/>
  <c r="AD134" i="1"/>
  <c r="AE134" i="1"/>
  <c r="AF134" i="1"/>
  <c r="AG134" i="1"/>
  <c r="AH134" i="1"/>
  <c r="AI134" i="1"/>
  <c r="AJ134" i="1"/>
  <c r="AK134" i="1"/>
  <c r="AL134" i="1"/>
  <c r="AM134" i="1"/>
  <c r="AN134" i="1"/>
  <c r="AO134" i="1"/>
  <c r="V135" i="1"/>
  <c r="W135" i="1"/>
  <c r="X135" i="1"/>
  <c r="Y135" i="1"/>
  <c r="AA135" i="1"/>
  <c r="AC135" i="1"/>
  <c r="AD135" i="1"/>
  <c r="AE135" i="1"/>
  <c r="AF135" i="1"/>
  <c r="AG135" i="1"/>
  <c r="AH135" i="1"/>
  <c r="AI135" i="1"/>
  <c r="AJ135" i="1"/>
  <c r="AK135" i="1"/>
  <c r="AL135" i="1"/>
  <c r="AM135" i="1"/>
  <c r="AN135" i="1"/>
  <c r="AO135" i="1"/>
  <c r="V136" i="1"/>
  <c r="W136" i="1"/>
  <c r="X136" i="1"/>
  <c r="Y136" i="1"/>
  <c r="AA136" i="1"/>
  <c r="AC136" i="1"/>
  <c r="AD136" i="1"/>
  <c r="AE136" i="1"/>
  <c r="AF136" i="1"/>
  <c r="AG136" i="1"/>
  <c r="AH136" i="1"/>
  <c r="AI136" i="1"/>
  <c r="AJ136" i="1"/>
  <c r="AK136" i="1"/>
  <c r="AL136" i="1"/>
  <c r="AM136" i="1"/>
  <c r="AN136" i="1"/>
  <c r="AO136" i="1"/>
  <c r="V137" i="1"/>
  <c r="W137" i="1"/>
  <c r="X137" i="1"/>
  <c r="Y137" i="1"/>
  <c r="AA137" i="1"/>
  <c r="AC137" i="1"/>
  <c r="AD137" i="1"/>
  <c r="AE137" i="1"/>
  <c r="AF137" i="1"/>
  <c r="AG137" i="1"/>
  <c r="AH137" i="1"/>
  <c r="AI137" i="1"/>
  <c r="AJ137" i="1"/>
  <c r="AK137" i="1"/>
  <c r="AL137" i="1"/>
  <c r="AM137" i="1"/>
  <c r="AN137" i="1"/>
  <c r="AO137" i="1"/>
  <c r="V138" i="1"/>
  <c r="W138" i="1"/>
  <c r="X138" i="1"/>
  <c r="Y138" i="1"/>
  <c r="AA138" i="1"/>
  <c r="AC138" i="1"/>
  <c r="AD138" i="1"/>
  <c r="AE138" i="1"/>
  <c r="AF138" i="1"/>
  <c r="AG138" i="1"/>
  <c r="AH138" i="1"/>
  <c r="AI138" i="1"/>
  <c r="AJ138" i="1"/>
  <c r="AK138" i="1"/>
  <c r="AL138" i="1"/>
  <c r="AM138" i="1"/>
  <c r="AN138" i="1"/>
  <c r="AO138" i="1"/>
  <c r="V139" i="1"/>
  <c r="W139" i="1"/>
  <c r="X139" i="1"/>
  <c r="Y139" i="1"/>
  <c r="AA139" i="1"/>
  <c r="AC139" i="1"/>
  <c r="AD139" i="1"/>
  <c r="AE139" i="1"/>
  <c r="AF139" i="1"/>
  <c r="AG139" i="1"/>
  <c r="AH139" i="1"/>
  <c r="AI139" i="1"/>
  <c r="AJ139" i="1"/>
  <c r="AK139" i="1"/>
  <c r="AL139" i="1"/>
  <c r="AM139" i="1"/>
  <c r="AN139" i="1"/>
  <c r="AO139" i="1"/>
  <c r="V140" i="1"/>
  <c r="W140" i="1"/>
  <c r="X140" i="1"/>
  <c r="Y140" i="1"/>
  <c r="AA140" i="1"/>
  <c r="AC140" i="1"/>
  <c r="AD140" i="1"/>
  <c r="AE140" i="1"/>
  <c r="AF140" i="1"/>
  <c r="AG140" i="1"/>
  <c r="AH140" i="1"/>
  <c r="AI140" i="1"/>
  <c r="AJ140" i="1"/>
  <c r="AK140" i="1"/>
  <c r="AL140" i="1"/>
  <c r="AM140" i="1"/>
  <c r="AN140" i="1"/>
  <c r="AO140" i="1"/>
  <c r="V141" i="1"/>
  <c r="W141" i="1"/>
  <c r="X141" i="1"/>
  <c r="Y141" i="1"/>
  <c r="AA141" i="1"/>
  <c r="AC141" i="1"/>
  <c r="AD141" i="1"/>
  <c r="AE141" i="1"/>
  <c r="AF141" i="1"/>
  <c r="AG141" i="1"/>
  <c r="AH141" i="1"/>
  <c r="AI141" i="1"/>
  <c r="AJ141" i="1"/>
  <c r="AK141" i="1"/>
  <c r="AL141" i="1"/>
  <c r="AM141" i="1"/>
  <c r="AN141" i="1"/>
  <c r="AO141" i="1"/>
  <c r="V142" i="1"/>
  <c r="W142" i="1"/>
  <c r="X142" i="1"/>
  <c r="Y142" i="1"/>
  <c r="AA142" i="1"/>
  <c r="AC142" i="1"/>
  <c r="AD142" i="1"/>
  <c r="AE142" i="1"/>
  <c r="AF142" i="1"/>
  <c r="AG142" i="1"/>
  <c r="AH142" i="1"/>
  <c r="AI142" i="1"/>
  <c r="AJ142" i="1"/>
  <c r="AK142" i="1"/>
  <c r="AL142" i="1"/>
  <c r="AM142" i="1"/>
  <c r="AN142" i="1"/>
  <c r="AO142" i="1"/>
  <c r="V143" i="1"/>
  <c r="W143" i="1"/>
  <c r="X143" i="1"/>
  <c r="Y143" i="1"/>
  <c r="AA143" i="1"/>
  <c r="AC143" i="1"/>
  <c r="AD143" i="1"/>
  <c r="AE143" i="1"/>
  <c r="AF143" i="1"/>
  <c r="AG143" i="1"/>
  <c r="AH143" i="1"/>
  <c r="AI143" i="1"/>
  <c r="AJ143" i="1"/>
  <c r="AK143" i="1"/>
  <c r="AL143" i="1"/>
  <c r="AM143" i="1"/>
  <c r="AN143" i="1"/>
  <c r="AO143" i="1"/>
  <c r="V144" i="1"/>
  <c r="W144" i="1"/>
  <c r="X144" i="1"/>
  <c r="Y144" i="1"/>
  <c r="AA144" i="1"/>
  <c r="AC144" i="1"/>
  <c r="AD144" i="1"/>
  <c r="AE144" i="1"/>
  <c r="AF144" i="1"/>
  <c r="AG144" i="1"/>
  <c r="AH144" i="1"/>
  <c r="AI144" i="1"/>
  <c r="AJ144" i="1"/>
  <c r="AK144" i="1"/>
  <c r="AL144" i="1"/>
  <c r="AM144" i="1"/>
  <c r="AN144" i="1"/>
  <c r="AO144" i="1"/>
  <c r="V145" i="1"/>
  <c r="W145" i="1"/>
  <c r="X145" i="1"/>
  <c r="Y145" i="1"/>
  <c r="AA145" i="1"/>
  <c r="AC145" i="1"/>
  <c r="AD145" i="1"/>
  <c r="AE145" i="1"/>
  <c r="AF145" i="1"/>
  <c r="AG145" i="1"/>
  <c r="AH145" i="1"/>
  <c r="AI145" i="1"/>
  <c r="AJ145" i="1"/>
  <c r="AK145" i="1"/>
  <c r="AL145" i="1"/>
  <c r="AM145" i="1"/>
  <c r="AN145" i="1"/>
  <c r="AO145" i="1"/>
  <c r="V146" i="1"/>
  <c r="W146" i="1"/>
  <c r="X146" i="1"/>
  <c r="Y146" i="1"/>
  <c r="AA146" i="1"/>
  <c r="AC146" i="1"/>
  <c r="AD146" i="1"/>
  <c r="AE146" i="1"/>
  <c r="AF146" i="1"/>
  <c r="AG146" i="1"/>
  <c r="AH146" i="1"/>
  <c r="AI146" i="1"/>
  <c r="AJ146" i="1"/>
  <c r="AK146" i="1"/>
  <c r="AL146" i="1"/>
  <c r="AM146" i="1"/>
  <c r="AN146" i="1"/>
  <c r="AO146" i="1"/>
  <c r="V147" i="1"/>
  <c r="W147" i="1"/>
  <c r="X147" i="1"/>
  <c r="Y147" i="1"/>
  <c r="AA147" i="1"/>
  <c r="AC147" i="1"/>
  <c r="AD147" i="1"/>
  <c r="AE147" i="1"/>
  <c r="AF147" i="1"/>
  <c r="AG147" i="1"/>
  <c r="AH147" i="1"/>
  <c r="AI147" i="1"/>
  <c r="AJ147" i="1"/>
  <c r="AK147" i="1"/>
  <c r="AL147" i="1"/>
  <c r="AM147" i="1"/>
  <c r="AN147" i="1"/>
  <c r="AO147" i="1"/>
  <c r="V148" i="1"/>
  <c r="W148" i="1"/>
  <c r="X148" i="1"/>
  <c r="Y148" i="1"/>
  <c r="AA148" i="1"/>
  <c r="AC148" i="1"/>
  <c r="AD148" i="1"/>
  <c r="AE148" i="1"/>
  <c r="AF148" i="1"/>
  <c r="AG148" i="1"/>
  <c r="AH148" i="1"/>
  <c r="AI148" i="1"/>
  <c r="AJ148" i="1"/>
  <c r="AK148" i="1"/>
  <c r="AL148" i="1"/>
  <c r="AM148" i="1"/>
  <c r="AN148" i="1"/>
  <c r="AO148" i="1"/>
  <c r="V149" i="1"/>
  <c r="W149" i="1"/>
  <c r="X149" i="1"/>
  <c r="Y149" i="1"/>
  <c r="AA149" i="1"/>
  <c r="AC149" i="1"/>
  <c r="AD149" i="1"/>
  <c r="AE149" i="1"/>
  <c r="AF149" i="1"/>
  <c r="AG149" i="1"/>
  <c r="AH149" i="1"/>
  <c r="AI149" i="1"/>
  <c r="AJ149" i="1"/>
  <c r="AK149" i="1"/>
  <c r="AL149" i="1"/>
  <c r="AM149" i="1"/>
  <c r="AN149" i="1"/>
  <c r="AO149" i="1"/>
  <c r="V150" i="1"/>
  <c r="W150" i="1"/>
  <c r="X150" i="1"/>
  <c r="Y150" i="1"/>
  <c r="AA150" i="1"/>
  <c r="AC150" i="1"/>
  <c r="AD150" i="1"/>
  <c r="AE150" i="1"/>
  <c r="AF150" i="1"/>
  <c r="AG150" i="1"/>
  <c r="AH150" i="1"/>
  <c r="AI150" i="1"/>
  <c r="AJ150" i="1"/>
  <c r="AK150" i="1"/>
  <c r="AL150" i="1"/>
  <c r="AM150" i="1"/>
  <c r="AN150" i="1"/>
  <c r="AO150" i="1"/>
  <c r="V151" i="1"/>
  <c r="W151" i="1"/>
  <c r="X151" i="1"/>
  <c r="Y151" i="1"/>
  <c r="AA151" i="1"/>
  <c r="AC151" i="1"/>
  <c r="AD151" i="1"/>
  <c r="AE151" i="1"/>
  <c r="AF151" i="1"/>
  <c r="AG151" i="1"/>
  <c r="AH151" i="1"/>
  <c r="AI151" i="1"/>
  <c r="AJ151" i="1"/>
  <c r="AK151" i="1"/>
  <c r="AL151" i="1"/>
  <c r="AM151" i="1"/>
  <c r="AN151" i="1"/>
  <c r="AO151" i="1"/>
  <c r="V152" i="1"/>
  <c r="W152" i="1"/>
  <c r="X152" i="1"/>
  <c r="Y152" i="1"/>
  <c r="AA152" i="1"/>
  <c r="AC152" i="1"/>
  <c r="AD152" i="1"/>
  <c r="AE152" i="1"/>
  <c r="AF152" i="1"/>
  <c r="AG152" i="1"/>
  <c r="AH152" i="1"/>
  <c r="AI152" i="1"/>
  <c r="AJ152" i="1"/>
  <c r="AK152" i="1"/>
  <c r="AL152" i="1"/>
  <c r="AM152" i="1"/>
  <c r="AN152" i="1"/>
  <c r="AO152" i="1"/>
  <c r="V153" i="1"/>
  <c r="W153" i="1"/>
  <c r="X153" i="1"/>
  <c r="Y153" i="1"/>
  <c r="AA153" i="1"/>
  <c r="AC153" i="1"/>
  <c r="AD153" i="1"/>
  <c r="AE153" i="1"/>
  <c r="AF153" i="1"/>
  <c r="AG153" i="1"/>
  <c r="AH153" i="1"/>
  <c r="AI153" i="1"/>
  <c r="AJ153" i="1"/>
  <c r="AK153" i="1"/>
  <c r="AL153" i="1"/>
  <c r="AM153" i="1"/>
  <c r="AN153" i="1"/>
  <c r="AO153" i="1"/>
  <c r="V154" i="1"/>
  <c r="W154" i="1"/>
  <c r="X154" i="1"/>
  <c r="Y154" i="1"/>
  <c r="AA154" i="1"/>
  <c r="AC154" i="1"/>
  <c r="AD154" i="1"/>
  <c r="AE154" i="1"/>
  <c r="AF154" i="1"/>
  <c r="AG154" i="1"/>
  <c r="AH154" i="1"/>
  <c r="AI154" i="1"/>
  <c r="AJ154" i="1"/>
  <c r="AK154" i="1"/>
  <c r="AL154" i="1"/>
  <c r="AM154" i="1"/>
  <c r="AN154" i="1"/>
  <c r="AO154" i="1"/>
  <c r="V155" i="1"/>
  <c r="W155" i="1"/>
  <c r="X155" i="1"/>
  <c r="Y155" i="1"/>
  <c r="AA155" i="1"/>
  <c r="AC155" i="1"/>
  <c r="AD155" i="1"/>
  <c r="AE155" i="1"/>
  <c r="AF155" i="1"/>
  <c r="AG155" i="1"/>
  <c r="AH155" i="1"/>
  <c r="AI155" i="1"/>
  <c r="AJ155" i="1"/>
  <c r="AK155" i="1"/>
  <c r="AL155" i="1"/>
  <c r="AM155" i="1"/>
  <c r="AN155" i="1"/>
  <c r="AO155" i="1"/>
  <c r="V156" i="1"/>
  <c r="W156" i="1"/>
  <c r="X156" i="1"/>
  <c r="Y156" i="1"/>
  <c r="AA156" i="1"/>
  <c r="AC156" i="1"/>
  <c r="AD156" i="1"/>
  <c r="AE156" i="1"/>
  <c r="AF156" i="1"/>
  <c r="AG156" i="1"/>
  <c r="AH156" i="1"/>
  <c r="AI156" i="1"/>
  <c r="AJ156" i="1"/>
  <c r="AK156" i="1"/>
  <c r="AL156" i="1"/>
  <c r="AM156" i="1"/>
  <c r="AN156" i="1"/>
  <c r="AO156" i="1"/>
  <c r="V157" i="1"/>
  <c r="W157" i="1"/>
  <c r="X157" i="1"/>
  <c r="Y157" i="1"/>
  <c r="AA157" i="1"/>
  <c r="AC157" i="1"/>
  <c r="AD157" i="1"/>
  <c r="AE157" i="1"/>
  <c r="AF157" i="1"/>
  <c r="AG157" i="1"/>
  <c r="AH157" i="1"/>
  <c r="AI157" i="1"/>
  <c r="AJ157" i="1"/>
  <c r="AK157" i="1"/>
  <c r="AL157" i="1"/>
  <c r="AM157" i="1"/>
  <c r="AN157" i="1"/>
  <c r="AO157" i="1"/>
  <c r="V158" i="1"/>
  <c r="W158" i="1"/>
  <c r="X158" i="1"/>
  <c r="Y158" i="1"/>
  <c r="AA158" i="1"/>
  <c r="AC158" i="1"/>
  <c r="AD158" i="1"/>
  <c r="AE158" i="1"/>
  <c r="AF158" i="1"/>
  <c r="AG158" i="1"/>
  <c r="AH158" i="1"/>
  <c r="AI158" i="1"/>
  <c r="AJ158" i="1"/>
  <c r="AK158" i="1"/>
  <c r="AL158" i="1"/>
  <c r="AM158" i="1"/>
  <c r="AN158" i="1"/>
  <c r="AO158" i="1"/>
  <c r="V159" i="1"/>
  <c r="W159" i="1"/>
  <c r="X159" i="1"/>
  <c r="Y159" i="1"/>
  <c r="AA159" i="1"/>
  <c r="AC159" i="1"/>
  <c r="AD159" i="1"/>
  <c r="AE159" i="1"/>
  <c r="AF159" i="1"/>
  <c r="AG159" i="1"/>
  <c r="AH159" i="1"/>
  <c r="AI159" i="1"/>
  <c r="AJ159" i="1"/>
  <c r="AK159" i="1"/>
  <c r="AL159" i="1"/>
  <c r="AM159" i="1"/>
  <c r="AN159" i="1"/>
  <c r="AO159" i="1"/>
  <c r="V160" i="1"/>
  <c r="V87" i="1" s="1"/>
  <c r="W160" i="1"/>
  <c r="W87" i="1" s="1"/>
  <c r="X160" i="1"/>
  <c r="Y160" i="1"/>
  <c r="Y87" i="1" s="1"/>
  <c r="AA160" i="1"/>
  <c r="AA87" i="1" s="1"/>
  <c r="AC160" i="1"/>
  <c r="AC87" i="1" s="1"/>
  <c r="AD160" i="1"/>
  <c r="AD87" i="1" s="1"/>
  <c r="AE160" i="1"/>
  <c r="AF160" i="1"/>
  <c r="AG160" i="1"/>
  <c r="AH160" i="1"/>
  <c r="AI160" i="1"/>
  <c r="AJ160" i="1"/>
  <c r="AK160" i="1"/>
  <c r="AL160" i="1"/>
  <c r="X87" i="1" s="1"/>
  <c r="AM160" i="1"/>
  <c r="AN160" i="1"/>
  <c r="AO160" i="1"/>
  <c r="V161" i="1"/>
  <c r="V88" i="1" s="1"/>
  <c r="W161" i="1"/>
  <c r="W88" i="1" s="1"/>
  <c r="X161" i="1"/>
  <c r="Y161" i="1"/>
  <c r="Y88" i="1" s="1"/>
  <c r="AA161" i="1"/>
  <c r="AA88" i="1" s="1"/>
  <c r="AC161" i="1"/>
  <c r="AC88" i="1" s="1"/>
  <c r="AD161" i="1"/>
  <c r="AD88" i="1" s="1"/>
  <c r="AE161" i="1"/>
  <c r="AF161" i="1"/>
  <c r="AG161" i="1"/>
  <c r="AH161" i="1"/>
  <c r="AI161" i="1"/>
  <c r="AJ161" i="1"/>
  <c r="AK161" i="1"/>
  <c r="AL161" i="1"/>
  <c r="X88" i="1" s="1"/>
  <c r="AM161" i="1"/>
  <c r="AN161" i="1"/>
  <c r="AO161" i="1"/>
  <c r="V162" i="1"/>
  <c r="V89" i="1" s="1"/>
  <c r="W162" i="1"/>
  <c r="W89" i="1" s="1"/>
  <c r="X162" i="1"/>
  <c r="Y162" i="1"/>
  <c r="Y89" i="1" s="1"/>
  <c r="AA162" i="1"/>
  <c r="AA89" i="1" s="1"/>
  <c r="AB162" i="1"/>
  <c r="AB89" i="1" s="1"/>
  <c r="AC162" i="1"/>
  <c r="AC89" i="1" s="1"/>
  <c r="AD162" i="1"/>
  <c r="AD89" i="1" s="1"/>
  <c r="AE162" i="1"/>
  <c r="AF162" i="1"/>
  <c r="AG162" i="1"/>
  <c r="AH162" i="1"/>
  <c r="AI162" i="1"/>
  <c r="AJ162" i="1"/>
  <c r="AK162" i="1"/>
  <c r="AL162" i="1"/>
  <c r="X89" i="1" s="1"/>
  <c r="AM162" i="1"/>
  <c r="AN162" i="1"/>
  <c r="AO162" i="1"/>
  <c r="V163" i="1"/>
  <c r="V90" i="1" s="1"/>
  <c r="W163" i="1"/>
  <c r="W90" i="1" s="1"/>
  <c r="X163" i="1"/>
  <c r="Y163" i="1"/>
  <c r="Y90" i="1" s="1"/>
  <c r="AA163" i="1"/>
  <c r="AA90" i="1" s="1"/>
  <c r="AC163" i="1"/>
  <c r="AC90" i="1" s="1"/>
  <c r="AD163" i="1"/>
  <c r="AD90" i="1" s="1"/>
  <c r="AE163" i="1"/>
  <c r="AF163" i="1"/>
  <c r="AG163" i="1"/>
  <c r="AH163" i="1"/>
  <c r="AI163" i="1"/>
  <c r="AJ163" i="1"/>
  <c r="AK163" i="1"/>
  <c r="AL163" i="1"/>
  <c r="X90" i="1" s="1"/>
  <c r="AM163" i="1"/>
  <c r="AN163" i="1"/>
  <c r="AO163" i="1"/>
  <c r="V164" i="1"/>
  <c r="V91" i="1" s="1"/>
  <c r="W164" i="1"/>
  <c r="W91" i="1" s="1"/>
  <c r="X164" i="1"/>
  <c r="Y164" i="1"/>
  <c r="Y91" i="1" s="1"/>
  <c r="AA164" i="1"/>
  <c r="AA91" i="1" s="1"/>
  <c r="AC164" i="1"/>
  <c r="AC91" i="1" s="1"/>
  <c r="AD164" i="1"/>
  <c r="AD91" i="1" s="1"/>
  <c r="AE164" i="1"/>
  <c r="AF164" i="1"/>
  <c r="AG164" i="1"/>
  <c r="AH164" i="1"/>
  <c r="AI164" i="1"/>
  <c r="AJ164" i="1"/>
  <c r="AK164" i="1"/>
  <c r="AL164" i="1"/>
  <c r="X91" i="1" s="1"/>
  <c r="AM164" i="1"/>
  <c r="AN164" i="1"/>
  <c r="AO164" i="1"/>
  <c r="V165" i="1"/>
  <c r="V92" i="1" s="1"/>
  <c r="W165" i="1"/>
  <c r="W92" i="1" s="1"/>
  <c r="X165" i="1"/>
  <c r="Y165" i="1"/>
  <c r="Y92" i="1" s="1"/>
  <c r="AA165" i="1"/>
  <c r="AA92" i="1" s="1"/>
  <c r="AC165" i="1"/>
  <c r="AC92" i="1" s="1"/>
  <c r="AD165" i="1"/>
  <c r="AD92" i="1" s="1"/>
  <c r="AE165" i="1"/>
  <c r="AF165" i="1"/>
  <c r="AG165" i="1"/>
  <c r="AH165" i="1"/>
  <c r="AI165" i="1"/>
  <c r="AJ165" i="1"/>
  <c r="AK165" i="1"/>
  <c r="AL165" i="1"/>
  <c r="X92" i="1" s="1"/>
  <c r="AM165" i="1"/>
  <c r="AN165" i="1"/>
  <c r="AO165" i="1"/>
  <c r="V166" i="1"/>
  <c r="V93" i="1" s="1"/>
  <c r="W166" i="1"/>
  <c r="W93" i="1" s="1"/>
  <c r="X166" i="1"/>
  <c r="Y166" i="1"/>
  <c r="Y93" i="1" s="1"/>
  <c r="AA166" i="1"/>
  <c r="AA93" i="1" s="1"/>
  <c r="AC166" i="1"/>
  <c r="AC93" i="1" s="1"/>
  <c r="AD166" i="1"/>
  <c r="AD93" i="1" s="1"/>
  <c r="AE166" i="1"/>
  <c r="AF166" i="1"/>
  <c r="AG166" i="1"/>
  <c r="AH166" i="1"/>
  <c r="AI166" i="1"/>
  <c r="AJ166" i="1"/>
  <c r="AK166" i="1"/>
  <c r="AL166" i="1"/>
  <c r="X93" i="1" s="1"/>
  <c r="AM166" i="1"/>
  <c r="AN166" i="1"/>
  <c r="AO166" i="1"/>
  <c r="V167" i="1"/>
  <c r="V94" i="1" s="1"/>
  <c r="W167" i="1"/>
  <c r="W94" i="1" s="1"/>
  <c r="X167" i="1"/>
  <c r="Y167" i="1"/>
  <c r="Y94" i="1" s="1"/>
  <c r="AA167" i="1"/>
  <c r="AA94" i="1" s="1"/>
  <c r="AC167" i="1"/>
  <c r="AC94" i="1" s="1"/>
  <c r="AD167" i="1"/>
  <c r="AD94" i="1" s="1"/>
  <c r="AE167" i="1"/>
  <c r="AF167" i="1"/>
  <c r="AG167" i="1"/>
  <c r="AH167" i="1"/>
  <c r="AI167" i="1"/>
  <c r="AJ167" i="1"/>
  <c r="AK167" i="1"/>
  <c r="AL167" i="1"/>
  <c r="X94" i="1" s="1"/>
  <c r="AM167" i="1"/>
  <c r="AN167" i="1"/>
  <c r="AO167" i="1"/>
  <c r="V168" i="1"/>
  <c r="V95" i="1" s="1"/>
  <c r="W168" i="1"/>
  <c r="W95" i="1" s="1"/>
  <c r="X168" i="1"/>
  <c r="Y168" i="1"/>
  <c r="Y95" i="1" s="1"/>
  <c r="Z168" i="1"/>
  <c r="Z95" i="1" s="1"/>
  <c r="AA168" i="1"/>
  <c r="AA95" i="1" s="1"/>
  <c r="AC168" i="1"/>
  <c r="AC95" i="1" s="1"/>
  <c r="AD168" i="1"/>
  <c r="AD95" i="1" s="1"/>
  <c r="AE168" i="1"/>
  <c r="AF168" i="1"/>
  <c r="AG168" i="1"/>
  <c r="AH168" i="1"/>
  <c r="AI168" i="1"/>
  <c r="AJ168" i="1"/>
  <c r="AK168" i="1"/>
  <c r="AL168" i="1"/>
  <c r="X95" i="1" s="1"/>
  <c r="AM168" i="1"/>
  <c r="AN168" i="1"/>
  <c r="AO168" i="1"/>
  <c r="V169" i="1"/>
  <c r="W169" i="1"/>
  <c r="X169" i="1"/>
  <c r="Y169" i="1"/>
  <c r="AA169" i="1"/>
  <c r="AC169" i="1"/>
  <c r="AD169" i="1"/>
  <c r="AE169" i="1"/>
  <c r="AF169" i="1"/>
  <c r="AG169" i="1"/>
  <c r="AH169" i="1"/>
  <c r="AI169" i="1"/>
  <c r="AJ169" i="1"/>
  <c r="AK169" i="1"/>
  <c r="AL169" i="1"/>
  <c r="AM169" i="1"/>
  <c r="AN169" i="1"/>
  <c r="AO169" i="1"/>
  <c r="V170" i="1"/>
  <c r="W170" i="1"/>
  <c r="X170" i="1"/>
  <c r="Y170" i="1"/>
  <c r="AA170" i="1"/>
  <c r="AC170" i="1"/>
  <c r="AD170" i="1"/>
  <c r="AE170" i="1"/>
  <c r="AF170" i="1"/>
  <c r="AG170" i="1"/>
  <c r="AH170" i="1"/>
  <c r="AI170" i="1"/>
  <c r="AJ170" i="1"/>
  <c r="AK170" i="1"/>
  <c r="AL170" i="1"/>
  <c r="AM170" i="1"/>
  <c r="AN170" i="1"/>
  <c r="AO170" i="1"/>
  <c r="V171" i="1"/>
  <c r="W171" i="1"/>
  <c r="X171" i="1"/>
  <c r="Y171" i="1"/>
  <c r="AA171" i="1"/>
  <c r="AC171" i="1"/>
  <c r="AD171" i="1"/>
  <c r="AE171" i="1"/>
  <c r="AF171" i="1"/>
  <c r="AG171" i="1"/>
  <c r="AH171" i="1"/>
  <c r="AI171" i="1"/>
  <c r="AJ171" i="1"/>
  <c r="AK171" i="1"/>
  <c r="AL171" i="1"/>
  <c r="AM171" i="1"/>
  <c r="AN171" i="1"/>
  <c r="AO171" i="1"/>
  <c r="V172" i="1"/>
  <c r="W172" i="1"/>
  <c r="X172" i="1"/>
  <c r="Y172" i="1"/>
  <c r="AA172" i="1"/>
  <c r="AC172" i="1"/>
  <c r="AD172" i="1"/>
  <c r="AE172" i="1"/>
  <c r="AF172" i="1"/>
  <c r="AG172" i="1"/>
  <c r="AH172" i="1"/>
  <c r="AI172" i="1"/>
  <c r="AJ172" i="1"/>
  <c r="AK172" i="1"/>
  <c r="AL172" i="1"/>
  <c r="AM172" i="1"/>
  <c r="AN172" i="1"/>
  <c r="AO172" i="1"/>
  <c r="V173" i="1"/>
  <c r="W173" i="1"/>
  <c r="X173" i="1"/>
  <c r="Y173" i="1"/>
  <c r="AA173" i="1"/>
  <c r="AC173" i="1"/>
  <c r="AD173" i="1"/>
  <c r="AE173" i="1"/>
  <c r="AF173" i="1"/>
  <c r="AG173" i="1"/>
  <c r="AH173" i="1"/>
  <c r="AI173" i="1"/>
  <c r="AJ173" i="1"/>
  <c r="AK173" i="1"/>
  <c r="AL173" i="1"/>
  <c r="AM173" i="1"/>
  <c r="AN173" i="1"/>
  <c r="AO173" i="1"/>
  <c r="V174" i="1"/>
  <c r="W174" i="1"/>
  <c r="X174" i="1"/>
  <c r="Y174" i="1"/>
  <c r="AA174" i="1"/>
  <c r="AC174" i="1"/>
  <c r="AD174" i="1"/>
  <c r="AE174" i="1"/>
  <c r="AF174" i="1"/>
  <c r="AG174" i="1"/>
  <c r="AH174" i="1"/>
  <c r="AI174" i="1"/>
  <c r="AJ174" i="1"/>
  <c r="AK174" i="1"/>
  <c r="AL174" i="1"/>
  <c r="AM174" i="1"/>
  <c r="AN174" i="1"/>
  <c r="AO174" i="1"/>
  <c r="V175" i="1"/>
  <c r="W175" i="1"/>
  <c r="X175" i="1"/>
  <c r="Y175" i="1"/>
  <c r="AA175" i="1"/>
  <c r="AC175" i="1"/>
  <c r="AD175" i="1"/>
  <c r="AE175" i="1"/>
  <c r="AF175" i="1"/>
  <c r="AG175" i="1"/>
  <c r="AH175" i="1"/>
  <c r="AI175" i="1"/>
  <c r="AJ175" i="1"/>
  <c r="AK175" i="1"/>
  <c r="AL175" i="1"/>
  <c r="AM175" i="1"/>
  <c r="AN175" i="1"/>
  <c r="AO175" i="1"/>
  <c r="V176" i="1"/>
  <c r="W176" i="1"/>
  <c r="X176" i="1"/>
  <c r="Y176" i="1"/>
  <c r="AA176" i="1"/>
  <c r="AC176" i="1"/>
  <c r="AD176" i="1"/>
  <c r="AE176" i="1"/>
  <c r="AF176" i="1"/>
  <c r="AG176" i="1"/>
  <c r="AH176" i="1"/>
  <c r="AI176" i="1"/>
  <c r="AJ176" i="1"/>
  <c r="AK176" i="1"/>
  <c r="AL176" i="1"/>
  <c r="AM176" i="1"/>
  <c r="AN176" i="1"/>
  <c r="AO176" i="1"/>
  <c r="V177" i="1"/>
  <c r="W177" i="1"/>
  <c r="X177" i="1"/>
  <c r="Y177" i="1"/>
  <c r="AA177" i="1"/>
  <c r="AC177" i="1"/>
  <c r="AD177" i="1"/>
  <c r="AE177" i="1"/>
  <c r="AF177" i="1"/>
  <c r="AG177" i="1"/>
  <c r="AH177" i="1"/>
  <c r="AI177" i="1"/>
  <c r="AJ177" i="1"/>
  <c r="AK177" i="1"/>
  <c r="AL177" i="1"/>
  <c r="AM177" i="1"/>
  <c r="AN177" i="1"/>
  <c r="AO177" i="1"/>
  <c r="V178" i="1"/>
  <c r="W178" i="1"/>
  <c r="X178" i="1"/>
  <c r="Y178" i="1"/>
  <c r="AA178" i="1"/>
  <c r="AC178" i="1"/>
  <c r="AD178" i="1"/>
  <c r="AE178" i="1"/>
  <c r="AF178" i="1"/>
  <c r="AG178" i="1"/>
  <c r="AH178" i="1"/>
  <c r="AI178" i="1"/>
  <c r="AJ178" i="1"/>
  <c r="AK178" i="1"/>
  <c r="AL178" i="1"/>
  <c r="AM178" i="1"/>
  <c r="AN178" i="1"/>
  <c r="AO178" i="1"/>
  <c r="V179" i="1"/>
  <c r="W179" i="1"/>
  <c r="X179" i="1"/>
  <c r="Y179" i="1"/>
  <c r="AA179" i="1"/>
  <c r="AC179" i="1"/>
  <c r="AD179" i="1"/>
  <c r="AE179" i="1"/>
  <c r="AF179" i="1"/>
  <c r="AG179" i="1"/>
  <c r="AH179" i="1"/>
  <c r="AI179" i="1"/>
  <c r="AJ179" i="1"/>
  <c r="AK179" i="1"/>
  <c r="AL179" i="1"/>
  <c r="AM179" i="1"/>
  <c r="AN179" i="1"/>
  <c r="AO179" i="1"/>
  <c r="AB167" i="1"/>
  <c r="AB94" i="1" s="1"/>
  <c r="AB168" i="1"/>
  <c r="AB95" i="1" s="1"/>
  <c r="AB169" i="1"/>
  <c r="AB170" i="1"/>
  <c r="AB171" i="1"/>
  <c r="AB172" i="1"/>
  <c r="AB173" i="1"/>
  <c r="AB174" i="1"/>
  <c r="AB175" i="1"/>
  <c r="AB176" i="1"/>
  <c r="AB177" i="1"/>
  <c r="AB178" i="1"/>
  <c r="AB179"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87" i="1" s="1"/>
  <c r="AB161" i="1"/>
  <c r="AB88" i="1" s="1"/>
  <c r="AB163" i="1"/>
  <c r="AB90" i="1" s="1"/>
  <c r="AB164" i="1"/>
  <c r="AB91" i="1" s="1"/>
  <c r="AB165" i="1"/>
  <c r="AB92" i="1" s="1"/>
  <c r="AB166" i="1"/>
  <c r="AB93" i="1" s="1"/>
  <c r="Z167" i="1"/>
  <c r="Z94" i="1" s="1"/>
  <c r="Z169" i="1"/>
  <c r="Z170" i="1"/>
  <c r="Z171" i="1"/>
  <c r="Z172" i="1"/>
  <c r="Z173" i="1"/>
  <c r="Z174" i="1"/>
  <c r="Z175" i="1"/>
  <c r="Z176" i="1"/>
  <c r="Z177" i="1"/>
  <c r="Z178" i="1"/>
  <c r="Z179"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87" i="1" s="1"/>
  <c r="Z161" i="1"/>
  <c r="Z88" i="1" s="1"/>
  <c r="Z162" i="1"/>
  <c r="Z89" i="1" s="1"/>
  <c r="Z163" i="1"/>
  <c r="Z90" i="1" s="1"/>
  <c r="Z164" i="1"/>
  <c r="Z91" i="1" s="1"/>
  <c r="Z165" i="1"/>
  <c r="Z92" i="1" s="1"/>
  <c r="Z166" i="1"/>
  <c r="Z93" i="1" s="1"/>
  <c r="AE87" i="7" l="1"/>
  <c r="AE90" i="7"/>
  <c r="AE93" i="7"/>
  <c r="AE95" i="7"/>
  <c r="AE94" i="7"/>
  <c r="AE92" i="7"/>
  <c r="AE91" i="7"/>
  <c r="AE89" i="7"/>
  <c r="AE88" i="7"/>
  <c r="AE95" i="1"/>
  <c r="AE94" i="1"/>
  <c r="AQ58" i="7" l="1"/>
  <c r="Z82" i="7"/>
  <c r="Y82" i="7"/>
  <c r="X82" i="7"/>
  <c r="W82" i="7"/>
  <c r="V82" i="7"/>
  <c r="Z81" i="7"/>
  <c r="Y81" i="7"/>
  <c r="X81" i="7"/>
  <c r="W81" i="7"/>
  <c r="V81" i="7"/>
  <c r="Z80" i="7"/>
  <c r="Y80" i="7"/>
  <c r="X80" i="7"/>
  <c r="W80" i="7"/>
  <c r="V80" i="7"/>
  <c r="Z79" i="7"/>
  <c r="Y79" i="7"/>
  <c r="X79" i="7"/>
  <c r="W79" i="7"/>
  <c r="V79" i="7"/>
  <c r="Z78" i="7"/>
  <c r="Y78" i="7"/>
  <c r="X78" i="7"/>
  <c r="W78" i="7"/>
  <c r="V78" i="7"/>
  <c r="Z77" i="7"/>
  <c r="Y77" i="7"/>
  <c r="X77" i="7"/>
  <c r="W77" i="7"/>
  <c r="V77" i="7"/>
  <c r="Z76" i="7"/>
  <c r="Y76" i="7"/>
  <c r="X76" i="7"/>
  <c r="W76" i="7"/>
  <c r="V76" i="7"/>
  <c r="Z75" i="7"/>
  <c r="Y75" i="7"/>
  <c r="X75" i="7"/>
  <c r="W75" i="7"/>
  <c r="V75" i="7"/>
  <c r="Z74" i="7"/>
  <c r="Y74" i="7"/>
  <c r="X74" i="7"/>
  <c r="W74" i="7"/>
  <c r="V74" i="7"/>
  <c r="Z73" i="7"/>
  <c r="Y73" i="7"/>
  <c r="X73" i="7"/>
  <c r="W73" i="7"/>
  <c r="V73" i="7"/>
  <c r="Z68" i="7"/>
  <c r="Y68" i="7"/>
  <c r="X68" i="7"/>
  <c r="W68" i="7"/>
  <c r="V68" i="7"/>
  <c r="Z67" i="7"/>
  <c r="Y67" i="7"/>
  <c r="X67" i="7"/>
  <c r="W67" i="7"/>
  <c r="V67" i="7"/>
  <c r="Z66" i="7"/>
  <c r="Y66" i="7"/>
  <c r="X66" i="7"/>
  <c r="W66" i="7"/>
  <c r="V66" i="7"/>
  <c r="Z65" i="7"/>
  <c r="Y65" i="7"/>
  <c r="X65" i="7"/>
  <c r="W65" i="7"/>
  <c r="V65" i="7"/>
  <c r="Z64" i="7"/>
  <c r="Y64" i="7"/>
  <c r="X64" i="7"/>
  <c r="W64" i="7"/>
  <c r="V64" i="7"/>
  <c r="Z63" i="7"/>
  <c r="Y63" i="7"/>
  <c r="X63" i="7"/>
  <c r="W63" i="7"/>
  <c r="V63" i="7"/>
  <c r="Z62" i="7"/>
  <c r="Y62" i="7"/>
  <c r="X62" i="7"/>
  <c r="W62" i="7"/>
  <c r="V62" i="7"/>
  <c r="Z61" i="7"/>
  <c r="Y61" i="7"/>
  <c r="X61" i="7"/>
  <c r="W61" i="7"/>
  <c r="V61" i="7"/>
  <c r="Z60" i="7"/>
  <c r="Y60" i="7"/>
  <c r="X60" i="7"/>
  <c r="W60" i="7"/>
  <c r="V60" i="7"/>
  <c r="Z59" i="7"/>
  <c r="Y59" i="7"/>
  <c r="X59" i="7"/>
  <c r="W59" i="7"/>
  <c r="V59" i="7"/>
  <c r="Z58" i="7"/>
  <c r="Y58" i="7"/>
  <c r="X58" i="7"/>
  <c r="W58" i="7"/>
  <c r="V58" i="7"/>
  <c r="Z57" i="7"/>
  <c r="Y57" i="7"/>
  <c r="X57" i="7"/>
  <c r="W57" i="7"/>
  <c r="V57" i="7"/>
  <c r="Z56" i="7"/>
  <c r="Y56" i="7"/>
  <c r="X56" i="7"/>
  <c r="W56" i="7"/>
  <c r="V56" i="7"/>
  <c r="AP44" i="7"/>
  <c r="B94" i="7" s="1"/>
  <c r="AP43" i="7"/>
  <c r="B91" i="7" s="1"/>
  <c r="AP42" i="7"/>
  <c r="B88" i="7" s="1"/>
  <c r="AP41" i="7"/>
  <c r="B85" i="7" s="1"/>
  <c r="AP40" i="7"/>
  <c r="B82" i="7" s="1"/>
  <c r="B45" i="7"/>
  <c r="Q35" i="7"/>
  <c r="P35" i="7"/>
  <c r="J39" i="7"/>
  <c r="B38" i="7"/>
  <c r="AG31" i="7"/>
  <c r="B30" i="7"/>
  <c r="AQ27" i="7" s="1"/>
  <c r="B27" i="7"/>
  <c r="P25" i="7"/>
  <c r="I24" i="7" s="1"/>
  <c r="G24" i="7"/>
  <c r="E24" i="7"/>
  <c r="C24" i="7"/>
  <c r="AB23" i="7"/>
  <c r="AA23" i="7"/>
  <c r="Z23" i="7"/>
  <c r="Y23" i="7"/>
  <c r="I23" i="7"/>
  <c r="G23" i="7"/>
  <c r="E23" i="7"/>
  <c r="C23" i="7"/>
  <c r="AB22" i="7"/>
  <c r="AA22" i="7"/>
  <c r="Z22" i="7"/>
  <c r="Y22" i="7"/>
  <c r="I22" i="7"/>
  <c r="G22" i="7"/>
  <c r="E22" i="7"/>
  <c r="C22" i="7"/>
  <c r="I21" i="7"/>
  <c r="G21" i="7"/>
  <c r="E21" i="7"/>
  <c r="C21" i="7"/>
  <c r="AI20" i="7"/>
  <c r="I20" i="7"/>
  <c r="B69" i="7"/>
  <c r="AQ35" i="7" s="1"/>
  <c r="AI19" i="7"/>
  <c r="B66" i="7"/>
  <c r="AQ34" i="7" s="1"/>
  <c r="AI18" i="7"/>
  <c r="AI17" i="7"/>
  <c r="AI16" i="7"/>
  <c r="AI15" i="7"/>
  <c r="AI14" i="7"/>
  <c r="I14" i="7"/>
  <c r="B60" i="7"/>
  <c r="AQ32" i="7" s="1"/>
  <c r="AI13" i="7"/>
  <c r="B57" i="7"/>
  <c r="AQ31" i="7" s="1"/>
  <c r="AI12" i="7"/>
  <c r="AI11" i="7"/>
  <c r="AB11" i="7"/>
  <c r="AA11" i="7"/>
  <c r="Z11" i="7"/>
  <c r="Y11" i="7"/>
  <c r="AI10" i="7"/>
  <c r="AB10" i="7"/>
  <c r="AA10" i="7"/>
  <c r="Z10" i="7"/>
  <c r="Y10" i="7"/>
  <c r="AI9" i="7"/>
  <c r="AJ9" i="7" s="1"/>
  <c r="AB9" i="7"/>
  <c r="AA9" i="7"/>
  <c r="Z9" i="7"/>
  <c r="AC9" i="7" s="1"/>
  <c r="Y9" i="7"/>
  <c r="AQ8" i="7"/>
  <c r="B54" i="7" s="1"/>
  <c r="AQ30" i="7" s="1"/>
  <c r="AB8" i="7"/>
  <c r="AA8" i="7"/>
  <c r="Z8" i="7"/>
  <c r="AC8" i="7" s="1"/>
  <c r="Y8" i="7"/>
  <c r="AQ7" i="7"/>
  <c r="AQ6" i="7"/>
  <c r="O35" i="7" l="1"/>
  <c r="E18" i="7" s="1"/>
  <c r="D39" i="7"/>
  <c r="E46" i="7"/>
  <c r="E45" i="7"/>
  <c r="AJ12" i="7"/>
  <c r="AC30" i="7"/>
  <c r="O96" i="7" s="1"/>
  <c r="AJ15" i="7"/>
  <c r="AJ18" i="7"/>
  <c r="AC10" i="7"/>
  <c r="AD8" i="7" s="1"/>
  <c r="P24" i="7"/>
  <c r="G20" i="7" s="1"/>
  <c r="D38" i="7"/>
  <c r="I38" i="7" s="1"/>
  <c r="I39" i="7" s="1"/>
  <c r="E39" i="7"/>
  <c r="E38" i="7"/>
  <c r="AC22" i="7"/>
  <c r="V49" i="7"/>
  <c r="AC23" i="7"/>
  <c r="AD22" i="7" s="1"/>
  <c r="AB39" i="7" s="1"/>
  <c r="AC32" i="7" s="1"/>
  <c r="AC11" i="7"/>
  <c r="D46" i="7"/>
  <c r="B48" i="7"/>
  <c r="AQ28" i="7" s="1"/>
  <c r="B72" i="7"/>
  <c r="AQ36" i="7" s="1"/>
  <c r="B51" i="7"/>
  <c r="AQ29" i="7" s="1"/>
  <c r="B63" i="7"/>
  <c r="AQ33" i="7" s="1"/>
  <c r="D45" i="7" l="1"/>
  <c r="I46" i="7"/>
  <c r="I45" i="7" s="1"/>
  <c r="AL18" i="7"/>
  <c r="AK18" i="7" s="1"/>
  <c r="AV26" i="7" s="1"/>
  <c r="Q111" i="7" s="1"/>
  <c r="AB36" i="7"/>
  <c r="AC31" i="7" s="1"/>
  <c r="P96" i="7" s="1"/>
  <c r="Q96" i="7"/>
  <c r="AL15" i="7"/>
  <c r="AK15" i="7" s="1"/>
  <c r="AU26" i="7" s="1"/>
  <c r="P111" i="7" s="1"/>
  <c r="AL12" i="7"/>
  <c r="AK12" i="7" s="1"/>
  <c r="AL9" i="7"/>
  <c r="AK9" i="7" s="1"/>
  <c r="V47" i="7"/>
  <c r="V48" i="7" s="1"/>
  <c r="V51" i="7" s="1"/>
  <c r="J27" i="7" s="1"/>
  <c r="AU5" i="7"/>
  <c r="AS5" i="7"/>
  <c r="J28" i="7" l="1"/>
  <c r="D28" i="7" s="1"/>
  <c r="AS26" i="7"/>
  <c r="N111" i="7" s="1"/>
  <c r="AT26" i="7"/>
  <c r="O111" i="7" s="1"/>
  <c r="E27" i="7"/>
  <c r="AT5" i="7"/>
  <c r="AV6" i="7" s="1"/>
  <c r="AS6" i="7" s="1"/>
  <c r="D27" i="7"/>
  <c r="I27" i="7" s="1"/>
  <c r="I28" i="7" s="1"/>
  <c r="B40" i="1"/>
  <c r="AQ58" i="1"/>
  <c r="AV76" i="1"/>
  <c r="AV77" i="1"/>
  <c r="AV78" i="1"/>
  <c r="AV79" i="1"/>
  <c r="AV80" i="1"/>
  <c r="AV81" i="1"/>
  <c r="AV82" i="1"/>
  <c r="AV83" i="1"/>
  <c r="AV84" i="1"/>
  <c r="AV85" i="1"/>
  <c r="AV86" i="1"/>
  <c r="AV87" i="1"/>
  <c r="AV88" i="1"/>
  <c r="AV89" i="1"/>
  <c r="AV90" i="1"/>
  <c r="AV91" i="1"/>
  <c r="AV92" i="1"/>
  <c r="AV93" i="1"/>
  <c r="AV94" i="1"/>
  <c r="AV95" i="1"/>
  <c r="AV56" i="1"/>
  <c r="AV57" i="1"/>
  <c r="AV58" i="1"/>
  <c r="AV59" i="1"/>
  <c r="AV60" i="1"/>
  <c r="AV61" i="1"/>
  <c r="AV62" i="1"/>
  <c r="AV63" i="1"/>
  <c r="AV64" i="1"/>
  <c r="AV65" i="1"/>
  <c r="AV66" i="1"/>
  <c r="AV67" i="1"/>
  <c r="AV68" i="1"/>
  <c r="AV69" i="1"/>
  <c r="AV70" i="1"/>
  <c r="AV71" i="1"/>
  <c r="AV72" i="1"/>
  <c r="AV73" i="1"/>
  <c r="AV74" i="1"/>
  <c r="AV75" i="1"/>
  <c r="AV52" i="1"/>
  <c r="AV53" i="1"/>
  <c r="AV54" i="1"/>
  <c r="AV55" i="1"/>
  <c r="AV51" i="1"/>
  <c r="X28" i="1"/>
  <c r="E28" i="7" l="1"/>
  <c r="AQ59" i="1"/>
  <c r="E40" i="1" s="1"/>
  <c r="W100" i="1"/>
  <c r="X100" i="1"/>
  <c r="Y100" i="1"/>
  <c r="AA100" i="1"/>
  <c r="AC100" i="1"/>
  <c r="AD100" i="1"/>
  <c r="AE100" i="1"/>
  <c r="AF100" i="1"/>
  <c r="AG100" i="1"/>
  <c r="AH100" i="1"/>
  <c r="AI100" i="1"/>
  <c r="AJ100" i="1"/>
  <c r="AK100" i="1"/>
  <c r="AL100" i="1"/>
  <c r="AM100" i="1"/>
  <c r="AN100" i="1"/>
  <c r="AO100" i="1"/>
  <c r="V100" i="1"/>
  <c r="V74" i="1"/>
  <c r="W74" i="1"/>
  <c r="X74" i="1"/>
  <c r="Y74" i="1"/>
  <c r="Z74" i="1"/>
  <c r="V75" i="1"/>
  <c r="W75" i="1"/>
  <c r="X75" i="1"/>
  <c r="Y75" i="1"/>
  <c r="Z75" i="1"/>
  <c r="V76" i="1"/>
  <c r="W76" i="1"/>
  <c r="X76" i="1"/>
  <c r="Y76" i="1"/>
  <c r="Z76" i="1"/>
  <c r="V77" i="1"/>
  <c r="W77" i="1"/>
  <c r="X77" i="1"/>
  <c r="Y77" i="1"/>
  <c r="Z77" i="1"/>
  <c r="V78" i="1"/>
  <c r="W78" i="1"/>
  <c r="X78" i="1"/>
  <c r="Y78" i="1"/>
  <c r="Z78" i="1"/>
  <c r="V79" i="1"/>
  <c r="W79" i="1"/>
  <c r="X79" i="1"/>
  <c r="Y79" i="1"/>
  <c r="Z79" i="1"/>
  <c r="V80" i="1"/>
  <c r="W80" i="1"/>
  <c r="X80" i="1"/>
  <c r="Y80" i="1"/>
  <c r="Z80" i="1"/>
  <c r="V81" i="1"/>
  <c r="W81" i="1"/>
  <c r="X81" i="1"/>
  <c r="Y81" i="1"/>
  <c r="Z81" i="1"/>
  <c r="V82" i="1"/>
  <c r="W82" i="1"/>
  <c r="X82" i="1"/>
  <c r="Y82" i="1"/>
  <c r="Z82" i="1"/>
  <c r="W73" i="1"/>
  <c r="X73" i="1"/>
  <c r="Y73" i="1"/>
  <c r="Z73" i="1"/>
  <c r="V73" i="1"/>
  <c r="V57" i="1"/>
  <c r="W57" i="1"/>
  <c r="X57" i="1"/>
  <c r="Y57" i="1"/>
  <c r="Z57" i="1"/>
  <c r="V58" i="1"/>
  <c r="W58" i="1"/>
  <c r="X58" i="1"/>
  <c r="Y58" i="1"/>
  <c r="Z58" i="1"/>
  <c r="V59" i="1"/>
  <c r="W59" i="1"/>
  <c r="X59" i="1"/>
  <c r="Y59" i="1"/>
  <c r="Z59" i="1"/>
  <c r="V60" i="1"/>
  <c r="W60" i="1"/>
  <c r="X60" i="1"/>
  <c r="Y60" i="1"/>
  <c r="Z60" i="1"/>
  <c r="V61" i="1"/>
  <c r="W61" i="1"/>
  <c r="X61" i="1"/>
  <c r="Y61" i="1"/>
  <c r="Z61" i="1"/>
  <c r="V62" i="1"/>
  <c r="W62" i="1"/>
  <c r="X62" i="1"/>
  <c r="Y62" i="1"/>
  <c r="Z62" i="1"/>
  <c r="V63" i="1"/>
  <c r="W63" i="1"/>
  <c r="X63" i="1"/>
  <c r="Y63" i="1"/>
  <c r="Z63" i="1"/>
  <c r="V64" i="1"/>
  <c r="W64" i="1"/>
  <c r="X64" i="1"/>
  <c r="Y64" i="1"/>
  <c r="Z64" i="1"/>
  <c r="V65" i="1"/>
  <c r="W65" i="1"/>
  <c r="X65" i="1"/>
  <c r="Y65" i="1"/>
  <c r="Z65" i="1"/>
  <c r="V66" i="1"/>
  <c r="W66" i="1"/>
  <c r="X66" i="1"/>
  <c r="Y66" i="1"/>
  <c r="Z66" i="1"/>
  <c r="V67" i="1"/>
  <c r="W67" i="1"/>
  <c r="X67" i="1"/>
  <c r="Y67" i="1"/>
  <c r="Z67" i="1"/>
  <c r="V68" i="1"/>
  <c r="W68" i="1"/>
  <c r="X68" i="1"/>
  <c r="Y68" i="1"/>
  <c r="Z68" i="1"/>
  <c r="W56" i="1"/>
  <c r="X56" i="1"/>
  <c r="Y56" i="1"/>
  <c r="Z56" i="1"/>
  <c r="V56" i="1"/>
  <c r="H99" i="6"/>
  <c r="H98" i="6"/>
  <c r="H97" i="6"/>
  <c r="H96" i="6"/>
  <c r="H95" i="6"/>
  <c r="H94" i="6"/>
  <c r="H93" i="6"/>
  <c r="H92" i="6"/>
  <c r="H91" i="6"/>
  <c r="H90" i="6"/>
  <c r="H89" i="6"/>
  <c r="H88" i="6"/>
  <c r="H87" i="6"/>
  <c r="AA66" i="26" l="1"/>
  <c r="AA66" i="27"/>
  <c r="AA66" i="13"/>
  <c r="AA66" i="16"/>
  <c r="AA66" i="24"/>
  <c r="AA66" i="23"/>
  <c r="AA66" i="18"/>
  <c r="AA66" i="20"/>
  <c r="AA66" i="25"/>
  <c r="AA66" i="22"/>
  <c r="AA66" i="21"/>
  <c r="AA66" i="15"/>
  <c r="AA66" i="11"/>
  <c r="AA66" i="12"/>
  <c r="AA66" i="17"/>
  <c r="AA66" i="19"/>
  <c r="AA66" i="14"/>
  <c r="AA67" i="7"/>
  <c r="AA67" i="10"/>
  <c r="AA67" i="8"/>
  <c r="AA56" i="10"/>
  <c r="AA56" i="8"/>
  <c r="AA68" i="7"/>
  <c r="AA68" i="10"/>
  <c r="AA68" i="8"/>
  <c r="AA57" i="7"/>
  <c r="AA57" i="10"/>
  <c r="AA57" i="8"/>
  <c r="AA61" i="7"/>
  <c r="AA61" i="10"/>
  <c r="AA61" i="8"/>
  <c r="AA65" i="7"/>
  <c r="AA65" i="10"/>
  <c r="AA65" i="8"/>
  <c r="AA59" i="7"/>
  <c r="AA59" i="10"/>
  <c r="AA59" i="8"/>
  <c r="AA63" i="7"/>
  <c r="AA63" i="10"/>
  <c r="AA63" i="8"/>
  <c r="AA60" i="7"/>
  <c r="AA60" i="10"/>
  <c r="AA60" i="8"/>
  <c r="AA64" i="7"/>
  <c r="AA64" i="10"/>
  <c r="AA64" i="8"/>
  <c r="AA58" i="7"/>
  <c r="AA58" i="10"/>
  <c r="AA58" i="8"/>
  <c r="AA62" i="7"/>
  <c r="AA62" i="10"/>
  <c r="AA62" i="8"/>
  <c r="AA66" i="7"/>
  <c r="AA66" i="10"/>
  <c r="AA66" i="8"/>
  <c r="D40" i="1"/>
  <c r="AA68" i="1"/>
  <c r="AA67" i="1"/>
  <c r="AA66" i="1"/>
  <c r="AA65" i="1"/>
  <c r="AA64" i="1"/>
  <c r="AA63" i="1"/>
  <c r="AA62" i="1"/>
  <c r="AA61" i="1"/>
  <c r="AA60" i="1"/>
  <c r="AA59" i="1"/>
  <c r="AA58" i="1"/>
  <c r="AA57" i="1"/>
  <c r="AA56" i="7"/>
  <c r="AA56" i="1"/>
  <c r="Z100" i="1"/>
  <c r="AB100" i="1"/>
  <c r="AU6" i="7"/>
  <c r="J44" i="7"/>
  <c r="E48" i="7" s="1"/>
  <c r="AT6" i="7"/>
  <c r="AV7" i="7"/>
  <c r="AV8" i="7"/>
  <c r="AQ20" i="1"/>
  <c r="AQ19" i="1"/>
  <c r="AQ18" i="1"/>
  <c r="AQ14" i="1"/>
  <c r="AQ13" i="1"/>
  <c r="AQ12" i="1"/>
  <c r="AQ8" i="1"/>
  <c r="AQ7" i="1"/>
  <c r="AQ6" i="1"/>
  <c r="E49" i="7" l="1"/>
  <c r="V50" i="7"/>
  <c r="Z46" i="7"/>
  <c r="AU8" i="7"/>
  <c r="AS8" i="7"/>
  <c r="AT8" i="7"/>
  <c r="J46" i="7"/>
  <c r="J45" i="7"/>
  <c r="E51" i="7" s="1"/>
  <c r="AU7" i="7"/>
  <c r="AT7" i="7"/>
  <c r="AS7" i="7"/>
  <c r="D49" i="7"/>
  <c r="I49" i="7" s="1"/>
  <c r="I18" i="1"/>
  <c r="E55" i="7" l="1"/>
  <c r="E54" i="7"/>
  <c r="E52" i="7"/>
  <c r="I48" i="7"/>
  <c r="D48" i="7"/>
  <c r="Z47" i="7"/>
  <c r="Z48" i="7" s="1"/>
  <c r="Z49" i="7" s="1"/>
  <c r="J30" i="7" s="1"/>
  <c r="AS9" i="7"/>
  <c r="AS11" i="7" s="1"/>
  <c r="AT9" i="7"/>
  <c r="AT11" i="7" s="1"/>
  <c r="AU9" i="7"/>
  <c r="D52" i="7"/>
  <c r="D55" i="7"/>
  <c r="B35" i="1"/>
  <c r="B27" i="1"/>
  <c r="B29" i="1"/>
  <c r="AQ27" i="1" s="1"/>
  <c r="V49" i="1"/>
  <c r="X30" i="1"/>
  <c r="X29" i="1"/>
  <c r="I55" i="7" l="1"/>
  <c r="I54" i="7" s="1"/>
  <c r="D54" i="7"/>
  <c r="I52" i="7"/>
  <c r="I51" i="7" s="1"/>
  <c r="D51" i="7"/>
  <c r="J31" i="7"/>
  <c r="D31" i="7" s="1"/>
  <c r="AT27" i="7"/>
  <c r="AV27" i="7"/>
  <c r="AU27" i="7"/>
  <c r="D30" i="7"/>
  <c r="I30" i="7" s="1"/>
  <c r="I31" i="7" s="1"/>
  <c r="AS27" i="7"/>
  <c r="E30" i="7"/>
  <c r="AU11" i="7"/>
  <c r="AV12" i="7" s="1"/>
  <c r="AB23" i="1"/>
  <c r="AB22" i="1"/>
  <c r="AA23" i="1"/>
  <c r="AA22" i="1"/>
  <c r="Z23" i="1"/>
  <c r="Z22" i="1"/>
  <c r="E31" i="7" l="1"/>
  <c r="AV14" i="7"/>
  <c r="J49" i="7" s="1"/>
  <c r="E63" i="7" s="1"/>
  <c r="AV13" i="7"/>
  <c r="AU13" i="7" s="1"/>
  <c r="AU12" i="7"/>
  <c r="AS12" i="7"/>
  <c r="AT12" i="7"/>
  <c r="J47" i="7"/>
  <c r="E57" i="7" s="1"/>
  <c r="J34" i="1"/>
  <c r="E35" i="1" s="1"/>
  <c r="E64" i="7" l="1"/>
  <c r="J48" i="7"/>
  <c r="AS13" i="7"/>
  <c r="AU31" i="7"/>
  <c r="AV31" i="7"/>
  <c r="AT13" i="7"/>
  <c r="E58" i="7"/>
  <c r="AU14" i="7"/>
  <c r="AU15" i="7" s="1"/>
  <c r="AU17" i="7" s="1"/>
  <c r="AT14" i="7"/>
  <c r="D64" i="7"/>
  <c r="AS14" i="7"/>
  <c r="D58" i="7"/>
  <c r="AS31" i="7"/>
  <c r="AT31" i="7"/>
  <c r="P25" i="1"/>
  <c r="P24" i="1" s="1"/>
  <c r="V47" i="1" s="1"/>
  <c r="E61" i="7" l="1"/>
  <c r="E60" i="7"/>
  <c r="I64" i="7"/>
  <c r="I63" i="7" s="1"/>
  <c r="D63" i="7"/>
  <c r="D57" i="7"/>
  <c r="I58" i="7"/>
  <c r="I57" i="7" s="1"/>
  <c r="AU28" i="7"/>
  <c r="AV28" i="7"/>
  <c r="AT28" i="7"/>
  <c r="AS28" i="7"/>
  <c r="AV30" i="7"/>
  <c r="AU30" i="7"/>
  <c r="AS30" i="7"/>
  <c r="AT30" i="7"/>
  <c r="D61" i="7"/>
  <c r="AS15" i="7"/>
  <c r="AS17" i="7" s="1"/>
  <c r="AV20" i="7" s="1"/>
  <c r="AT20" i="7" s="1"/>
  <c r="AT15" i="7"/>
  <c r="AT17" i="7" s="1"/>
  <c r="Q35" i="1"/>
  <c r="P35" i="1"/>
  <c r="D60" i="7" l="1"/>
  <c r="I61" i="7"/>
  <c r="I60" i="7" s="1"/>
  <c r="E18" i="1"/>
  <c r="AV19" i="7"/>
  <c r="AT19" i="7" s="1"/>
  <c r="AV18" i="7"/>
  <c r="AT18" i="7" s="1"/>
  <c r="AU20" i="7"/>
  <c r="AS20" i="7"/>
  <c r="J52" i="7"/>
  <c r="AG31" i="1"/>
  <c r="E73" i="7" l="1"/>
  <c r="E72" i="7"/>
  <c r="AT21" i="7"/>
  <c r="P97" i="7" s="1"/>
  <c r="AS19" i="7"/>
  <c r="J51" i="7"/>
  <c r="AU19" i="7"/>
  <c r="J50" i="7"/>
  <c r="AU18" i="7"/>
  <c r="AS18" i="7"/>
  <c r="D73" i="7"/>
  <c r="AU34" i="7"/>
  <c r="AV34" i="7"/>
  <c r="AS35" i="7"/>
  <c r="AT34" i="7"/>
  <c r="AS33" i="7"/>
  <c r="AV36" i="7"/>
  <c r="AS36" i="7"/>
  <c r="AV35" i="7"/>
  <c r="AT35" i="7"/>
  <c r="AU33" i="7"/>
  <c r="AU36" i="7"/>
  <c r="AV33" i="7"/>
  <c r="AT33" i="7"/>
  <c r="AU35" i="7"/>
  <c r="AS34" i="7"/>
  <c r="AT36" i="7"/>
  <c r="AP41" i="1"/>
  <c r="AP42" i="1"/>
  <c r="AP43" i="1"/>
  <c r="AP44" i="1"/>
  <c r="AP40" i="1"/>
  <c r="E69" i="7" l="1"/>
  <c r="D70" i="7"/>
  <c r="D67" i="7"/>
  <c r="D66" i="7" s="1"/>
  <c r="E66" i="7"/>
  <c r="D72" i="7"/>
  <c r="I73" i="7"/>
  <c r="I72" i="7" s="1"/>
  <c r="I67" i="7"/>
  <c r="I66" i="7" s="1"/>
  <c r="E70" i="7"/>
  <c r="AS29" i="7"/>
  <c r="AT29" i="7"/>
  <c r="AV29" i="7"/>
  <c r="AU29" i="7"/>
  <c r="AU32" i="7"/>
  <c r="AS32" i="7"/>
  <c r="AS24" i="7" s="1"/>
  <c r="AS37" i="7" s="1"/>
  <c r="AV32" i="7"/>
  <c r="AV24" i="7" s="1"/>
  <c r="AV37" i="7" s="1"/>
  <c r="AT32" i="7"/>
  <c r="E67" i="7"/>
  <c r="AU21" i="7"/>
  <c r="Q97" i="7" s="1"/>
  <c r="AS21" i="7"/>
  <c r="O97" i="7" s="1"/>
  <c r="B59" i="1"/>
  <c r="B55" i="1"/>
  <c r="B58" i="1"/>
  <c r="B57" i="1"/>
  <c r="B56" i="1"/>
  <c r="B48" i="1"/>
  <c r="AQ35" i="1" s="1"/>
  <c r="B49" i="1"/>
  <c r="AQ36" i="1" s="1"/>
  <c r="B47" i="1"/>
  <c r="AQ34" i="1" s="1"/>
  <c r="B46" i="1"/>
  <c r="AQ33" i="1" s="1"/>
  <c r="B42" i="1"/>
  <c r="AQ29" i="1" s="1"/>
  <c r="B43" i="1"/>
  <c r="AQ30" i="1" s="1"/>
  <c r="AU24" i="7" l="1"/>
  <c r="AU37" i="7" s="1"/>
  <c r="AT40" i="7" s="1"/>
  <c r="AT24" i="7"/>
  <c r="AT37" i="7" s="1"/>
  <c r="I70" i="7"/>
  <c r="I69" i="7" s="1"/>
  <c r="D69" i="7"/>
  <c r="AT41" i="7"/>
  <c r="AT43" i="7"/>
  <c r="AT44" i="7"/>
  <c r="AT42" i="7"/>
  <c r="AU42" i="7"/>
  <c r="AU40" i="7"/>
  <c r="AU44" i="7"/>
  <c r="AU43" i="7"/>
  <c r="AU41" i="7"/>
  <c r="AR40" i="7"/>
  <c r="AR43" i="7"/>
  <c r="AR41" i="7"/>
  <c r="AR42" i="7"/>
  <c r="AR44" i="7"/>
  <c r="AS43" i="7"/>
  <c r="AS42" i="7"/>
  <c r="AS44" i="7"/>
  <c r="AS40" i="7"/>
  <c r="AS41" i="7"/>
  <c r="B45" i="1"/>
  <c r="AQ32" i="1" s="1"/>
  <c r="AV44" i="7" l="1"/>
  <c r="D95" i="7" s="1"/>
  <c r="AV43" i="7"/>
  <c r="AV41" i="7"/>
  <c r="E85" i="7" s="1"/>
  <c r="AV40" i="7"/>
  <c r="E82" i="7" s="1"/>
  <c r="AV42" i="7"/>
  <c r="E88" i="7" s="1"/>
  <c r="B41" i="1"/>
  <c r="AQ28" i="1" s="1"/>
  <c r="B44" i="1"/>
  <c r="AQ31" i="1" s="1"/>
  <c r="I95" i="7" l="1"/>
  <c r="D94" i="7"/>
  <c r="E95" i="7"/>
  <c r="E94" i="7"/>
  <c r="AX43" i="7"/>
  <c r="E91" i="7"/>
  <c r="AW44" i="7"/>
  <c r="AZ44" i="7"/>
  <c r="AX44" i="7"/>
  <c r="AY44" i="7"/>
  <c r="AW43" i="7"/>
  <c r="AZ43" i="7"/>
  <c r="AY43" i="7"/>
  <c r="E92" i="7"/>
  <c r="D92" i="7"/>
  <c r="E89" i="7"/>
  <c r="D89" i="7"/>
  <c r="D88" i="7" s="1"/>
  <c r="AW42" i="7"/>
  <c r="AZ42" i="7"/>
  <c r="AX42" i="7"/>
  <c r="AY42" i="7"/>
  <c r="E83" i="7"/>
  <c r="AW40" i="7"/>
  <c r="AY40" i="7"/>
  <c r="D83" i="7"/>
  <c r="D82" i="7" s="1"/>
  <c r="AZ40" i="7"/>
  <c r="AX40" i="7"/>
  <c r="E86" i="7"/>
  <c r="AW41" i="7"/>
  <c r="AY41" i="7"/>
  <c r="D86" i="7"/>
  <c r="D85" i="7" s="1"/>
  <c r="AZ41" i="7"/>
  <c r="AX41" i="7"/>
  <c r="AI20" i="1"/>
  <c r="AI19" i="1"/>
  <c r="AI18" i="1"/>
  <c r="AI17" i="1"/>
  <c r="AI16" i="1"/>
  <c r="AI15" i="1"/>
  <c r="AI14" i="1"/>
  <c r="AI13" i="1"/>
  <c r="AI12" i="1"/>
  <c r="AI10" i="1"/>
  <c r="AI11" i="1"/>
  <c r="AB8" i="1"/>
  <c r="AI9" i="1"/>
  <c r="AJ9" i="1" s="1"/>
  <c r="Z8" i="1"/>
  <c r="I92" i="7" l="1"/>
  <c r="I91" i="7" s="1"/>
  <c r="D91" i="7"/>
  <c r="I86" i="7"/>
  <c r="I94" i="7"/>
  <c r="I83" i="7"/>
  <c r="I82" i="7" s="1"/>
  <c r="I89" i="7"/>
  <c r="I88" i="7" s="1"/>
  <c r="AZ45" i="7"/>
  <c r="Q112" i="7" s="1"/>
  <c r="AX45" i="7"/>
  <c r="O112" i="7" s="1"/>
  <c r="AY45" i="7"/>
  <c r="P112" i="7" s="1"/>
  <c r="AW45" i="7"/>
  <c r="N112" i="7" s="1"/>
  <c r="AJ12" i="1"/>
  <c r="AJ15" i="1"/>
  <c r="AJ18" i="1"/>
  <c r="V50" i="1"/>
  <c r="AE87" i="1"/>
  <c r="AE88" i="1"/>
  <c r="AE89" i="1"/>
  <c r="AE90" i="1"/>
  <c r="AE91" i="1"/>
  <c r="AE92" i="1"/>
  <c r="AE93" i="1"/>
  <c r="I85" i="7" l="1"/>
  <c r="F104" i="7" s="1"/>
  <c r="F106" i="7"/>
  <c r="Z46" i="1"/>
  <c r="Z47" i="1" s="1"/>
  <c r="Z48" i="1" s="1"/>
  <c r="AL18" i="1" l="1"/>
  <c r="AK18" i="1" s="1"/>
  <c r="AV26" i="1" s="1"/>
  <c r="Q114" i="1" s="1"/>
  <c r="AL15" i="1"/>
  <c r="AK15" i="1" s="1"/>
  <c r="AU26" i="1" s="1"/>
  <c r="P114" i="1" s="1"/>
  <c r="AL9" i="1"/>
  <c r="AK9" i="1" s="1"/>
  <c r="AS26" i="1" s="1"/>
  <c r="N114" i="1" s="1"/>
  <c r="AL12" i="1"/>
  <c r="AK12" i="1" s="1"/>
  <c r="AT26" i="1" s="1"/>
  <c r="O114" i="1" s="1"/>
  <c r="J35" i="1" l="1"/>
  <c r="D35" i="1"/>
  <c r="E36" i="1" l="1"/>
  <c r="D36" i="1"/>
  <c r="V48" i="1"/>
  <c r="V51" i="1" s="1"/>
  <c r="J27" i="1" s="1"/>
  <c r="E27" i="1" s="1"/>
  <c r="Z49" i="1"/>
  <c r="J29" i="1" s="1"/>
  <c r="E29" i="1" s="1"/>
  <c r="X31" i="1"/>
  <c r="X32" i="1"/>
  <c r="X33" i="1"/>
  <c r="X34" i="1"/>
  <c r="X35" i="1"/>
  <c r="X36" i="1"/>
  <c r="X37" i="1"/>
  <c r="X38" i="1"/>
  <c r="X39" i="1"/>
  <c r="I24" i="1"/>
  <c r="I23" i="1"/>
  <c r="I22" i="1"/>
  <c r="I21" i="1"/>
  <c r="I20" i="1"/>
  <c r="G24" i="1"/>
  <c r="G23" i="1"/>
  <c r="G22" i="1"/>
  <c r="G21" i="1"/>
  <c r="G20" i="1"/>
  <c r="E24" i="1"/>
  <c r="E23" i="1"/>
  <c r="E22" i="1"/>
  <c r="E21" i="1"/>
  <c r="C22" i="1"/>
  <c r="C23" i="1"/>
  <c r="C24" i="1"/>
  <c r="C21" i="1"/>
  <c r="I14" i="1"/>
  <c r="AS27" i="1" l="1"/>
  <c r="AT27" i="1"/>
  <c r="D27" i="1"/>
  <c r="AV27" i="1"/>
  <c r="AU27" i="1"/>
  <c r="J30" i="1"/>
  <c r="E30" i="1" s="1"/>
  <c r="D29" i="1"/>
  <c r="J28" i="1"/>
  <c r="E28" i="1" s="1"/>
  <c r="D28" i="1" l="1"/>
  <c r="D30" i="1"/>
  <c r="AS5" i="1"/>
  <c r="O99" i="1"/>
  <c r="X40" i="1"/>
  <c r="X41" i="1"/>
  <c r="X42" i="1"/>
  <c r="AC23" i="1" l="1"/>
  <c r="Y23" i="1"/>
  <c r="Y22" i="1"/>
  <c r="Y11" i="1"/>
  <c r="Y10" i="1"/>
  <c r="Y9" i="1"/>
  <c r="Y8" i="1"/>
  <c r="AC22" i="1" l="1"/>
  <c r="AD22" i="1" s="1"/>
  <c r="AB39" i="1" s="1"/>
  <c r="AC32" i="1" s="1"/>
  <c r="AB11" i="1"/>
  <c r="AB10" i="1"/>
  <c r="AB9" i="1"/>
  <c r="AA11" i="1"/>
  <c r="AA8" i="1"/>
  <c r="AA9" i="1"/>
  <c r="AU5" i="1" l="1"/>
  <c r="Q99" i="1"/>
  <c r="AA10" i="1"/>
  <c r="Z11" i="1"/>
  <c r="AC11" i="1" s="1"/>
  <c r="Z10" i="1"/>
  <c r="Z9" i="1"/>
  <c r="AC9" i="1" s="1"/>
  <c r="AC8" i="1"/>
  <c r="AC10" i="1" l="1"/>
  <c r="AD8" i="1" s="1"/>
  <c r="AB36" i="1" s="1"/>
  <c r="AC31" i="1" s="1"/>
  <c r="P99" i="1" l="1"/>
  <c r="AT5" i="1"/>
  <c r="AV7" i="1" l="1"/>
  <c r="AV6" i="1"/>
  <c r="AS6" i="1" s="1"/>
  <c r="AV8" i="1"/>
  <c r="AT8" i="1" l="1"/>
  <c r="AU8" i="1"/>
  <c r="AS8" i="1"/>
  <c r="AU6" i="1"/>
  <c r="AT6" i="1"/>
  <c r="AT7" i="1"/>
  <c r="AU7" i="1"/>
  <c r="AS7" i="1"/>
  <c r="J40" i="1"/>
  <c r="E42" i="1" s="1"/>
  <c r="J39" i="1"/>
  <c r="E41" i="1" s="1"/>
  <c r="J41" i="1"/>
  <c r="E43" i="1" s="1"/>
  <c r="AU9" i="1" l="1"/>
  <c r="AU11" i="1" s="1"/>
  <c r="AS9" i="1"/>
  <c r="AS11" i="1" s="1"/>
  <c r="AT9" i="1"/>
  <c r="AT11" i="1" s="1"/>
  <c r="D42" i="1"/>
  <c r="D43" i="1"/>
  <c r="D41" i="1"/>
  <c r="AV14" i="1" l="1"/>
  <c r="AV13" i="1"/>
  <c r="AS13" i="1" s="1"/>
  <c r="AV12" i="1"/>
  <c r="AT13" i="1" l="1"/>
  <c r="J43" i="1"/>
  <c r="AU13" i="1"/>
  <c r="AU14" i="1"/>
  <c r="AT14" i="1"/>
  <c r="AS12" i="1"/>
  <c r="AT12" i="1"/>
  <c r="AU12" i="1"/>
  <c r="J44" i="1"/>
  <c r="E46" i="1" s="1"/>
  <c r="AS14" i="1"/>
  <c r="J42" i="1"/>
  <c r="E44" i="1" s="1"/>
  <c r="E45" i="1" l="1"/>
  <c r="AT30" i="1"/>
  <c r="AU30" i="1"/>
  <c r="AV30" i="1"/>
  <c r="AS30" i="1"/>
  <c r="AS28" i="1"/>
  <c r="AU28" i="1"/>
  <c r="AT28" i="1"/>
  <c r="AV28" i="1"/>
  <c r="AT29" i="1"/>
  <c r="AS29" i="1"/>
  <c r="AU29" i="1"/>
  <c r="AV29" i="1"/>
  <c r="D46" i="1"/>
  <c r="D45" i="1"/>
  <c r="D44" i="1"/>
  <c r="AS15" i="1"/>
  <c r="AS17" i="1" s="1"/>
  <c r="AU15" i="1"/>
  <c r="AU17" i="1" s="1"/>
  <c r="AT15" i="1"/>
  <c r="AT17" i="1" s="1"/>
  <c r="AV20" i="1" l="1"/>
  <c r="AV19" i="1"/>
  <c r="AS19" i="1" s="1"/>
  <c r="AV18" i="1"/>
  <c r="AU18" i="1" l="1"/>
  <c r="AT18" i="1"/>
  <c r="AU19" i="1"/>
  <c r="AT19" i="1"/>
  <c r="J46" i="1"/>
  <c r="E48" i="1" s="1"/>
  <c r="AU20" i="1"/>
  <c r="AT20" i="1"/>
  <c r="J45" i="1"/>
  <c r="AS18" i="1"/>
  <c r="J47" i="1"/>
  <c r="E49" i="1" s="1"/>
  <c r="AS20" i="1"/>
  <c r="AS21" i="1" l="1"/>
  <c r="O100" i="1" s="1"/>
  <c r="E47" i="1"/>
  <c r="AT33" i="1"/>
  <c r="AT32" i="1"/>
  <c r="AV33" i="1"/>
  <c r="AU32" i="1"/>
  <c r="AS32" i="1"/>
  <c r="AU33" i="1"/>
  <c r="AS33" i="1"/>
  <c r="AV32" i="1"/>
  <c r="AU31" i="1"/>
  <c r="AT31" i="1"/>
  <c r="AV31" i="1"/>
  <c r="AS31" i="1"/>
  <c r="D48" i="1"/>
  <c r="AU35" i="1"/>
  <c r="AS35" i="1"/>
  <c r="AT35" i="1"/>
  <c r="AV35" i="1"/>
  <c r="D49" i="1"/>
  <c r="AS36" i="1"/>
  <c r="AV36" i="1"/>
  <c r="AT36" i="1"/>
  <c r="AU36" i="1"/>
  <c r="D47" i="1"/>
  <c r="AS34" i="1"/>
  <c r="AV34" i="1"/>
  <c r="AT34" i="1"/>
  <c r="AU34" i="1"/>
  <c r="AU21" i="1"/>
  <c r="Q100" i="1" s="1"/>
  <c r="AT21" i="1"/>
  <c r="P100" i="1" s="1"/>
  <c r="AS24" i="1" l="1"/>
  <c r="AS37" i="1" s="1"/>
  <c r="AR40" i="1" s="1"/>
  <c r="AV24" i="1"/>
  <c r="AV37" i="1" s="1"/>
  <c r="AU42" i="1" s="1"/>
  <c r="AU24" i="1"/>
  <c r="AU37" i="1" s="1"/>
  <c r="AT24" i="1"/>
  <c r="AT37" i="1" s="1"/>
  <c r="AR44" i="1" l="1"/>
  <c r="AR42" i="1"/>
  <c r="AR41" i="1"/>
  <c r="AR43" i="1"/>
  <c r="AU44" i="1"/>
  <c r="AU41" i="1"/>
  <c r="AU40" i="1"/>
  <c r="AU43" i="1"/>
  <c r="AT42" i="1"/>
  <c r="AT40" i="1"/>
  <c r="AT41" i="1"/>
  <c r="AT44" i="1"/>
  <c r="AT43" i="1"/>
  <c r="AS41" i="1"/>
  <c r="AS44" i="1"/>
  <c r="AS40" i="1"/>
  <c r="AS42" i="1"/>
  <c r="AS43" i="1"/>
  <c r="AV40" i="1" l="1"/>
  <c r="AV42" i="1"/>
  <c r="AV43" i="1"/>
  <c r="AV44" i="1"/>
  <c r="AV41" i="1"/>
  <c r="E56" i="1" s="1"/>
  <c r="AX42" i="1" l="1"/>
  <c r="E57" i="1"/>
  <c r="AZ44" i="1"/>
  <c r="E59" i="1"/>
  <c r="AW43" i="1"/>
  <c r="E58" i="1"/>
  <c r="AW40" i="1"/>
  <c r="E55" i="1"/>
  <c r="AX40" i="1"/>
  <c r="D55" i="1"/>
  <c r="AY40" i="1"/>
  <c r="AZ40" i="1"/>
  <c r="AZ42" i="1"/>
  <c r="AX43" i="1"/>
  <c r="AW42" i="1"/>
  <c r="D57" i="1"/>
  <c r="D59" i="1"/>
  <c r="AY44" i="1"/>
  <c r="AW44" i="1"/>
  <c r="AX44" i="1"/>
  <c r="AY42" i="1"/>
  <c r="D58" i="1"/>
  <c r="AZ43" i="1"/>
  <c r="AY43" i="1"/>
  <c r="AZ41" i="1"/>
  <c r="AX41" i="1"/>
  <c r="AY41" i="1"/>
  <c r="AW41" i="1"/>
  <c r="D56" i="1"/>
  <c r="AW45" i="1" l="1"/>
  <c r="N115" i="1" s="1"/>
  <c r="AX45" i="1"/>
  <c r="O115" i="1" s="1"/>
  <c r="AZ45" i="1"/>
  <c r="Q115" i="1" s="1"/>
  <c r="AY45" i="1"/>
  <c r="P115" i="1" s="1"/>
</calcChain>
</file>

<file path=xl/comments1.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10.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11.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12.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13.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14.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15.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16.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17.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18.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19.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2.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20.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21.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3.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4.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5.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6.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7.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comments8.xml><?xml version="1.0" encoding="utf-8"?>
<comments xmlns="http://schemas.openxmlformats.org/spreadsheetml/2006/main">
  <authors>
    <author>Usuário</author>
    <author>tecnico</author>
  </authors>
  <commentList>
    <comment ref="P8" authorId="0">
      <text>
        <r>
          <rPr>
            <b/>
            <sz val="16"/>
            <color indexed="81"/>
            <rFont val="Segoe UI"/>
            <family val="2"/>
          </rPr>
          <t xml:space="preserve">Usuário:
</t>
        </r>
        <r>
          <rPr>
            <sz val="16"/>
            <color indexed="81"/>
            <rFont val="Segoe UI"/>
            <family val="2"/>
          </rPr>
          <t>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1" authorId="1">
      <text>
        <r>
          <rPr>
            <b/>
            <sz val="16"/>
            <color indexed="81"/>
            <rFont val="Segoe UI"/>
            <family val="2"/>
          </rPr>
          <t xml:space="preserve">Usuário:
</t>
        </r>
        <r>
          <rPr>
            <sz val="16"/>
            <color indexed="81"/>
            <rFont val="Segoe UI"/>
            <family val="2"/>
          </rPr>
          <t>Dividir o valor em g/kg da análise</t>
        </r>
        <r>
          <rPr>
            <b/>
            <sz val="16"/>
            <color indexed="81"/>
            <rFont val="Segoe UI"/>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List>
</comments>
</file>

<file path=xl/comments9.xml><?xml version="1.0" encoding="utf-8"?>
<comments xmlns="http://schemas.openxmlformats.org/spreadsheetml/2006/main">
  <authors>
    <author>Usuário</author>
    <author>tecnico</author>
  </authors>
  <commentList>
    <comment ref="P8" authorId="0">
      <text>
        <r>
          <rPr>
            <b/>
            <sz val="16"/>
            <color indexed="81"/>
            <rFont val="Segoe UI"/>
            <family val="2"/>
          </rPr>
          <t>Usuário:</t>
        </r>
        <r>
          <rPr>
            <sz val="16"/>
            <color indexed="81"/>
            <rFont val="Segoe UI"/>
            <family val="2"/>
          </rPr>
          <t xml:space="preserve">
Caso a analise de solo apresente o valor em mg/dm³, divida o valor por 391.</t>
        </r>
      </text>
    </comment>
    <comment ref="P20" authorId="1">
      <text>
        <r>
          <rPr>
            <b/>
            <sz val="16"/>
            <color indexed="81"/>
            <rFont val="Segoe UI"/>
            <family val="2"/>
          </rPr>
          <t xml:space="preserve">Usuário:
</t>
        </r>
        <r>
          <rPr>
            <sz val="16"/>
            <color indexed="81"/>
            <rFont val="Segoe UI"/>
            <family val="2"/>
          </rPr>
          <t xml:space="preserve">Dividir o valor em g/kg da análise </t>
        </r>
        <r>
          <rPr>
            <b/>
            <sz val="16"/>
            <color indexed="81"/>
            <rFont val="Segoe UI"/>
            <family val="2"/>
          </rPr>
          <t>por 10</t>
        </r>
        <r>
          <rPr>
            <sz val="9"/>
            <color indexed="81"/>
            <rFont val="Segoe UI"/>
            <family val="2"/>
          </rPr>
          <t xml:space="preserve">
</t>
        </r>
      </text>
    </comment>
    <comment ref="P21" authorId="1">
      <text>
        <r>
          <rPr>
            <b/>
            <sz val="14"/>
            <color indexed="81"/>
            <rFont val="Arial"/>
            <family val="2"/>
          </rPr>
          <t xml:space="preserve">Usuário:
</t>
        </r>
        <r>
          <rPr>
            <sz val="16"/>
            <color indexed="81"/>
            <rFont val="Segoe UI"/>
            <family val="2"/>
          </rPr>
          <t>Dividir o valor em g/kg da análise</t>
        </r>
        <r>
          <rPr>
            <b/>
            <sz val="14"/>
            <color indexed="81"/>
            <rFont val="Arial"/>
            <family val="2"/>
          </rPr>
          <t xml:space="preserve"> por 10</t>
        </r>
      </text>
    </comment>
    <comment ref="P22" authorId="1">
      <text>
        <r>
          <rPr>
            <b/>
            <sz val="16"/>
            <color indexed="81"/>
            <rFont val="Segoe UI"/>
            <family val="2"/>
          </rPr>
          <t xml:space="preserve">Usuário:
</t>
        </r>
        <r>
          <rPr>
            <sz val="16"/>
            <color indexed="81"/>
            <rFont val="Segoe UI"/>
            <family val="2"/>
          </rPr>
          <t xml:space="preserve">Dividir o valor em g/kg na análise </t>
        </r>
        <r>
          <rPr>
            <b/>
            <sz val="16"/>
            <color indexed="81"/>
            <rFont val="Segoe UI"/>
            <family val="2"/>
          </rPr>
          <t>por 10</t>
        </r>
      </text>
    </comment>
  </commentList>
</comments>
</file>

<file path=xl/sharedStrings.xml><?xml version="1.0" encoding="utf-8"?>
<sst xmlns="http://schemas.openxmlformats.org/spreadsheetml/2006/main" count="9101" uniqueCount="553">
  <si>
    <t>UNIDADE</t>
  </si>
  <si>
    <t>pH</t>
  </si>
  <si>
    <t xml:space="preserve"> - </t>
  </si>
  <si>
    <t>CALCIO</t>
  </si>
  <si>
    <t>MAGNÉSIO</t>
  </si>
  <si>
    <t>POTÁSSIO</t>
  </si>
  <si>
    <t>SÓDIO</t>
  </si>
  <si>
    <t>ALUMÍNIO</t>
  </si>
  <si>
    <t>H + Al</t>
  </si>
  <si>
    <t>CARBONO</t>
  </si>
  <si>
    <t>g/kg</t>
  </si>
  <si>
    <t>FÓSFORO</t>
  </si>
  <si>
    <t>mg/dm³ = ppm</t>
  </si>
  <si>
    <t>BORO</t>
  </si>
  <si>
    <t>ENXOFRE</t>
  </si>
  <si>
    <t>COBRE</t>
  </si>
  <si>
    <t>FERRO</t>
  </si>
  <si>
    <t>MANGANÊS</t>
  </si>
  <si>
    <t>ZINCO</t>
  </si>
  <si>
    <t>AREIA</t>
  </si>
  <si>
    <t>SILTE</t>
  </si>
  <si>
    <t>MAT. ORGÂNICA</t>
  </si>
  <si>
    <t>SAT. BASE</t>
  </si>
  <si>
    <t>%</t>
  </si>
  <si>
    <t>C.T.C</t>
  </si>
  <si>
    <t>Baixo</t>
  </si>
  <si>
    <t>Médio</t>
  </si>
  <si>
    <t>16 - 35</t>
  </si>
  <si>
    <t>35 - 60</t>
  </si>
  <si>
    <t>Teor de Argila</t>
  </si>
  <si>
    <t>12,1 - 18</t>
  </si>
  <si>
    <t>Adequado</t>
  </si>
  <si>
    <t>Idade</t>
  </si>
  <si>
    <t>N</t>
  </si>
  <si>
    <t>anos</t>
  </si>
  <si>
    <t>K20 (g/planta)</t>
  </si>
  <si>
    <t>P205 (g/planta)</t>
  </si>
  <si>
    <t>&lt; 15</t>
  </si>
  <si>
    <t>&gt; 60</t>
  </si>
  <si>
    <t>&lt; 12</t>
  </si>
  <si>
    <t>&lt; 10</t>
  </si>
  <si>
    <t>&lt; 5</t>
  </si>
  <si>
    <t>&lt; 3</t>
  </si>
  <si>
    <t>&gt; 18,1</t>
  </si>
  <si>
    <t>10,1 - 15</t>
  </si>
  <si>
    <t>5,1 - 8</t>
  </si>
  <si>
    <t>3,1 - 6</t>
  </si>
  <si>
    <t>&gt; 15,1</t>
  </si>
  <si>
    <t>&gt; 8,1</t>
  </si>
  <si>
    <t>&gt; 6,1</t>
  </si>
  <si>
    <t>&lt; 20</t>
  </si>
  <si>
    <t>Interpretação e teor de fósforo (mg/dm3)</t>
  </si>
  <si>
    <t>Argila</t>
  </si>
  <si>
    <t>Teor de argila</t>
  </si>
  <si>
    <t>Fósforo</t>
  </si>
  <si>
    <t>cmolс/dm³ = mE/100mL</t>
  </si>
  <si>
    <t>Tabela 1. Interpretação de análise de solo para recomendação de adubação fosfatada (extrator Mehlich-1)</t>
  </si>
  <si>
    <t>Fase 1</t>
  </si>
  <si>
    <t>Resultado final</t>
  </si>
  <si>
    <t>Programação funções excel</t>
  </si>
  <si>
    <t xml:space="preserve">Tabela 2. Interpretação de análise de solo para recomendação de adubação potássica </t>
  </si>
  <si>
    <t>&gt;20</t>
  </si>
  <si>
    <t>Potássio</t>
  </si>
  <si>
    <t>Lista de seleção</t>
  </si>
  <si>
    <t>N (g/planta)</t>
  </si>
  <si>
    <t>Resultado final (g/planta)</t>
  </si>
  <si>
    <t>P205</t>
  </si>
  <si>
    <t>K20</t>
  </si>
  <si>
    <t>baixo</t>
  </si>
  <si>
    <t>medio</t>
  </si>
  <si>
    <t>adequado</t>
  </si>
  <si>
    <t>Concatenação</t>
  </si>
  <si>
    <t>Concatenação Fósforo</t>
  </si>
  <si>
    <t>Concatenação Potássio</t>
  </si>
  <si>
    <t>Interpretação e teor de potássio (mg/dm3)</t>
  </si>
  <si>
    <t>Nível de no solo</t>
  </si>
  <si>
    <t>ADUBO</t>
  </si>
  <si>
    <t>R$/KG</t>
  </si>
  <si>
    <t>GARANTIAS (%)</t>
  </si>
  <si>
    <t>P</t>
  </si>
  <si>
    <t>K</t>
  </si>
  <si>
    <t>Ca</t>
  </si>
  <si>
    <t>Mg</t>
  </si>
  <si>
    <t>S</t>
  </si>
  <si>
    <t>B</t>
  </si>
  <si>
    <t>Mn</t>
  </si>
  <si>
    <t>Zn</t>
  </si>
  <si>
    <t>Cu</t>
  </si>
  <si>
    <t>Mo</t>
  </si>
  <si>
    <t>Fe</t>
  </si>
  <si>
    <t>NH4 (amoniacal)</t>
  </si>
  <si>
    <t>NO3 (nítrico)</t>
  </si>
  <si>
    <t>Indice Salino</t>
  </si>
  <si>
    <t>Nitrato de Amônio</t>
  </si>
  <si>
    <t>Nitrato de magnésio</t>
  </si>
  <si>
    <t>Sulfato de amônio</t>
  </si>
  <si>
    <t>Sulfato de manganês</t>
  </si>
  <si>
    <t>Sulfato de zinco</t>
  </si>
  <si>
    <t>% CaO</t>
  </si>
  <si>
    <t>% MgO</t>
  </si>
  <si>
    <t>% PRNT</t>
  </si>
  <si>
    <t>Necessidade de calagem (t/ha)</t>
  </si>
  <si>
    <t>V2</t>
  </si>
  <si>
    <t>PRNT</t>
  </si>
  <si>
    <t>NC</t>
  </si>
  <si>
    <t>EkoSil</t>
  </si>
  <si>
    <t>Si</t>
  </si>
  <si>
    <t>Tabela 3. Adubação de formação para abacate</t>
  </si>
  <si>
    <t>FOLHA DE RECOMENDAÇÃO TÉCNICA</t>
  </si>
  <si>
    <t>NOME DO PROPRIETÁRIO</t>
  </si>
  <si>
    <t>PROPRIEDADE</t>
  </si>
  <si>
    <t>EXPLORAÇÃO</t>
  </si>
  <si>
    <t>UNIDADE LOCAL</t>
  </si>
  <si>
    <t xml:space="preserve">DATA: </t>
  </si>
  <si>
    <t>Área (ha):</t>
  </si>
  <si>
    <t>Sat. Bases</t>
  </si>
  <si>
    <t>Na</t>
  </si>
  <si>
    <t>M.O.</t>
  </si>
  <si>
    <t>H+Al</t>
  </si>
  <si>
    <t>Al</t>
  </si>
  <si>
    <t>CTC</t>
  </si>
  <si>
    <t>Assinatura do Produtor ou Responsável</t>
  </si>
  <si>
    <t>Técnico Responsável</t>
  </si>
  <si>
    <t>Número de plantas por hectare (100m x 100m):</t>
  </si>
  <si>
    <t>Micronutrientes</t>
  </si>
  <si>
    <t>TIPOS</t>
  </si>
  <si>
    <t>ARAGUAIA Calcítico</t>
  </si>
  <si>
    <t>ARAGUAIA Dolomítico</t>
  </si>
  <si>
    <t>BRICCAL Calcítico</t>
  </si>
  <si>
    <t>BRITACAL Dolomítico</t>
  </si>
  <si>
    <t>BRITACAL Filler</t>
  </si>
  <si>
    <t>BRITACAL Calcítico</t>
  </si>
  <si>
    <t>PIRECAL Dolomítico</t>
  </si>
  <si>
    <t>Calcário Itaú Filler</t>
  </si>
  <si>
    <t>PIRINEUS Dolomítico</t>
  </si>
  <si>
    <t>GOIAS Filler Dolomítico</t>
  </si>
  <si>
    <t>GOIAS Filler Calcítico</t>
  </si>
  <si>
    <t>TERRA BRANCA Calcítico</t>
  </si>
  <si>
    <t>PIRINEUS Calcítico</t>
  </si>
  <si>
    <t>Rochas moídas</t>
  </si>
  <si>
    <t>FTE BR 12</t>
  </si>
  <si>
    <t>Gesso agrícola</t>
  </si>
  <si>
    <t>Siligesso Agronelli</t>
  </si>
  <si>
    <t>Nutrigesso Nutrion</t>
  </si>
  <si>
    <t>Kamafugito</t>
  </si>
  <si>
    <t>Micaxisto (61) 3233-9368</t>
  </si>
  <si>
    <t xml:space="preserve"> Remax Mistel (61) 99414-1975</t>
  </si>
  <si>
    <t xml:space="preserve">Pó de brita Fmx (62) 3924 8565 </t>
  </si>
  <si>
    <t>Esterco de galinha</t>
  </si>
  <si>
    <t>Suphaphos</t>
  </si>
  <si>
    <t xml:space="preserve">Biotita Xisto (61) 3233-9368 </t>
  </si>
  <si>
    <t>Kmag</t>
  </si>
  <si>
    <t>FNR Fertipar ((061 3642-2080)</t>
  </si>
  <si>
    <t>FNR Heringer (061 3642-2596)</t>
  </si>
  <si>
    <t>FNR Paulivida (061 - 3361-6634)</t>
  </si>
  <si>
    <t>Agroffos Agronelli (061 3642-1777)</t>
  </si>
  <si>
    <t>Esterco de gado</t>
  </si>
  <si>
    <t>Formulado 00-18-00 (Timac)</t>
  </si>
  <si>
    <t>Bokashi ORGANICS (062 3247-3100)</t>
  </si>
  <si>
    <t>Biobokashi Farelado FERTIBIO (61 9827-4439)</t>
  </si>
  <si>
    <t>Minhofertil (61 3361-6634)</t>
  </si>
  <si>
    <t>Torta de mamona Super thorg (061 9 9827-4439)</t>
  </si>
  <si>
    <t>Torta de mamona Nutrisafra (062 3310-8133)</t>
  </si>
  <si>
    <t>Bokashi Carlos (061 9 9681-3730)</t>
  </si>
  <si>
    <t>Composto ORGANICS (062 3247-3100)</t>
  </si>
  <si>
    <t>Bokashi Valdemar (9 9811-2414)</t>
  </si>
  <si>
    <t>Torta de mamona Vitaplan (061 3234-8485)</t>
  </si>
  <si>
    <t>Anos</t>
  </si>
  <si>
    <t>Dados de análise de solos</t>
  </si>
  <si>
    <t>GESSAGEM</t>
  </si>
  <si>
    <t>Calcário</t>
  </si>
  <si>
    <t>Gesso Nutrion</t>
  </si>
  <si>
    <t>Gesso Votorantim</t>
  </si>
  <si>
    <t>Gesso Agronelli</t>
  </si>
  <si>
    <t>Sim</t>
  </si>
  <si>
    <t>Não</t>
  </si>
  <si>
    <t>CaO</t>
  </si>
  <si>
    <t>MgO</t>
  </si>
  <si>
    <t>CaO + MgO</t>
  </si>
  <si>
    <t>Pó de rocha</t>
  </si>
  <si>
    <t>CaO+MgO</t>
  </si>
  <si>
    <t>DADOS DA ANALISE DE SOLOS</t>
  </si>
  <si>
    <t>DADOS DO ESPAÇAMENTO SIMPLES</t>
  </si>
  <si>
    <t>DADOS DO ESPAÇAMENTO DUPLO</t>
  </si>
  <si>
    <t>DADOS DA IDADE DO PLANTIO</t>
  </si>
  <si>
    <t>DIGA SE HÁ NECESSIDADE TÉCNICA DE GESSAGEM</t>
  </si>
  <si>
    <t>X</t>
  </si>
  <si>
    <t>Definição da quantidade indicada</t>
  </si>
  <si>
    <t>Necessidade de rochagem (t/ha)</t>
  </si>
  <si>
    <t>Qtde. indicada</t>
  </si>
  <si>
    <t>CaO+MgO+K2O</t>
  </si>
  <si>
    <t>Cloreto de potássio</t>
  </si>
  <si>
    <t>Nitrato de cálcio</t>
  </si>
  <si>
    <t>PASSO 1</t>
  </si>
  <si>
    <t>PASSO 2</t>
  </si>
  <si>
    <t>PASSO 3</t>
  </si>
  <si>
    <t>PASSO 4</t>
  </si>
  <si>
    <t>PASSO 5</t>
  </si>
  <si>
    <t>PASSO 6</t>
  </si>
  <si>
    <t>Superfosfato simples</t>
  </si>
  <si>
    <t>Superfosfato triplo</t>
  </si>
  <si>
    <t>Hortimax Cobertura 13-3-25</t>
  </si>
  <si>
    <t>Composto Bioforte BONASA (061 9 9967-0863)</t>
  </si>
  <si>
    <t>Composto Bioensima BONASA (061 9 9967-0863)</t>
  </si>
  <si>
    <t>Composto Biojá BONASA (061 9 9967-0863)</t>
  </si>
  <si>
    <t>P2O5</t>
  </si>
  <si>
    <t>K2O</t>
  </si>
  <si>
    <t>Maior</t>
  </si>
  <si>
    <t>Formulados</t>
  </si>
  <si>
    <t>Adubos simples</t>
  </si>
  <si>
    <t>Termofosfato YOORIN</t>
  </si>
  <si>
    <t>&gt; 1,61</t>
  </si>
  <si>
    <t>&gt; 5,1</t>
  </si>
  <si>
    <t>&gt; 0,81</t>
  </si>
  <si>
    <t>&gt; 0,51</t>
  </si>
  <si>
    <t>Alto</t>
  </si>
  <si>
    <t>1,1 - 1,6</t>
  </si>
  <si>
    <t>1,91 - 5</t>
  </si>
  <si>
    <t>0,41 - 0,8</t>
  </si>
  <si>
    <t>0,21 - 0,5</t>
  </si>
  <si>
    <t>&lt; 1</t>
  </si>
  <si>
    <t>&lt; 1,9</t>
  </si>
  <si>
    <t>&lt; 0,4</t>
  </si>
  <si>
    <t>&lt; 0,2</t>
  </si>
  <si>
    <t>Zinco</t>
  </si>
  <si>
    <t>Manganês</t>
  </si>
  <si>
    <t>Cobre</t>
  </si>
  <si>
    <t>Boro</t>
  </si>
  <si>
    <t>Tabela 4. Interpretação de resultado de análise de micronutrientes em solos de Cerrado</t>
  </si>
  <si>
    <t>Teor mg/dm3</t>
  </si>
  <si>
    <t>Programação excel</t>
  </si>
  <si>
    <t>Nutriente</t>
  </si>
  <si>
    <t>E DIGA O PERCENTUAL QUE CABERÁ A CADA ADUBO</t>
  </si>
  <si>
    <t>ESCOLHA O ADUBO FONTE DE FÓSFORO</t>
  </si>
  <si>
    <t>ESCOLHA O ADUBO FONTE DE POTÁSSIO</t>
  </si>
  <si>
    <t>ESCOLHA O ADUBO FONTE DE NITROGÊNIO</t>
  </si>
  <si>
    <t>ESCOLHA O ADUBO FONTE DE MICRONUTRIENTE</t>
  </si>
  <si>
    <t>USO DE ADUBOS COM MICRONUTRIENTES</t>
  </si>
  <si>
    <t>Sulfato de cobre</t>
  </si>
  <si>
    <t>nº</t>
  </si>
  <si>
    <t>Adubos</t>
  </si>
  <si>
    <t>Qtde</t>
  </si>
  <si>
    <t>Adubo</t>
  </si>
  <si>
    <t>Demanda (g/planta)</t>
  </si>
  <si>
    <t>Formula</t>
  </si>
  <si>
    <t>Observação: os valores acima não podem ser menores ou maiores que 100%</t>
  </si>
  <si>
    <t>PASSO 7</t>
  </si>
  <si>
    <t>Kg/hectare recomendados</t>
  </si>
  <si>
    <t>ADUBOS</t>
  </si>
  <si>
    <t>CaO+MgO+K20</t>
  </si>
  <si>
    <t>Nutrientes</t>
  </si>
  <si>
    <t>Excesso ou déficit (g/planta)</t>
  </si>
  <si>
    <t>PREENCHER SOMENTE OS CAMPOS EM LARANJA</t>
  </si>
  <si>
    <t>CALAGEM E ROCHAGEM</t>
  </si>
  <si>
    <t>Definição corrigida</t>
  </si>
  <si>
    <t>&lt; 0,04</t>
  </si>
  <si>
    <t>&lt; 0,06</t>
  </si>
  <si>
    <t>0,041 - 0,10</t>
  </si>
  <si>
    <t>&gt;  0,101</t>
  </si>
  <si>
    <t>0,06 - 0,20</t>
  </si>
  <si>
    <t>&gt; 0,201</t>
  </si>
  <si>
    <t>Adubos orgânicos</t>
  </si>
  <si>
    <t>Potomag Nutrisafra (061 3028-2695)</t>
  </si>
  <si>
    <t>TAMANHO DA ÁREA EM HECTARES</t>
  </si>
  <si>
    <t>Po de rocha</t>
  </si>
  <si>
    <t>Garantias</t>
  </si>
  <si>
    <t>Esterco de equino</t>
  </si>
  <si>
    <t>Composto de lixo (COL)</t>
  </si>
  <si>
    <t>Esterco de suínos</t>
  </si>
  <si>
    <t>Esterco de ovinos</t>
  </si>
  <si>
    <t>Lodo de esgosto</t>
  </si>
  <si>
    <t>Compostos orgânicos</t>
  </si>
  <si>
    <t>Produção</t>
  </si>
  <si>
    <t>Esterco Bovino curtido</t>
  </si>
  <si>
    <t>Cama de frango corte</t>
  </si>
  <si>
    <t>Matéria orgânica (litros por cova)</t>
  </si>
  <si>
    <t>&lt; 6</t>
  </si>
  <si>
    <t>6,1 - 12</t>
  </si>
  <si>
    <t>12,1 - 20</t>
  </si>
  <si>
    <t>20,1 - 30</t>
  </si>
  <si>
    <t>&gt; 30,1</t>
  </si>
  <si>
    <t>Produtividade esperada</t>
  </si>
  <si>
    <t>PRODUTIVIDADE ESPERADA</t>
  </si>
  <si>
    <t>Matéria orgânica (litros por planta)</t>
  </si>
  <si>
    <t>Toneladas por hectare</t>
  </si>
  <si>
    <t>Para detectar a necessidade de aplicação de gesso deve-se fazer amostragem de solo nas camadas subsuperficiais (40 - 60cm).
O gesso deve ser aplicado quando, no mínimo, uma destas condições seja satisfeita:
a) teor de cálcio (Ca) menor ou igual a 0,5 cmolc/dm³ ou 5 mmolc/dm³. 
b) teor de alumínio (Al) maior que 0,5 cmolc/dm³ ou 5 mmolc/dm³;
c) saturação por alumínio (m%) maior que 20%.</t>
  </si>
  <si>
    <t>ESCOLHA O CALCÁRIO E DIGA SEU PERCENTUAL PARA ATENDER A DEMANDA</t>
  </si>
  <si>
    <t>ESCOLHA O PÓ DE ROCHA E DIGA SEU PERCENTUAL PARA ATENDER A DEMANDA</t>
  </si>
  <si>
    <t>ESCOLHA O GESSO</t>
  </si>
  <si>
    <t>ESCOLHA A FONTE DE MATERIA ORGANICA</t>
  </si>
  <si>
    <t>Recomendação de adubação</t>
  </si>
  <si>
    <t xml:space="preserve">  </t>
  </si>
  <si>
    <r>
      <rPr>
        <b/>
        <sz val="14"/>
        <rFont val="Arial"/>
        <family val="2"/>
      </rPr>
      <t>Aplicar da seguinte forma</t>
    </r>
    <r>
      <rPr>
        <sz val="14"/>
        <rFont val="Arial"/>
        <family val="2"/>
      </rPr>
      <t>: a calagem/rochagem deve ser aplicada no final do período chuvoso anterior ao plantio, ou ainda, no início da estação chuvosa pouco antes do plantio. Se a dose de calcario for elevada (maior que 5 toneladas por hectare), a aplicação deverá ser parcelada em 2 vezes e o intervalo entre uma aplicação e a outra deverá ser de no mínimo 12 meses.</t>
    </r>
  </si>
  <si>
    <r>
      <rPr>
        <b/>
        <sz val="14"/>
        <rFont val="Arial"/>
        <family val="2"/>
      </rPr>
      <t>Aplicar da seguinte forma:</t>
    </r>
    <r>
      <rPr>
        <sz val="14"/>
        <rFont val="Arial"/>
        <family val="2"/>
      </rPr>
      <t xml:space="preserve"> o gesso agrícola deve ser aplicado a lanço </t>
    </r>
    <r>
      <rPr>
        <b/>
        <sz val="14"/>
        <rFont val="Arial"/>
        <family val="2"/>
      </rPr>
      <t xml:space="preserve">depois </t>
    </r>
    <r>
      <rPr>
        <sz val="14"/>
        <rFont val="Arial"/>
        <family val="2"/>
      </rPr>
      <t>da calagem</t>
    </r>
  </si>
  <si>
    <r>
      <rPr>
        <b/>
        <sz val="14"/>
        <rFont val="Arial"/>
        <family val="2"/>
      </rPr>
      <t>Aplicar da seguinte forma:</t>
    </r>
    <r>
      <rPr>
        <sz val="14"/>
        <rFont val="Arial"/>
        <family val="2"/>
      </rPr>
      <t xml:space="preserve"> 
a) O adubo fosfatado e adubos orgânicos podem ser aplicado de uma única vez no início da estação chuvosa.
b) Parcelar em três vezes, durante o período chuvoso, os adubos contendo nitrogênio e potássio.
c) Fazer nova amostragem de solo a cada dois ou três anos.</t>
    </r>
  </si>
  <si>
    <r>
      <rPr>
        <b/>
        <sz val="14"/>
        <rFont val="Arial"/>
        <family val="2"/>
      </rPr>
      <t>Aplicar da seguinte forma:</t>
    </r>
    <r>
      <rPr>
        <sz val="14"/>
        <rFont val="Arial"/>
        <family val="2"/>
      </rPr>
      <t xml:space="preserve">
a) Os micronutrientes podem ser misturados e aplicados juntos aos outros adubos fontes de nitrogênio, fósforo e potássio
b) A reaplicação de micronutrientes pode ser necessária após 4 anos, de acordo com análise do solo</t>
    </r>
  </si>
  <si>
    <t>Voltar</t>
  </si>
  <si>
    <t>Tabela 3. Adubação</t>
  </si>
  <si>
    <t>N (kg/hectare)</t>
  </si>
  <si>
    <t>P205 (kg/hectare)</t>
  </si>
  <si>
    <t>K20 (kg/hectare)</t>
  </si>
  <si>
    <t>Ácido Bórico</t>
  </si>
  <si>
    <t>10,1 - 20</t>
  </si>
  <si>
    <t>30,1 - 40</t>
  </si>
  <si>
    <t>&gt; 40,1</t>
  </si>
  <si>
    <t>40,1 - 50</t>
  </si>
  <si>
    <t xml:space="preserve">&gt; 50,1 </t>
  </si>
  <si>
    <t xml:space="preserve">&lt; 20 </t>
  </si>
  <si>
    <t>20,1 - 40</t>
  </si>
  <si>
    <t>40,1 - 60</t>
  </si>
  <si>
    <t>60,1 - 80</t>
  </si>
  <si>
    <t>&gt; 80,1</t>
  </si>
  <si>
    <t>5,1 - 10</t>
  </si>
  <si>
    <t>&gt; 10,1</t>
  </si>
  <si>
    <t xml:space="preserve">&gt; 10,1 </t>
  </si>
  <si>
    <t>15,1 - 20</t>
  </si>
  <si>
    <t>20,1 - 25</t>
  </si>
  <si>
    <t>&gt; 25,1</t>
  </si>
  <si>
    <t>Dias após plantio</t>
  </si>
  <si>
    <t>50,1 - 60</t>
  </si>
  <si>
    <t xml:space="preserve">baixo </t>
  </si>
  <si>
    <t>alto</t>
  </si>
  <si>
    <t>médio</t>
  </si>
  <si>
    <t>&gt; 30</t>
  </si>
  <si>
    <t>Culturas</t>
  </si>
  <si>
    <t>Espaçamentos</t>
  </si>
  <si>
    <t>Adubos e corretivos</t>
  </si>
  <si>
    <t>Abacate - formação</t>
  </si>
  <si>
    <t>Abacate - produção</t>
  </si>
  <si>
    <t>Abacaxi - produção</t>
  </si>
  <si>
    <t>Acerola - formação</t>
  </si>
  <si>
    <t>Acerola - produção</t>
  </si>
  <si>
    <t>Banana - formação</t>
  </si>
  <si>
    <t>Banana - produção</t>
  </si>
  <si>
    <t>Citros - formação</t>
  </si>
  <si>
    <t>Citros - produção</t>
  </si>
  <si>
    <t>Goiaba - formação</t>
  </si>
  <si>
    <t>Goiaba - produção</t>
  </si>
  <si>
    <t>Graviola - formação</t>
  </si>
  <si>
    <t>Graviola -produção</t>
  </si>
  <si>
    <t>Mamão - produção</t>
  </si>
  <si>
    <t>Manga - formação</t>
  </si>
  <si>
    <t>Manga - produção</t>
  </si>
  <si>
    <t>Maracujá - produção</t>
  </si>
  <si>
    <t>Pitaya - formação</t>
  </si>
  <si>
    <t>Pitaya - produção</t>
  </si>
  <si>
    <t>Pupunha - formação e produção</t>
  </si>
  <si>
    <t>Seringueira - formação e produção</t>
  </si>
  <si>
    <t>Abacaxi</t>
  </si>
  <si>
    <t>Acerola</t>
  </si>
  <si>
    <t>Banana</t>
  </si>
  <si>
    <t>Citros</t>
  </si>
  <si>
    <t>Goiaba</t>
  </si>
  <si>
    <t>Graviola</t>
  </si>
  <si>
    <t>Mamão</t>
  </si>
  <si>
    <t>Pitaya</t>
  </si>
  <si>
    <t>Pupunha</t>
  </si>
  <si>
    <t>Seringueira</t>
  </si>
  <si>
    <t>Valores de saturação de base (V2) requerida por plantas perenes</t>
  </si>
  <si>
    <t>Manga</t>
  </si>
  <si>
    <t>Maracujá</t>
  </si>
  <si>
    <t>Análise de solo</t>
  </si>
  <si>
    <t>Análise foliar</t>
  </si>
  <si>
    <t>Saturação de base e PRNT</t>
  </si>
  <si>
    <t>V2 (%)</t>
  </si>
  <si>
    <t>ENTRADA DE DADOS</t>
  </si>
  <si>
    <t>Comprimento</t>
  </si>
  <si>
    <t>Relações Mais Importantes:</t>
  </si>
  <si>
    <t>Centímetro</t>
  </si>
  <si>
    <t>=</t>
  </si>
  <si>
    <t>Polegadas</t>
  </si>
  <si>
    <t>% = dag/kg</t>
  </si>
  <si>
    <t>Metro</t>
  </si>
  <si>
    <t>Pés</t>
  </si>
  <si>
    <r>
      <t>ppm = mg/dm</t>
    </r>
    <r>
      <rPr>
        <vertAlign val="superscript"/>
        <sz val="12"/>
        <rFont val="Arial"/>
        <family val="2"/>
      </rPr>
      <t>3</t>
    </r>
    <r>
      <rPr>
        <sz val="12"/>
        <rFont val="Arial"/>
        <family val="2"/>
      </rPr>
      <t xml:space="preserve"> = mg/kg = mg/L</t>
    </r>
  </si>
  <si>
    <t>Quilometro</t>
  </si>
  <si>
    <t>Milhas</t>
  </si>
  <si>
    <t>Polegada</t>
  </si>
  <si>
    <t>Centímetros</t>
  </si>
  <si>
    <r>
      <t>meq/100g = cmol</t>
    </r>
    <r>
      <rPr>
        <vertAlign val="subscript"/>
        <sz val="12"/>
        <rFont val="Arial"/>
        <family val="2"/>
      </rPr>
      <t>c</t>
    </r>
    <r>
      <rPr>
        <sz val="12"/>
        <rFont val="Arial"/>
        <family val="2"/>
      </rPr>
      <t>/dm</t>
    </r>
    <r>
      <rPr>
        <vertAlign val="superscript"/>
        <sz val="12"/>
        <rFont val="Arial"/>
        <family val="2"/>
      </rPr>
      <t>3</t>
    </r>
  </si>
  <si>
    <t>Pé</t>
  </si>
  <si>
    <t>Metros</t>
  </si>
  <si>
    <r>
      <t>mmol</t>
    </r>
    <r>
      <rPr>
        <vertAlign val="subscript"/>
        <sz val="12"/>
        <rFont val="Arial"/>
        <family val="2"/>
      </rPr>
      <t>c</t>
    </r>
    <r>
      <rPr>
        <sz val="12"/>
        <rFont val="Arial"/>
        <family val="2"/>
      </rPr>
      <t>/dm</t>
    </r>
    <r>
      <rPr>
        <vertAlign val="superscript"/>
        <sz val="12"/>
        <rFont val="Arial"/>
        <family val="2"/>
      </rPr>
      <t>3</t>
    </r>
    <r>
      <rPr>
        <sz val="12"/>
        <rFont val="Arial"/>
        <family val="2"/>
      </rPr>
      <t xml:space="preserve"> = cmol</t>
    </r>
    <r>
      <rPr>
        <vertAlign val="subscript"/>
        <sz val="12"/>
        <rFont val="Arial"/>
        <family val="2"/>
      </rPr>
      <t>c</t>
    </r>
    <r>
      <rPr>
        <sz val="12"/>
        <rFont val="Arial"/>
        <family val="2"/>
      </rPr>
      <t>/dm</t>
    </r>
    <r>
      <rPr>
        <vertAlign val="superscript"/>
        <sz val="12"/>
        <rFont val="Arial"/>
        <family val="2"/>
      </rPr>
      <t>3</t>
    </r>
    <r>
      <rPr>
        <sz val="12"/>
        <rFont val="Arial"/>
        <family val="2"/>
      </rPr>
      <t xml:space="preserve"> x 10</t>
    </r>
  </si>
  <si>
    <t>Milha</t>
  </si>
  <si>
    <t>Quilômetros</t>
  </si>
  <si>
    <r>
      <t>% x 10.000 = mg/dm</t>
    </r>
    <r>
      <rPr>
        <vertAlign val="superscript"/>
        <sz val="12"/>
        <rFont val="Arial"/>
        <family val="2"/>
      </rPr>
      <t>3</t>
    </r>
  </si>
  <si>
    <t>Volume</t>
  </si>
  <si>
    <r>
      <t>mg/dm</t>
    </r>
    <r>
      <rPr>
        <vertAlign val="superscript"/>
        <sz val="12"/>
        <rFont val="Arial"/>
        <family val="2"/>
      </rPr>
      <t xml:space="preserve">3 </t>
    </r>
    <r>
      <rPr>
        <sz val="12"/>
        <rFont val="Arial"/>
        <family val="2"/>
      </rPr>
      <t>x 2 = kg/ha</t>
    </r>
  </si>
  <si>
    <t>Litro</t>
  </si>
  <si>
    <t>Galões Americano</t>
  </si>
  <si>
    <t>Metro Cúbico</t>
  </si>
  <si>
    <r>
      <t>mol/dm</t>
    </r>
    <r>
      <rPr>
        <vertAlign val="superscript"/>
        <sz val="12"/>
        <rFont val="Arial"/>
        <family val="2"/>
      </rPr>
      <t>3</t>
    </r>
    <r>
      <rPr>
        <sz val="12"/>
        <rFont val="Arial"/>
        <family val="2"/>
      </rPr>
      <t xml:space="preserve"> x mol = g/dm</t>
    </r>
    <r>
      <rPr>
        <vertAlign val="superscript"/>
        <sz val="12"/>
        <rFont val="Arial"/>
        <family val="2"/>
      </rPr>
      <t>3</t>
    </r>
  </si>
  <si>
    <t>Pés Cúbico</t>
  </si>
  <si>
    <t>Galão Americano</t>
  </si>
  <si>
    <t>Litros</t>
  </si>
  <si>
    <r>
      <t>cmol/dm</t>
    </r>
    <r>
      <rPr>
        <vertAlign val="superscript"/>
        <sz val="12"/>
        <rFont val="Arial"/>
        <family val="2"/>
      </rPr>
      <t>3</t>
    </r>
    <r>
      <rPr>
        <sz val="12"/>
        <rFont val="Arial"/>
        <family val="2"/>
      </rPr>
      <t xml:space="preserve"> x mol = cg/dm</t>
    </r>
    <r>
      <rPr>
        <vertAlign val="superscript"/>
        <sz val="12"/>
        <rFont val="Arial"/>
        <family val="2"/>
      </rPr>
      <t>3</t>
    </r>
  </si>
  <si>
    <t>Pé Cúbico</t>
  </si>
  <si>
    <r>
      <t>mmol/dm</t>
    </r>
    <r>
      <rPr>
        <vertAlign val="superscript"/>
        <sz val="12"/>
        <rFont val="Arial"/>
        <family val="2"/>
      </rPr>
      <t xml:space="preserve">3 </t>
    </r>
    <r>
      <rPr>
        <sz val="12"/>
        <rFont val="Arial"/>
        <family val="2"/>
      </rPr>
      <t>x mol = mg/dm</t>
    </r>
    <r>
      <rPr>
        <vertAlign val="superscript"/>
        <sz val="12"/>
        <rFont val="Arial"/>
        <family val="2"/>
      </rPr>
      <t>3</t>
    </r>
  </si>
  <si>
    <r>
      <t>K x 1,2 = K</t>
    </r>
    <r>
      <rPr>
        <vertAlign val="subscript"/>
        <sz val="12"/>
        <rFont val="Arial"/>
        <family val="2"/>
      </rPr>
      <t>2</t>
    </r>
    <r>
      <rPr>
        <sz val="12"/>
        <rFont val="Arial"/>
        <family val="2"/>
      </rPr>
      <t>O</t>
    </r>
  </si>
  <si>
    <t>Peso</t>
  </si>
  <si>
    <t>Quilograma</t>
  </si>
  <si>
    <t>Libras</t>
  </si>
  <si>
    <r>
      <t>P x 2,3 = P</t>
    </r>
    <r>
      <rPr>
        <vertAlign val="subscript"/>
        <sz val="12"/>
        <rFont val="Arial"/>
        <family val="2"/>
      </rPr>
      <t>2</t>
    </r>
    <r>
      <rPr>
        <sz val="12"/>
        <rFont val="Arial"/>
        <family val="2"/>
      </rPr>
      <t>O</t>
    </r>
    <r>
      <rPr>
        <vertAlign val="subscript"/>
        <sz val="12"/>
        <rFont val="Arial"/>
        <family val="2"/>
      </rPr>
      <t>5</t>
    </r>
  </si>
  <si>
    <t>Onças</t>
  </si>
  <si>
    <t>Libra</t>
  </si>
  <si>
    <t>Quilogramas</t>
  </si>
  <si>
    <t>Ca x 1,4 = CaO</t>
  </si>
  <si>
    <t>Onça</t>
  </si>
  <si>
    <t>Gramas</t>
  </si>
  <si>
    <t>Mg x 1,7 = MgO</t>
  </si>
  <si>
    <t>Massa/Volume</t>
  </si>
  <si>
    <r>
      <t>Ca x 2,5 = CaCO</t>
    </r>
    <r>
      <rPr>
        <vertAlign val="subscript"/>
        <sz val="12"/>
        <rFont val="Arial"/>
        <family val="2"/>
      </rPr>
      <t>3</t>
    </r>
  </si>
  <si>
    <t>ppm</t>
  </si>
  <si>
    <t>Vazão</t>
  </si>
  <si>
    <t>Litros por segundo</t>
  </si>
  <si>
    <t>Metros Cúbicos por hora</t>
  </si>
  <si>
    <t>Galões por hora</t>
  </si>
  <si>
    <t>Litros por minuto</t>
  </si>
  <si>
    <t>Galões por minuto</t>
  </si>
  <si>
    <t>Potência</t>
  </si>
  <si>
    <t>Cavalo Vapor (CV)</t>
  </si>
  <si>
    <t>Horse Power (HP)</t>
  </si>
  <si>
    <t>Quilowatt</t>
  </si>
  <si>
    <t>Watt</t>
  </si>
  <si>
    <t>Pressão</t>
  </si>
  <si>
    <t>Libras por pol. Quadrada (PSI)</t>
  </si>
  <si>
    <t>Metros de coluna D´agua (MCA)</t>
  </si>
  <si>
    <t>Pés de coluna D´agua</t>
  </si>
  <si>
    <t>Milímetros de mercúrio (mm Hg)</t>
  </si>
  <si>
    <t>Atmosfera (Atm)</t>
  </si>
  <si>
    <t>Bar</t>
  </si>
  <si>
    <t>Mega Pascal (MPa)</t>
  </si>
  <si>
    <t>Tabela de conversão de unidades</t>
  </si>
  <si>
    <r>
      <t>Kg por cent. Quadrado (kgf/cm</t>
    </r>
    <r>
      <rPr>
        <vertAlign val="superscript"/>
        <sz val="10"/>
        <rFont val="Arial"/>
        <family val="2"/>
      </rPr>
      <t>2</t>
    </r>
    <r>
      <rPr>
        <sz val="10"/>
        <rFont val="Arial"/>
        <family val="2"/>
      </rPr>
      <t>)</t>
    </r>
  </si>
  <si>
    <t>Abacate</t>
  </si>
  <si>
    <t xml:space="preserve">Voltar </t>
  </si>
  <si>
    <t>Recomendação de amostragem do solo para análise</t>
  </si>
  <si>
    <t>10 x 8 m, 10 x 6 m, 10 x 12 m, 12 x 12 m</t>
  </si>
  <si>
    <t>Espaçamentos tradicionais</t>
  </si>
  <si>
    <t>Espaçamentos adensados</t>
  </si>
  <si>
    <t>Fileira simples: 80 a 120 cm x 30 a 40 cm</t>
  </si>
  <si>
    <t>Fileira dupla: 70 a 90 cm entre fileiras duplas e 30 a 40 cm entre filas simples x 22 a 35 cm entre plantas</t>
  </si>
  <si>
    <t>Cultivares porte alto: 2,5 x 3 m e 3 x 3 m</t>
  </si>
  <si>
    <t>Fileira dupla: 4 m entre fileiras duplas, 2,5 m entre fileiras simples e 2,5 m entre plantas</t>
  </si>
  <si>
    <t>7 x 6 m e 8 x 5 m</t>
  </si>
  <si>
    <t>Indústria: 5 x 8 m, 7 x 7 m</t>
  </si>
  <si>
    <t>6 x 6 m, 7 x 7 m, 8 x 8 m</t>
  </si>
  <si>
    <t>3 x 3 m, 3 x 2 m</t>
  </si>
  <si>
    <t>10 x 10 m</t>
  </si>
  <si>
    <t>6 x 3 m e 6 x 4 m</t>
  </si>
  <si>
    <t>3 x 2 m e 3 x 3 m</t>
  </si>
  <si>
    <t>2 x 1 m</t>
  </si>
  <si>
    <t>8 x 2,5 m</t>
  </si>
  <si>
    <t>6 x 4 m e 6 x 3 m</t>
  </si>
  <si>
    <t>8 x 5 m, 7 x 6 m, 6 x 4 m</t>
  </si>
  <si>
    <t>7 x 5 m, 6 x 3 m, 6 x 1 a 2 m*</t>
  </si>
  <si>
    <t xml:space="preserve">* utilização de porta-enxertos ananicantes </t>
  </si>
  <si>
    <t>3 x 2 m, 2 x 2 m, 2 x 1 m</t>
  </si>
  <si>
    <t xml:space="preserve">5 x 4 m e 4 x 4 m </t>
  </si>
  <si>
    <t>4 x 3 m</t>
  </si>
  <si>
    <t>Cultivares porte baixo: 2 x 2 m e 2 x 2,5 m</t>
  </si>
  <si>
    <t>Fileira dupla: 90 a 120 cm entre fileiras duplas e 40 a 50 cm entre filas simples x 35 a 40 cm entre plantas</t>
  </si>
  <si>
    <t>Consumo in natura: 5 x 6 m, 6 a 8 x 5 m</t>
  </si>
  <si>
    <t xml:space="preserve">6 x 4 m, 5 x 4 m, 5 x 3 m </t>
  </si>
  <si>
    <t>6 x 5 m, 6 x 4 m, 5 x 5 m, 4 x 4 m</t>
  </si>
  <si>
    <t>3,5 m x 2 e 3,5 m x 1</t>
  </si>
  <si>
    <t>2,5 x 2,5 m</t>
  </si>
  <si>
    <t>Tabelas com espaçamentos de plantio tradicionais e adensados</t>
  </si>
  <si>
    <r>
      <t xml:space="preserve">          Para uma amostragem de solo bem feita, deve-se primeiramente dividir toda a área em glebas ou talhões com características semelhantes (Figura 1). Cada gleba ou talhão deve apresentar a mesma topografia (topo de morro, encosta, baixada), a mesma vegetação, as mesmas características perceptíveis de solo (cor, textura, condição de drenagem) e o mesmo histórico de cultivo (plantas com mesma idade, uso de fertilizantes, culturas plantadas anteriormente). 
            As amostragens devem ser feitas coletando-se amostras simples em </t>
    </r>
    <r>
      <rPr>
        <b/>
        <sz val="16"/>
        <color theme="1"/>
        <rFont val="Arial"/>
        <family val="2"/>
      </rPr>
      <t>20 pontos ao acaso</t>
    </r>
    <r>
      <rPr>
        <sz val="16"/>
        <color theme="1"/>
        <rFont val="Arial"/>
        <family val="2"/>
      </rPr>
      <t xml:space="preserve">, caminhando em ziguezague em cada gleba ou talhão homogêneo e com o uso de trados, enxadas ou pás (Figura 2). Misturando-se bem as amostras simples, obtém-se uma amostra composta, da qual separam-se mais ou menos 300 gramas em embalagens limpas. Deve-se identificar cada amostra e levar para um laboratório para realizar a análise de solo. 
             Para </t>
    </r>
    <r>
      <rPr>
        <b/>
        <sz val="16"/>
        <color theme="1"/>
        <rFont val="Arial"/>
        <family val="2"/>
      </rPr>
      <t>áreas novas</t>
    </r>
    <r>
      <rPr>
        <sz val="16"/>
        <color theme="1"/>
        <rFont val="Arial"/>
        <family val="2"/>
      </rPr>
      <t xml:space="preserve">, as amostras devem ser coletadas na profundidade de 0 a 20 cm e 20 a 40 cm.
             Para </t>
    </r>
    <r>
      <rPr>
        <b/>
        <sz val="16"/>
        <color theme="1"/>
        <rFont val="Arial"/>
        <family val="2"/>
      </rPr>
      <t>áreas de fruticultura já implantadas</t>
    </r>
    <r>
      <rPr>
        <sz val="16"/>
        <color theme="1"/>
        <rFont val="Arial"/>
        <family val="2"/>
      </rPr>
      <t xml:space="preserve">, as amostras devem ser coletadas na camada de 0 a 20 cm na </t>
    </r>
    <r>
      <rPr>
        <b/>
        <sz val="16"/>
        <color theme="1"/>
        <rFont val="Arial"/>
        <family val="2"/>
      </rPr>
      <t>projeção da copa</t>
    </r>
    <r>
      <rPr>
        <sz val="16"/>
        <color theme="1"/>
        <rFont val="Arial"/>
        <family val="2"/>
      </rPr>
      <t xml:space="preserve"> para avaliação de aspectos nutricionais. Também deve ser coletada amostras na profundidade de 0 a 20 cm nas entrelinhas ou no centro das ruas para avaliação dos efeitos da calagem. 
             A frequência da amostragem depende do manejo da cultura. Recomenda-se amostragem anual a partir da fase produtiva e realizada antes do período das chuvas. E a cada três anos coletar amostras nas camadas de 20 a 40 cm. 
</t>
    </r>
  </si>
  <si>
    <t xml:space="preserve">Deve-se evitar a amostragem em locais próximos de estradas e carreadores (contaminação pela poeira) e em plantas atacadas por doenças e pragas. 
Plantações que receberam pulverizações contendo nutrientes, só devem ser amostrados um mês após. 
As folhas coletadas devem ser colocadas em sacos de papel, identificadas (incluindo informações de manejo nutricional da planta) e envidas para o laboratório em um prazo máximo de 24h. 
Solicitar uma análise completa para uma boa interpretação dos resultados. 
</t>
  </si>
  <si>
    <t xml:space="preserve">
A análise foliar e a análise do são complementares e podem oferecer informações valiosas na solução de algum problema nutricional nas frutíferas. 
A amostragem deve ser feita seguindo os critérios abaixo:
</t>
  </si>
  <si>
    <t>Cultura</t>
  </si>
  <si>
    <t>Época</t>
  </si>
  <si>
    <t>Tipo de folha</t>
  </si>
  <si>
    <t>Número de folhas por gleba</t>
  </si>
  <si>
    <t>Fevereiro a março</t>
  </si>
  <si>
    <t>Folhas com 5 a 7 meses de idade, coletadas nos quatro lados da planta.</t>
  </si>
  <si>
    <t>100 folhas, de 25 plantas</t>
  </si>
  <si>
    <t>Antes da indução floral</t>
  </si>
  <si>
    <t>50 folhas, uma por planta</t>
  </si>
  <si>
    <t>Início da frutificação</t>
  </si>
  <si>
    <t>Folhas jovens, expandidas, coletadas nos quatro lados da planta.</t>
  </si>
  <si>
    <t>Florescimento</t>
  </si>
  <si>
    <t>Dezembro a janeiro</t>
  </si>
  <si>
    <t>Coletar a 2ª folha depois do fruto, uma folha em cada ponto cardeal.</t>
  </si>
  <si>
    <t>100 folhas em 25 plantas</t>
  </si>
  <si>
    <t>Coletar o 3º par de folhas desenvolvidas a partir da ponta de ramos e frutos.</t>
  </si>
  <si>
    <t>30 folhas, uma por planta</t>
  </si>
  <si>
    <t>Coletar folhas maduras na altura média da árvore em ramos com flores</t>
  </si>
  <si>
    <t>Coletar os pecíolos de folhas jovens, expandidas e maduras (17ª a 20 ª folhas a partir do ápice), com uma flor visível na axila</t>
  </si>
  <si>
    <t>30 folhas de 15 plantas</t>
  </si>
  <si>
    <t>Coletar folhas de ramos com flores na extremidade.</t>
  </si>
  <si>
    <t>80 folhas de 20 plantas</t>
  </si>
  <si>
    <t>Março a junho</t>
  </si>
  <si>
    <t>Coletar a 3ª ou 4ª folha a partir da ponta</t>
  </si>
  <si>
    <r>
      <t>Retirar de 5 a 10 cm da porção central, da 3</t>
    </r>
    <r>
      <rPr>
        <vertAlign val="superscript"/>
        <sz val="12"/>
        <color theme="1"/>
        <rFont val="Arial"/>
        <family val="2"/>
      </rPr>
      <t xml:space="preserve">a </t>
    </r>
    <r>
      <rPr>
        <sz val="12"/>
        <color theme="1"/>
        <rFont val="Arial"/>
        <family val="2"/>
      </rPr>
      <t>folha a partir da inflorescência.</t>
    </r>
  </si>
  <si>
    <r>
      <t>Folha recém-madura "D", normalmente a 4</t>
    </r>
    <r>
      <rPr>
        <vertAlign val="superscript"/>
        <sz val="12"/>
        <color theme="1"/>
        <rFont val="Arial"/>
        <family val="2"/>
      </rPr>
      <t xml:space="preserve">a </t>
    </r>
    <r>
      <rPr>
        <sz val="12"/>
        <color theme="1"/>
        <rFont val="Arial"/>
        <family val="2"/>
      </rPr>
      <t xml:space="preserve">folha a partir do ápice </t>
    </r>
  </si>
  <si>
    <t>DETALHE O ESPAÇAMENTO SE ESTE FOR SIMPLES</t>
  </si>
  <si>
    <t>DETALHE O ESPAÇAMENTO SE ESTE FOR DUPLO</t>
  </si>
  <si>
    <t>DIGA SE FOI REALIZADA AMOSTRAGEM DE SOLO DE 40-60 CM</t>
  </si>
  <si>
    <t>Cálcio</t>
  </si>
  <si>
    <t>Alumínio</t>
  </si>
  <si>
    <t>Saturação Alumínio</t>
  </si>
  <si>
    <t>SAT. ALUMÍNIO</t>
  </si>
  <si>
    <r>
      <rPr>
        <b/>
        <sz val="14"/>
        <rFont val="Helvetica"/>
      </rPr>
      <t>Aplicar da seguinte forma</t>
    </r>
    <r>
      <rPr>
        <sz val="14"/>
        <rFont val="Helvetica"/>
      </rPr>
      <t>: a calagem/rochagem deve ser aplicada no final do período chuvoso anterior ao plantio, ou ainda, no início da estação chuvosa pouco antes do plantio. Se a dose de calcario for elevada (maior que 5 toneladas por hectare), a aplicação deverá ser parcelada em 2 vezes e o intervalo entre uma aplicação e a outra deverá ser de no mínimo 12 meses.</t>
    </r>
  </si>
  <si>
    <r>
      <rPr>
        <b/>
        <sz val="14"/>
        <rFont val="Helvetica"/>
      </rPr>
      <t>Aplicar da seguinte forma:</t>
    </r>
    <r>
      <rPr>
        <sz val="14"/>
        <rFont val="Helvetica"/>
      </rPr>
      <t xml:space="preserve"> o gesso agrícola deve ser aplicado a lanço </t>
    </r>
    <r>
      <rPr>
        <b/>
        <sz val="14"/>
        <rFont val="Helvetica"/>
      </rPr>
      <t xml:space="preserve">depois </t>
    </r>
    <r>
      <rPr>
        <sz val="14"/>
        <rFont val="Helvetica"/>
      </rPr>
      <t>da calagem</t>
    </r>
  </si>
  <si>
    <r>
      <rPr>
        <b/>
        <sz val="14"/>
        <rFont val="Helvetica"/>
      </rPr>
      <t>Aplicar da seguinte forma:</t>
    </r>
    <r>
      <rPr>
        <sz val="14"/>
        <rFont val="Helvetica"/>
      </rPr>
      <t xml:space="preserve"> 
a) O adubo fosfatado e adubos orgânicos podem ser aplicado de uma única vez no início da estação chuvosa.
b) Parcelar em três vezes, durante o período chuvoso, os adubos contendo nitrogênio e potássio.
c) Fazer nova amostragem de solo a cada dois ou três anos.</t>
    </r>
  </si>
  <si>
    <r>
      <rPr>
        <b/>
        <sz val="14"/>
        <rFont val="Helvetica"/>
      </rPr>
      <t>Aplicar da seguinte forma:</t>
    </r>
    <r>
      <rPr>
        <sz val="14"/>
        <rFont val="Helvetica"/>
      </rPr>
      <t xml:space="preserve">
a) Os micronutrientes podem ser misturados e aplicados juntos aos outros adubos fontes de nitrogênio, fósforo e potássio
b) A reaplicação de micronutrientes pode ser necessária após 4 anos, de acordo com análise do solo</t>
    </r>
  </si>
  <si>
    <t>SE A RESPOSTA ANTERIOR FOI SIM, DIGA OS DADOS ABAIXO</t>
  </si>
  <si>
    <t>Farinha de osso</t>
  </si>
  <si>
    <t>ITAU Calcario Filler</t>
  </si>
  <si>
    <t xml:space="preserve">Pesquisa de preços &gt;&gt;&gt;&gt; </t>
  </si>
  <si>
    <t>Hortibraz</t>
  </si>
  <si>
    <t>3361-3809</t>
  </si>
  <si>
    <t>Vegetal Agronegócios</t>
  </si>
  <si>
    <t>3234-8485</t>
  </si>
  <si>
    <t>Adubos Araguaia</t>
  </si>
  <si>
    <t>3362-3500</t>
  </si>
  <si>
    <t>CUSTOS</t>
  </si>
  <si>
    <t>TAMANHO DA ÁREA PLANTADA EM HECTARES</t>
  </si>
  <si>
    <t>Custo/nº plantas</t>
  </si>
  <si>
    <t>FONTE ORGÂNICA</t>
  </si>
  <si>
    <t>Gran 12</t>
  </si>
  <si>
    <t>Uréia</t>
  </si>
  <si>
    <t>Nitrato de potássio</t>
  </si>
  <si>
    <t>Sulfato de potássio</t>
  </si>
  <si>
    <t>DRIPSOL Alface</t>
  </si>
  <si>
    <t>MAP</t>
  </si>
  <si>
    <t>MKP</t>
  </si>
  <si>
    <t>Hortimax Plantio 03-18-05</t>
  </si>
  <si>
    <t>Algas marinhas Algen</t>
  </si>
  <si>
    <t>Sulfato de magnésio</t>
  </si>
  <si>
    <t>Boráx</t>
  </si>
  <si>
    <t>Formulado 04-14-08</t>
  </si>
  <si>
    <t>Formulado 04-30-16</t>
  </si>
  <si>
    <t>Formulado 05-25-15</t>
  </si>
  <si>
    <t>Yara Formulado 04-30-10</t>
  </si>
  <si>
    <t>Baseduo Formulado 08-24-08</t>
  </si>
  <si>
    <t>Timac Formulado 04-26-10</t>
  </si>
  <si>
    <t>Timac Formulado 12-03-24</t>
  </si>
  <si>
    <t>Formulado 10-10-10</t>
  </si>
  <si>
    <t>Formulado 20-00-20</t>
  </si>
  <si>
    <t>Ncalcio Formulado 07-00-30</t>
  </si>
  <si>
    <t>Torta de mamona Hortibraz</t>
  </si>
  <si>
    <t>AGROSILICIO</t>
  </si>
  <si>
    <t>Brexil Top</t>
  </si>
  <si>
    <t>Molibdato de sódio</t>
  </si>
  <si>
    <t>Ferrelene</t>
  </si>
  <si>
    <t>Custo/planta</t>
  </si>
  <si>
    <t>Custo/área total</t>
  </si>
  <si>
    <t>ESCOLHA OS ADUBOS E VEJA AS QUANTIDADES</t>
  </si>
  <si>
    <t>SIMULE A COMBINAÇÃO DE ADUBOS</t>
  </si>
  <si>
    <t>PARA OBTER O MENOR CUSTO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</si>
</sst>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R$&quot;\ * #,##0.00_-;\-&quot;R$&quot;\ * #,##0.00_-;_-&quot;R$&quot;\ * &quot;-&quot;??_-;_-@_-"/>
    <numFmt numFmtId="43" formatCode="_-* #,##0.00_-;\-* #,##0.00_-;_-* &quot;-&quot;??_-;_-@_-"/>
    <numFmt numFmtId="164" formatCode="0.0"/>
    <numFmt numFmtId="165" formatCode="0.0%"/>
    <numFmt numFmtId="166" formatCode="0.000"/>
  </numFmts>
  <fonts count="42" x14ac:knownFonts="1">
    <font>
      <sz val="11"/>
      <color theme="1"/>
      <name val="Calibri"/>
      <family val="2"/>
      <scheme val="minor"/>
    </font>
    <font>
      <sz val="12"/>
      <color theme="1"/>
      <name val="Helvetica"/>
    </font>
    <font>
      <sz val="11"/>
      <color theme="1"/>
      <name val="Calibri"/>
      <family val="2"/>
      <scheme val="minor"/>
    </font>
    <font>
      <sz val="14"/>
      <color theme="0"/>
      <name val="Helvetica"/>
    </font>
    <font>
      <sz val="14"/>
      <name val="Helvetica"/>
    </font>
    <font>
      <b/>
      <sz val="14"/>
      <name val="Helvetica"/>
    </font>
    <font>
      <sz val="9"/>
      <color indexed="81"/>
      <name val="Segoe UI"/>
      <family val="2"/>
    </font>
    <font>
      <sz val="14"/>
      <color rgb="FFFF0000"/>
      <name val="Helvetica"/>
    </font>
    <font>
      <sz val="14"/>
      <name val="Arial"/>
      <family val="2"/>
    </font>
    <font>
      <b/>
      <sz val="14"/>
      <name val="Arial"/>
      <family val="2"/>
    </font>
    <font>
      <u/>
      <sz val="11"/>
      <color theme="10"/>
      <name val="Calibri"/>
      <family val="2"/>
      <scheme val="minor"/>
    </font>
    <font>
      <u/>
      <sz val="20"/>
      <color theme="10"/>
      <name val="Arial"/>
      <family val="2"/>
    </font>
    <font>
      <b/>
      <sz val="16"/>
      <color indexed="81"/>
      <name val="Segoe UI"/>
      <family val="2"/>
    </font>
    <font>
      <sz val="16"/>
      <color indexed="81"/>
      <name val="Segoe UI"/>
      <family val="2"/>
    </font>
    <font>
      <b/>
      <sz val="14"/>
      <color indexed="81"/>
      <name val="Arial"/>
      <family val="2"/>
    </font>
    <font>
      <sz val="8"/>
      <name val="Calibri"/>
      <family val="2"/>
      <scheme val="minor"/>
    </font>
    <font>
      <u/>
      <sz val="12"/>
      <color theme="10"/>
      <name val="Arial"/>
      <family val="2"/>
    </font>
    <font>
      <u/>
      <sz val="14"/>
      <color theme="10"/>
      <name val="Arial"/>
      <family val="2"/>
    </font>
    <font>
      <u/>
      <sz val="18"/>
      <color theme="10"/>
      <name val="Arial"/>
      <family val="2"/>
    </font>
    <font>
      <sz val="12"/>
      <color theme="1"/>
      <name val="Arial"/>
      <family val="2"/>
    </font>
    <font>
      <sz val="16"/>
      <color theme="1"/>
      <name val="Arial"/>
      <family val="2"/>
    </font>
    <font>
      <b/>
      <sz val="12"/>
      <name val="Arial"/>
      <family val="2"/>
    </font>
    <font>
      <sz val="12"/>
      <name val="Arial"/>
      <family val="2"/>
    </font>
    <font>
      <b/>
      <sz val="10"/>
      <name val="Arial"/>
      <family val="2"/>
    </font>
    <font>
      <sz val="10"/>
      <name val="Arial"/>
      <family val="2"/>
    </font>
    <font>
      <b/>
      <sz val="9"/>
      <name val="Arial"/>
      <family val="2"/>
    </font>
    <font>
      <sz val="9"/>
      <name val="Arial"/>
      <family val="2"/>
    </font>
    <font>
      <sz val="11"/>
      <color theme="1"/>
      <name val="Arial"/>
      <family val="2"/>
    </font>
    <font>
      <b/>
      <sz val="11"/>
      <color theme="1"/>
      <name val="Arial"/>
      <family val="2"/>
    </font>
    <font>
      <sz val="14"/>
      <color theme="6" tint="-0.249977111117893"/>
      <name val="Arial"/>
      <family val="2"/>
    </font>
    <font>
      <vertAlign val="superscript"/>
      <sz val="12"/>
      <name val="Arial"/>
      <family val="2"/>
    </font>
    <font>
      <vertAlign val="subscript"/>
      <sz val="12"/>
      <name val="Arial"/>
      <family val="2"/>
    </font>
    <font>
      <sz val="10"/>
      <color theme="1"/>
      <name val="Arial"/>
      <family val="2"/>
    </font>
    <font>
      <b/>
      <sz val="16"/>
      <color theme="1"/>
      <name val="Arial"/>
      <family val="2"/>
    </font>
    <font>
      <vertAlign val="superscript"/>
      <sz val="10"/>
      <name val="Arial"/>
      <family val="2"/>
    </font>
    <font>
      <u/>
      <sz val="14"/>
      <color theme="10"/>
      <name val="Calibri"/>
      <family val="2"/>
      <scheme val="minor"/>
    </font>
    <font>
      <b/>
      <sz val="12"/>
      <color theme="1"/>
      <name val="Arial"/>
      <family val="2"/>
    </font>
    <font>
      <vertAlign val="superscript"/>
      <sz val="12"/>
      <color theme="1"/>
      <name val="Arial"/>
      <family val="2"/>
    </font>
    <font>
      <b/>
      <sz val="14"/>
      <color theme="0"/>
      <name val="Helvetica"/>
    </font>
    <font>
      <b/>
      <sz val="14"/>
      <color theme="1"/>
      <name val="Helvetica"/>
    </font>
    <font>
      <sz val="14"/>
      <color theme="1"/>
      <name val="Helvetica"/>
    </font>
    <font>
      <u/>
      <sz val="14"/>
      <name val="Helvetica"/>
    </font>
  </fonts>
  <fills count="2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bgColor rgb="FFFF9900"/>
      </patternFill>
    </fill>
    <fill>
      <patternFill patternType="solid">
        <fgColor theme="0"/>
        <bgColor rgb="FFC3D69A"/>
      </patternFill>
    </fill>
    <fill>
      <patternFill patternType="solid">
        <fgColor theme="9" tint="0.59999389629810485"/>
        <bgColor indexed="64"/>
      </patternFill>
    </fill>
    <fill>
      <patternFill patternType="solid">
        <fgColor theme="9" tint="0.59999389629810485"/>
        <bgColor rgb="FFC3D69A"/>
      </patternFill>
    </fill>
    <fill>
      <patternFill patternType="solid">
        <fgColor theme="9" tint="0.59999389629810485"/>
        <bgColor rgb="FFFF9900"/>
      </patternFill>
    </fill>
    <fill>
      <patternFill patternType="solid">
        <fgColor theme="0"/>
        <bgColor rgb="FFD9D9D9"/>
      </patternFill>
    </fill>
    <fill>
      <patternFill patternType="solid">
        <fgColor theme="0" tint="-0.14999847407452621"/>
        <bgColor indexed="64"/>
      </patternFill>
    </fill>
    <fill>
      <patternFill patternType="solid">
        <fgColor theme="0" tint="-0.14999847407452621"/>
        <bgColor rgb="FFD9D9D9"/>
      </patternFill>
    </fill>
    <fill>
      <patternFill patternType="solid">
        <fgColor theme="4" tint="0.59999389629810485"/>
        <bgColor indexed="64"/>
      </patternFill>
    </fill>
    <fill>
      <patternFill patternType="solid">
        <fgColor theme="4" tint="0.59999389629810485"/>
        <bgColor rgb="FFC3D69A"/>
      </patternFill>
    </fill>
    <fill>
      <patternFill patternType="solid">
        <fgColor theme="0" tint="-0.14999847407452621"/>
        <bgColor rgb="FFFF9900"/>
      </patternFill>
    </fill>
    <fill>
      <patternFill patternType="solid">
        <fgColor theme="9" tint="0.59999389629810485"/>
        <bgColor rgb="FFD9D9D9"/>
      </patternFill>
    </fill>
    <fill>
      <patternFill patternType="solid">
        <fgColor theme="4" tint="0.59999389629810485"/>
        <bgColor rgb="FFD9D9D9"/>
      </patternFill>
    </fill>
    <fill>
      <patternFill patternType="solid">
        <fgColor rgb="FFFFFF00"/>
        <bgColor indexed="64"/>
      </patternFill>
    </fill>
    <fill>
      <patternFill patternType="solid">
        <fgColor rgb="FFFF6D6D"/>
        <bgColor indexed="64"/>
      </patternFill>
    </fill>
    <fill>
      <patternFill patternType="solid">
        <fgColor theme="9" tint="0.39997558519241921"/>
        <bgColor indexed="64"/>
      </patternFill>
    </fill>
    <fill>
      <patternFill patternType="solid">
        <fgColor theme="2" tint="-0.249977111117893"/>
        <bgColor rgb="FFD9D9D9"/>
      </patternFill>
    </fill>
    <fill>
      <patternFill patternType="solid">
        <fgColor theme="2" tint="-0.249977111117893"/>
        <bgColor rgb="FFFF9900"/>
      </patternFill>
    </fill>
    <fill>
      <patternFill patternType="solid">
        <fgColor indexe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0000"/>
        <bgColor indexed="64"/>
      </patternFill>
    </fill>
  </fills>
  <borders count="3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xf numFmtId="44" fontId="2" fillId="0" borderId="0" applyFont="0" applyFill="0" applyBorder="0" applyAlignment="0" applyProtection="0"/>
  </cellStyleXfs>
  <cellXfs count="502">
    <xf numFmtId="0" fontId="0" fillId="0" borderId="0" xfId="0"/>
    <xf numFmtId="164" fontId="4" fillId="3" borderId="2" xfId="0" applyNumberFormat="1" applyFont="1" applyFill="1" applyBorder="1" applyAlignment="1" applyProtection="1">
      <alignment horizontal="center" vertical="center"/>
      <protection locked="0"/>
    </xf>
    <xf numFmtId="2" fontId="4" fillId="3" borderId="2" xfId="0" applyNumberFormat="1"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2" fontId="4" fillId="3" borderId="2" xfId="0" applyNumberFormat="1" applyFont="1" applyFill="1" applyBorder="1" applyAlignment="1" applyProtection="1">
      <alignment horizontal="center" vertical="center"/>
      <protection hidden="1"/>
    </xf>
    <xf numFmtId="0" fontId="5" fillId="3" borderId="0" xfId="0" applyFont="1"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wrapText="1"/>
      <protection locked="0"/>
    </xf>
    <xf numFmtId="164" fontId="5" fillId="3" borderId="2" xfId="0" applyNumberFormat="1" applyFont="1" applyFill="1" applyBorder="1" applyAlignment="1" applyProtection="1">
      <alignment horizontal="center" vertical="center"/>
      <protection locked="0"/>
    </xf>
    <xf numFmtId="164" fontId="4" fillId="2" borderId="2" xfId="0" applyNumberFormat="1" applyFont="1" applyFill="1" applyBorder="1" applyAlignment="1" applyProtection="1">
      <alignment horizontal="center" vertical="center"/>
      <protection locked="0"/>
    </xf>
    <xf numFmtId="2" fontId="4" fillId="2" borderId="2" xfId="0" applyNumberFormat="1" applyFont="1" applyFill="1" applyBorder="1" applyAlignment="1" applyProtection="1">
      <alignment horizontal="center" vertical="center"/>
      <protection locked="0"/>
    </xf>
    <xf numFmtId="0" fontId="4" fillId="3" borderId="0" xfId="0" applyFont="1" applyFill="1" applyAlignment="1" applyProtection="1">
      <alignment horizontal="center" vertical="center"/>
      <protection hidden="1"/>
    </xf>
    <xf numFmtId="0" fontId="4" fillId="3" borderId="0" xfId="0" applyFont="1" applyFill="1" applyBorder="1" applyAlignment="1" applyProtection="1">
      <alignment horizontal="center" vertical="center"/>
      <protection hidden="1"/>
    </xf>
    <xf numFmtId="0" fontId="4" fillId="3" borderId="12"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hidden="1"/>
    </xf>
    <xf numFmtId="0" fontId="4" fillId="2" borderId="2" xfId="0" applyFont="1" applyFill="1" applyBorder="1" applyAlignment="1" applyProtection="1">
      <alignment horizontal="center" vertical="center"/>
      <protection hidden="1"/>
    </xf>
    <xf numFmtId="2" fontId="4" fillId="2" borderId="2" xfId="0" applyNumberFormat="1" applyFont="1" applyFill="1" applyBorder="1" applyAlignment="1" applyProtection="1">
      <alignment horizontal="center" vertical="center"/>
      <protection hidden="1"/>
    </xf>
    <xf numFmtId="0" fontId="4" fillId="3" borderId="0" xfId="0" applyFont="1" applyFill="1" applyAlignment="1" applyProtection="1">
      <alignment horizontal="center" vertical="center"/>
      <protection locked="0"/>
    </xf>
    <xf numFmtId="2" fontId="4" fillId="3" borderId="0" xfId="0" applyNumberFormat="1" applyFont="1" applyFill="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4" fillId="3" borderId="21" xfId="0" applyFont="1" applyFill="1" applyBorder="1" applyAlignment="1" applyProtection="1">
      <alignment horizontal="center" vertical="center"/>
      <protection locked="0"/>
    </xf>
    <xf numFmtId="0" fontId="5" fillId="3" borderId="0" xfId="0" applyFont="1" applyFill="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9" fontId="4" fillId="3" borderId="2" xfId="0" applyNumberFormat="1" applyFont="1" applyFill="1" applyBorder="1" applyAlignment="1" applyProtection="1">
      <alignment horizontal="center" vertical="center"/>
      <protection locked="0"/>
    </xf>
    <xf numFmtId="1" fontId="4" fillId="3" borderId="0" xfId="0" applyNumberFormat="1" applyFont="1" applyFill="1" applyAlignment="1" applyProtection="1">
      <alignment horizontal="center" vertical="center"/>
      <protection locked="0"/>
    </xf>
    <xf numFmtId="1" fontId="3" fillId="3" borderId="15" xfId="0" applyNumberFormat="1" applyFont="1" applyFill="1" applyBorder="1" applyAlignment="1" applyProtection="1">
      <alignment horizontal="center" vertical="center"/>
      <protection locked="0"/>
    </xf>
    <xf numFmtId="9" fontId="4" fillId="2" borderId="2" xfId="2" applyFont="1" applyFill="1" applyBorder="1" applyAlignment="1" applyProtection="1">
      <alignment horizontal="center" vertical="center"/>
      <protection locked="0"/>
    </xf>
    <xf numFmtId="0" fontId="5" fillId="11" borderId="2" xfId="0" applyFont="1" applyFill="1" applyBorder="1" applyAlignment="1" applyProtection="1">
      <alignment horizontal="center" vertical="center" wrapText="1"/>
      <protection locked="0"/>
    </xf>
    <xf numFmtId="0" fontId="4" fillId="14" borderId="2" xfId="0" applyFont="1" applyFill="1" applyBorder="1" applyAlignment="1" applyProtection="1">
      <alignment horizontal="center" vertical="center"/>
      <protection locked="0"/>
    </xf>
    <xf numFmtId="0" fontId="5" fillId="15" borderId="2" xfId="0" applyFont="1" applyFill="1" applyBorder="1" applyAlignment="1" applyProtection="1">
      <alignment horizontal="center" vertical="center" wrapText="1"/>
      <protection locked="0"/>
    </xf>
    <xf numFmtId="0" fontId="4" fillId="8" borderId="2" xfId="0" applyFont="1" applyFill="1" applyBorder="1" applyAlignment="1" applyProtection="1">
      <alignment horizontal="center" vertical="center"/>
      <protection locked="0"/>
    </xf>
    <xf numFmtId="0" fontId="4" fillId="3" borderId="0" xfId="0" applyFont="1" applyFill="1" applyBorder="1" applyAlignment="1" applyProtection="1">
      <alignment vertical="center"/>
      <protection locked="0"/>
    </xf>
    <xf numFmtId="0" fontId="5" fillId="16" borderId="2" xfId="0" applyFont="1" applyFill="1" applyBorder="1" applyAlignment="1" applyProtection="1">
      <alignment horizontal="center" vertical="center" wrapText="1"/>
      <protection locked="0"/>
    </xf>
    <xf numFmtId="0" fontId="4" fillId="13" borderId="2" xfId="0" applyFont="1" applyFill="1" applyBorder="1" applyAlignment="1" applyProtection="1">
      <alignment horizontal="center" vertical="center"/>
      <protection locked="0"/>
    </xf>
    <xf numFmtId="2" fontId="4" fillId="13" borderId="2" xfId="0" applyNumberFormat="1" applyFont="1" applyFill="1" applyBorder="1" applyAlignment="1" applyProtection="1">
      <alignment horizontal="center" vertical="center"/>
      <protection locked="0"/>
    </xf>
    <xf numFmtId="0" fontId="4" fillId="3" borderId="20" xfId="0" applyFont="1" applyFill="1" applyBorder="1" applyAlignment="1" applyProtection="1">
      <alignment horizontal="center" vertical="center"/>
      <protection locked="0"/>
    </xf>
    <xf numFmtId="0" fontId="4" fillId="3" borderId="0" xfId="0" applyFont="1" applyFill="1" applyAlignment="1" applyProtection="1">
      <alignment horizontal="center" vertical="center" wrapText="1"/>
      <protection locked="0"/>
    </xf>
    <xf numFmtId="0" fontId="4" fillId="12" borderId="2" xfId="0" applyFont="1" applyFill="1" applyBorder="1" applyAlignment="1" applyProtection="1">
      <alignment horizontal="center" vertical="center"/>
      <protection locked="0"/>
    </xf>
    <xf numFmtId="2" fontId="4" fillId="6" borderId="2" xfId="0" applyNumberFormat="1" applyFont="1" applyFill="1" applyBorder="1" applyAlignment="1" applyProtection="1">
      <alignment horizontal="center" vertical="center"/>
      <protection locked="0"/>
    </xf>
    <xf numFmtId="0" fontId="4" fillId="7" borderId="2"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2" fontId="4" fillId="3" borderId="0" xfId="0" applyNumberFormat="1" applyFont="1" applyFill="1" applyAlignment="1" applyProtection="1">
      <alignment horizontal="center" vertical="center"/>
      <protection hidden="1"/>
    </xf>
    <xf numFmtId="2" fontId="4" fillId="3" borderId="0" xfId="0" applyNumberFormat="1" applyFont="1" applyFill="1" applyBorder="1" applyAlignment="1" applyProtection="1">
      <alignment horizontal="center" vertical="center"/>
      <protection hidden="1"/>
    </xf>
    <xf numFmtId="0" fontId="5" fillId="9" borderId="2" xfId="0" applyFont="1"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wrapText="1"/>
      <protection locked="0"/>
    </xf>
    <xf numFmtId="0" fontId="4" fillId="17" borderId="2" xfId="0" applyFont="1" applyFill="1" applyBorder="1" applyAlignment="1" applyProtection="1">
      <alignment horizontal="center" vertical="center"/>
      <protection locked="0"/>
    </xf>
    <xf numFmtId="0" fontId="4" fillId="2" borderId="2" xfId="0" applyFont="1" applyFill="1" applyBorder="1" applyAlignment="1" applyProtection="1">
      <alignment vertical="center" wrapText="1"/>
      <protection locked="0"/>
    </xf>
    <xf numFmtId="2" fontId="4" fillId="17" borderId="2" xfId="0" applyNumberFormat="1" applyFont="1" applyFill="1" applyBorder="1" applyAlignment="1" applyProtection="1">
      <alignment horizontal="center" vertical="center"/>
      <protection locked="0"/>
    </xf>
    <xf numFmtId="0" fontId="5" fillId="17" borderId="2" xfId="0" applyFont="1" applyFill="1" applyBorder="1" applyAlignment="1" applyProtection="1">
      <alignment horizontal="center" vertical="center"/>
      <protection locked="0"/>
    </xf>
    <xf numFmtId="0" fontId="4" fillId="17" borderId="2" xfId="0" applyFont="1" applyFill="1" applyBorder="1" applyAlignment="1" applyProtection="1">
      <alignment vertical="center" wrapText="1"/>
      <protection locked="0"/>
    </xf>
    <xf numFmtId="166" fontId="3" fillId="3" borderId="0" xfId="0" applyNumberFormat="1" applyFont="1" applyFill="1" applyAlignment="1" applyProtection="1">
      <alignment horizontal="center" vertical="center"/>
      <protection locked="0"/>
    </xf>
    <xf numFmtId="166" fontId="3" fillId="3" borderId="0" xfId="0" applyNumberFormat="1" applyFont="1" applyFill="1" applyBorder="1" applyAlignment="1" applyProtection="1">
      <alignment horizontal="center" vertical="center"/>
      <protection locked="0"/>
    </xf>
    <xf numFmtId="2" fontId="3" fillId="3" borderId="0" xfId="0" applyNumberFormat="1" applyFont="1" applyFill="1" applyBorder="1" applyAlignment="1" applyProtection="1">
      <alignment horizontal="center" vertical="center"/>
      <protection locked="0"/>
    </xf>
    <xf numFmtId="0" fontId="7" fillId="3" borderId="0" xfId="0" applyFont="1" applyFill="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5" fillId="15"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20"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9" borderId="2" xfId="0" applyFont="1" applyFill="1" applyBorder="1" applyAlignment="1" applyProtection="1">
      <alignment horizontal="center" vertical="center" wrapText="1"/>
      <protection locked="0"/>
    </xf>
    <xf numFmtId="0" fontId="4" fillId="3" borderId="2" xfId="0" applyFont="1" applyFill="1" applyBorder="1" applyAlignment="1" applyProtection="1">
      <alignment horizontal="center" vertical="center"/>
      <protection hidden="1"/>
    </xf>
    <xf numFmtId="0" fontId="5" fillId="17" borderId="2"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11" borderId="2" xfId="0" applyFont="1" applyFill="1" applyBorder="1" applyAlignment="1" applyProtection="1">
      <alignment horizontal="center" vertical="center" wrapText="1"/>
      <protection locked="0"/>
    </xf>
    <xf numFmtId="0" fontId="5" fillId="16" borderId="2"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protection locked="0"/>
    </xf>
    <xf numFmtId="0" fontId="4" fillId="17" borderId="2" xfId="0" applyFont="1" applyFill="1" applyBorder="1" applyAlignment="1" applyProtection="1">
      <alignment horizontal="center" vertical="center"/>
      <protection locked="0"/>
    </xf>
    <xf numFmtId="0" fontId="8" fillId="3" borderId="0" xfId="0" applyFont="1" applyFill="1" applyAlignment="1" applyProtection="1">
      <alignment horizontal="center" vertical="center"/>
      <protection locked="0"/>
    </xf>
    <xf numFmtId="0" fontId="8" fillId="3" borderId="2" xfId="0" applyFont="1" applyFill="1" applyBorder="1" applyAlignment="1" applyProtection="1">
      <alignment horizontal="center" vertical="center"/>
      <protection locked="0"/>
    </xf>
    <xf numFmtId="0" fontId="8" fillId="3" borderId="5" xfId="0" applyFont="1" applyFill="1" applyBorder="1" applyAlignment="1" applyProtection="1">
      <alignment horizontal="center" vertical="center"/>
      <protection locked="0"/>
    </xf>
    <xf numFmtId="14" fontId="8" fillId="3" borderId="2" xfId="0" applyNumberFormat="1" applyFont="1" applyFill="1" applyBorder="1" applyAlignment="1" applyProtection="1">
      <alignment horizontal="center" vertical="center"/>
      <protection locked="0"/>
    </xf>
    <xf numFmtId="1" fontId="8" fillId="3" borderId="2" xfId="0" applyNumberFormat="1" applyFont="1" applyFill="1" applyBorder="1" applyAlignment="1" applyProtection="1">
      <alignment horizontal="center" vertical="center"/>
      <protection locked="0"/>
    </xf>
    <xf numFmtId="2" fontId="8" fillId="3" borderId="2" xfId="0" applyNumberFormat="1" applyFont="1" applyFill="1" applyBorder="1" applyAlignment="1" applyProtection="1">
      <alignment horizontal="center" vertical="center"/>
      <protection locked="0"/>
    </xf>
    <xf numFmtId="165" fontId="8" fillId="3" borderId="2" xfId="0" applyNumberFormat="1" applyFont="1" applyFill="1" applyBorder="1" applyAlignment="1" applyProtection="1">
      <alignment horizontal="center" vertical="center"/>
      <protection locked="0"/>
    </xf>
    <xf numFmtId="164" fontId="8" fillId="3" borderId="2" xfId="1" applyNumberFormat="1" applyFont="1" applyFill="1" applyBorder="1" applyAlignment="1" applyProtection="1">
      <alignment horizontal="center" vertical="center"/>
      <protection locked="0"/>
    </xf>
    <xf numFmtId="166" fontId="9" fillId="3" borderId="0" xfId="0" applyNumberFormat="1" applyFont="1" applyFill="1" applyAlignment="1" applyProtection="1">
      <alignment horizontal="center" vertical="center"/>
      <protection locked="0"/>
    </xf>
    <xf numFmtId="2" fontId="9" fillId="3" borderId="0" xfId="0" applyNumberFormat="1" applyFont="1" applyFill="1" applyAlignment="1" applyProtection="1">
      <alignment horizontal="center" vertical="center"/>
      <protection locked="0"/>
    </xf>
    <xf numFmtId="2" fontId="9" fillId="3" borderId="0" xfId="0" applyNumberFormat="1" applyFont="1" applyFill="1" applyBorder="1" applyAlignment="1" applyProtection="1">
      <alignment horizontal="center" vertical="center"/>
      <protection locked="0"/>
    </xf>
    <xf numFmtId="9" fontId="4" fillId="2" borderId="4" xfId="2" applyFont="1" applyFill="1" applyBorder="1" applyAlignment="1" applyProtection="1">
      <alignment horizontal="center" vertical="center"/>
      <protection locked="0"/>
    </xf>
    <xf numFmtId="0" fontId="4" fillId="18" borderId="2"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20"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9" borderId="2" xfId="0" applyFont="1" applyFill="1" applyBorder="1" applyAlignment="1" applyProtection="1">
      <alignment horizontal="center" vertical="center" wrapText="1"/>
      <protection locked="0"/>
    </xf>
    <xf numFmtId="0" fontId="4" fillId="3" borderId="2"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4" fillId="17" borderId="2" xfId="0" applyFont="1" applyFill="1" applyBorder="1" applyAlignment="1" applyProtection="1">
      <alignment horizontal="center" vertical="center"/>
      <protection locked="0"/>
    </xf>
    <xf numFmtId="0" fontId="5" fillId="16" borderId="2" xfId="0" applyFont="1" applyFill="1" applyBorder="1" applyAlignment="1" applyProtection="1">
      <alignment horizontal="center" vertical="center" wrapText="1"/>
      <protection locked="0"/>
    </xf>
    <xf numFmtId="0" fontId="5" fillId="11" borderId="2" xfId="0" applyFont="1" applyFill="1" applyBorder="1" applyAlignment="1" applyProtection="1">
      <alignment horizontal="center" vertical="center" wrapText="1"/>
      <protection locked="0"/>
    </xf>
    <xf numFmtId="0" fontId="5" fillId="15"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protection hidden="1"/>
    </xf>
    <xf numFmtId="0" fontId="4" fillId="0" borderId="2" xfId="0" applyFont="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8" fillId="3" borderId="5"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hidden="1"/>
    </xf>
    <xf numFmtId="0" fontId="5" fillId="17"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8" fillId="3"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20"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9"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protection hidden="1"/>
    </xf>
    <xf numFmtId="0" fontId="4" fillId="3" borderId="2" xfId="0" applyFont="1" applyFill="1" applyBorder="1" applyAlignment="1" applyProtection="1">
      <alignment horizontal="center" vertical="center"/>
      <protection locked="0"/>
    </xf>
    <xf numFmtId="0" fontId="4" fillId="17" borderId="2" xfId="0" applyFont="1" applyFill="1" applyBorder="1" applyAlignment="1" applyProtection="1">
      <alignment horizontal="center" vertical="center"/>
      <protection locked="0"/>
    </xf>
    <xf numFmtId="0" fontId="5" fillId="16" borderId="2" xfId="0" applyFont="1" applyFill="1" applyBorder="1" applyAlignment="1" applyProtection="1">
      <alignment horizontal="center" vertical="center" wrapText="1"/>
      <protection locked="0"/>
    </xf>
    <xf numFmtId="0" fontId="5" fillId="11" borderId="2" xfId="0" applyFont="1" applyFill="1" applyBorder="1" applyAlignment="1" applyProtection="1">
      <alignment horizontal="center" vertical="center" wrapText="1"/>
      <protection locked="0"/>
    </xf>
    <xf numFmtId="0" fontId="5" fillId="15" borderId="2" xfId="0" applyFont="1" applyFill="1" applyBorder="1" applyAlignment="1" applyProtection="1">
      <alignment horizontal="center" vertical="center" wrapText="1"/>
      <protection locked="0"/>
    </xf>
    <xf numFmtId="0" fontId="4" fillId="3" borderId="15"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8" fillId="3" borderId="5"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hidden="1"/>
    </xf>
    <xf numFmtId="0" fontId="5" fillId="17"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1" fillId="19" borderId="0" xfId="0" applyFont="1" applyFill="1"/>
    <xf numFmtId="0" fontId="0" fillId="0" borderId="0" xfId="0" applyAlignment="1"/>
    <xf numFmtId="0" fontId="27" fillId="0" borderId="6" xfId="0" applyFont="1" applyBorder="1"/>
    <xf numFmtId="0" fontId="27" fillId="0" borderId="0" xfId="0" applyFont="1"/>
    <xf numFmtId="0" fontId="27" fillId="0" borderId="28" xfId="0" applyFont="1" applyBorder="1"/>
    <xf numFmtId="0" fontId="26" fillId="14" borderId="0" xfId="0" applyFont="1" applyFill="1" applyBorder="1" applyAlignment="1">
      <alignment horizontal="center" vertical="center"/>
    </xf>
    <xf numFmtId="2" fontId="26" fillId="14" borderId="0" xfId="0" applyNumberFormat="1" applyFont="1" applyFill="1" applyBorder="1" applyAlignment="1">
      <alignment horizontal="center" vertical="center"/>
    </xf>
    <xf numFmtId="2" fontId="26" fillId="21" borderId="0" xfId="0" applyNumberFormat="1" applyFont="1" applyFill="1" applyBorder="1" applyAlignment="1">
      <alignment horizontal="center" vertical="center"/>
    </xf>
    <xf numFmtId="0" fontId="26" fillId="14" borderId="26" xfId="0" applyFont="1" applyFill="1" applyBorder="1" applyAlignment="1">
      <alignment horizontal="center" vertical="center"/>
    </xf>
    <xf numFmtId="2" fontId="26" fillId="14" borderId="26" xfId="0" applyNumberFormat="1" applyFont="1" applyFill="1" applyBorder="1" applyAlignment="1">
      <alignment horizontal="center" vertical="center"/>
    </xf>
    <xf numFmtId="2" fontId="26" fillId="21" borderId="26" xfId="0" applyNumberFormat="1" applyFont="1" applyFill="1" applyBorder="1" applyAlignment="1">
      <alignment horizontal="center" vertical="center"/>
    </xf>
    <xf numFmtId="0" fontId="26" fillId="14" borderId="28" xfId="0" applyFont="1" applyFill="1" applyBorder="1" applyAlignment="1">
      <alignment horizontal="center" vertical="center"/>
    </xf>
    <xf numFmtId="2" fontId="26" fillId="14" borderId="28" xfId="0" applyNumberFormat="1" applyFont="1" applyFill="1" applyBorder="1" applyAlignment="1">
      <alignment horizontal="center" vertical="center"/>
    </xf>
    <xf numFmtId="2" fontId="26" fillId="21" borderId="28" xfId="0" applyNumberFormat="1" applyFont="1" applyFill="1" applyBorder="1" applyAlignment="1">
      <alignment horizontal="center" vertical="center"/>
    </xf>
    <xf numFmtId="0" fontId="25" fillId="11" borderId="6" xfId="0" applyFont="1" applyFill="1" applyBorder="1" applyAlignment="1">
      <alignment horizontal="center" vertical="center" wrapText="1"/>
    </xf>
    <xf numFmtId="0" fontId="25" fillId="20" borderId="6" xfId="0" applyFont="1" applyFill="1" applyBorder="1" applyAlignment="1">
      <alignment horizontal="center" vertical="center" wrapText="1"/>
    </xf>
    <xf numFmtId="0" fontId="22" fillId="22" borderId="0" xfId="0" applyFont="1" applyFill="1" applyProtection="1">
      <protection hidden="1"/>
    </xf>
    <xf numFmtId="0" fontId="22" fillId="22" borderId="0" xfId="0" applyFont="1" applyFill="1" applyAlignment="1" applyProtection="1">
      <alignment horizontal="left" vertical="top"/>
      <protection hidden="1"/>
    </xf>
    <xf numFmtId="0" fontId="22" fillId="22" borderId="28" xfId="0" applyFont="1" applyFill="1" applyBorder="1" applyAlignment="1" applyProtection="1">
      <alignment horizontal="left" vertical="top"/>
      <protection hidden="1"/>
    </xf>
    <xf numFmtId="0" fontId="27" fillId="23" borderId="33" xfId="0" applyFont="1" applyFill="1" applyBorder="1" applyAlignment="1" applyProtection="1">
      <alignment horizontal="center" vertical="center"/>
      <protection locked="0"/>
    </xf>
    <xf numFmtId="0" fontId="27" fillId="0" borderId="0" xfId="0" applyFont="1" applyAlignment="1" applyProtection="1">
      <alignment horizontal="left" vertical="top"/>
      <protection hidden="1"/>
    </xf>
    <xf numFmtId="0" fontId="27" fillId="23" borderId="34" xfId="0" applyFont="1" applyFill="1" applyBorder="1" applyAlignment="1" applyProtection="1">
      <alignment horizontal="center" vertical="center"/>
      <protection locked="0"/>
    </xf>
    <xf numFmtId="0" fontId="27" fillId="0" borderId="0" xfId="0" applyFont="1" applyProtection="1">
      <protection hidden="1"/>
    </xf>
    <xf numFmtId="0" fontId="27" fillId="0" borderId="0" xfId="0" applyFont="1" applyProtection="1">
      <protection locked="0"/>
    </xf>
    <xf numFmtId="0" fontId="27" fillId="23" borderId="35" xfId="0" applyFont="1" applyFill="1" applyBorder="1" applyAlignment="1" applyProtection="1">
      <alignment horizontal="center" vertical="center"/>
      <protection locked="0"/>
    </xf>
    <xf numFmtId="0" fontId="22" fillId="0" borderId="0" xfId="0" applyFont="1" applyAlignment="1" applyProtection="1">
      <alignment vertical="center"/>
      <protection hidden="1"/>
    </xf>
    <xf numFmtId="0" fontId="27" fillId="0" borderId="0" xfId="0" applyFont="1" applyAlignment="1" applyProtection="1">
      <alignment vertical="center"/>
      <protection hidden="1"/>
    </xf>
    <xf numFmtId="0" fontId="24" fillId="0" borderId="16" xfId="0" applyFont="1" applyBorder="1" applyAlignment="1" applyProtection="1">
      <alignment vertical="center" wrapText="1"/>
      <protection hidden="1"/>
    </xf>
    <xf numFmtId="0" fontId="24" fillId="0" borderId="16" xfId="0" applyFont="1" applyBorder="1" applyAlignment="1" applyProtection="1">
      <alignment horizontal="center" vertical="center" wrapText="1"/>
      <protection hidden="1"/>
    </xf>
    <xf numFmtId="0" fontId="24" fillId="24" borderId="16" xfId="0" applyFont="1" applyFill="1" applyBorder="1" applyAlignment="1" applyProtection="1">
      <alignment horizontal="center" vertical="center" wrapText="1"/>
      <protection hidden="1"/>
    </xf>
    <xf numFmtId="0" fontId="24" fillId="0" borderId="16" xfId="0" applyFont="1" applyBorder="1" applyAlignment="1" applyProtection="1">
      <alignment horizontal="left" vertical="top" wrapText="1"/>
      <protection hidden="1"/>
    </xf>
    <xf numFmtId="0" fontId="24" fillId="0" borderId="16" xfId="0" applyFont="1" applyBorder="1" applyAlignment="1" applyProtection="1">
      <alignment vertical="top" wrapText="1"/>
      <protection hidden="1"/>
    </xf>
    <xf numFmtId="0" fontId="32" fillId="23" borderId="33" xfId="0" applyFont="1" applyFill="1" applyBorder="1" applyAlignment="1" applyProtection="1">
      <alignment horizontal="center" vertical="center"/>
      <protection locked="0"/>
    </xf>
    <xf numFmtId="0" fontId="32" fillId="23" borderId="34" xfId="0" applyFont="1" applyFill="1" applyBorder="1" applyAlignment="1" applyProtection="1">
      <alignment horizontal="center" vertical="center"/>
      <protection locked="0"/>
    </xf>
    <xf numFmtId="0" fontId="32" fillId="0" borderId="0" xfId="0" applyFont="1"/>
    <xf numFmtId="0" fontId="32" fillId="0" borderId="0" xfId="0" applyFont="1" applyProtection="1">
      <protection locked="0"/>
    </xf>
    <xf numFmtId="0" fontId="32" fillId="23" borderId="35" xfId="0" applyFont="1" applyFill="1" applyBorder="1" applyAlignment="1" applyProtection="1">
      <alignment horizontal="center" vertical="center"/>
      <protection locked="0"/>
    </xf>
    <xf numFmtId="0" fontId="24" fillId="0" borderId="0" xfId="0" applyFont="1" applyAlignment="1" applyProtection="1">
      <alignment vertical="center"/>
      <protection hidden="1"/>
    </xf>
    <xf numFmtId="0" fontId="32" fillId="0" borderId="0" xfId="0" applyFont="1" applyAlignment="1" applyProtection="1">
      <alignment vertical="center"/>
      <protection hidden="1"/>
    </xf>
    <xf numFmtId="0" fontId="32" fillId="0" borderId="0" xfId="0" applyFont="1" applyProtection="1">
      <protection hidden="1"/>
    </xf>
    <xf numFmtId="0" fontId="24" fillId="23" borderId="36" xfId="0" applyFont="1" applyFill="1" applyBorder="1" applyAlignment="1" applyProtection="1">
      <alignment horizontal="center"/>
      <protection locked="0"/>
    </xf>
    <xf numFmtId="0" fontId="24" fillId="3" borderId="37" xfId="0" applyFont="1" applyFill="1" applyBorder="1" applyProtection="1">
      <protection hidden="1"/>
    </xf>
    <xf numFmtId="0" fontId="24" fillId="0" borderId="23" xfId="0" applyFont="1" applyBorder="1" applyAlignment="1" applyProtection="1">
      <alignment horizontal="center" vertical="center" wrapText="1"/>
      <protection hidden="1"/>
    </xf>
    <xf numFmtId="0" fontId="24" fillId="24" borderId="23" xfId="0" applyFont="1" applyFill="1" applyBorder="1" applyAlignment="1" applyProtection="1">
      <alignment horizontal="center"/>
      <protection hidden="1"/>
    </xf>
    <xf numFmtId="0" fontId="24" fillId="0" borderId="24" xfId="0" applyFont="1" applyBorder="1" applyAlignment="1" applyProtection="1">
      <alignment vertical="center" wrapText="1"/>
      <protection hidden="1"/>
    </xf>
    <xf numFmtId="0" fontId="1" fillId="19" borderId="0" xfId="0" applyFont="1" applyFill="1" applyAlignment="1">
      <alignment horizontal="center" wrapText="1"/>
    </xf>
    <xf numFmtId="0" fontId="19" fillId="19" borderId="0" xfId="0" applyFont="1" applyFill="1"/>
    <xf numFmtId="0" fontId="4" fillId="3" borderId="0" xfId="0" applyFont="1" applyFill="1" applyBorder="1" applyAlignment="1" applyProtection="1">
      <alignment horizontal="center" vertical="center"/>
      <protection locked="0"/>
    </xf>
    <xf numFmtId="0" fontId="8" fillId="3" borderId="5"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8" fillId="3" borderId="2" xfId="0" applyFont="1" applyFill="1" applyBorder="1" applyAlignment="1" applyProtection="1">
      <alignment horizontal="center" vertical="center"/>
      <protection locked="0"/>
    </xf>
    <xf numFmtId="0" fontId="27" fillId="0" borderId="0" xfId="0" applyFont="1" applyBorder="1" applyAlignment="1">
      <alignment horizontal="center"/>
    </xf>
    <xf numFmtId="0" fontId="27" fillId="0" borderId="26" xfId="0" applyFont="1" applyBorder="1" applyAlignment="1">
      <alignment horizontal="center"/>
    </xf>
    <xf numFmtId="0" fontId="27" fillId="0" borderId="0" xfId="0" applyFont="1" applyFill="1" applyBorder="1"/>
    <xf numFmtId="0" fontId="28" fillId="0" borderId="6" xfId="0" applyFont="1" applyBorder="1"/>
    <xf numFmtId="0" fontId="20" fillId="0" borderId="0" xfId="0" applyFont="1" applyAlignment="1">
      <alignment vertical="top" wrapText="1"/>
    </xf>
    <xf numFmtId="0" fontId="19" fillId="0" borderId="38" xfId="0" applyFont="1" applyBorder="1" applyAlignment="1">
      <alignment vertical="center" wrapText="1"/>
    </xf>
    <xf numFmtId="0" fontId="19" fillId="0" borderId="16" xfId="0" applyFont="1" applyBorder="1" applyAlignment="1">
      <alignment vertical="center" wrapText="1"/>
    </xf>
    <xf numFmtId="0" fontId="36" fillId="0" borderId="36" xfId="0" applyFont="1" applyBorder="1" applyAlignment="1">
      <alignment vertical="center" wrapText="1"/>
    </xf>
    <xf numFmtId="0" fontId="36" fillId="0" borderId="10" xfId="0" applyFont="1" applyBorder="1" applyAlignment="1">
      <alignment vertical="center" wrapText="1"/>
    </xf>
    <xf numFmtId="0" fontId="4" fillId="2" borderId="2" xfId="0" applyFont="1" applyFill="1" applyBorder="1" applyAlignment="1" applyProtection="1">
      <alignment horizontal="center" vertical="center"/>
      <protection hidden="1"/>
    </xf>
    <xf numFmtId="0" fontId="4" fillId="0" borderId="2" xfId="0" applyFont="1" applyBorder="1" applyAlignment="1" applyProtection="1">
      <alignment horizontal="center" vertical="center"/>
      <protection locked="0"/>
    </xf>
    <xf numFmtId="0" fontId="4" fillId="17" borderId="2"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4" fillId="3" borderId="20"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4" fillId="3" borderId="15"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5" fillId="11" borderId="2" xfId="0" applyFont="1" applyFill="1" applyBorder="1" applyAlignment="1" applyProtection="1">
      <alignment horizontal="center" vertical="center" wrapText="1"/>
      <protection locked="0"/>
    </xf>
    <xf numFmtId="0" fontId="5" fillId="16" borderId="2" xfId="0" applyFont="1" applyFill="1" applyBorder="1" applyAlignment="1" applyProtection="1">
      <alignment horizontal="center" vertical="center" wrapText="1"/>
      <protection locked="0"/>
    </xf>
    <xf numFmtId="0" fontId="5" fillId="15" borderId="2" xfId="0" applyFont="1" applyFill="1" applyBorder="1" applyAlignment="1" applyProtection="1">
      <alignment horizontal="center" vertical="center" wrapText="1"/>
      <protection locked="0"/>
    </xf>
    <xf numFmtId="0" fontId="5" fillId="9" borderId="2" xfId="0" applyFont="1" applyFill="1" applyBorder="1" applyAlignment="1" applyProtection="1">
      <alignment horizontal="center" vertical="center" wrapText="1"/>
      <protection locked="0"/>
    </xf>
    <xf numFmtId="0" fontId="5" fillId="17" borderId="2"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hidden="1"/>
    </xf>
    <xf numFmtId="0" fontId="3" fillId="3" borderId="0" xfId="0" applyFont="1" applyFill="1" applyBorder="1"/>
    <xf numFmtId="0" fontId="4" fillId="3" borderId="0" xfId="0" applyFont="1" applyFill="1" applyAlignment="1">
      <alignment horizontal="center" vertical="center"/>
    </xf>
    <xf numFmtId="0" fontId="3" fillId="5" borderId="0" xfId="0" applyFont="1" applyFill="1" applyBorder="1" applyAlignment="1">
      <alignment horizontal="center" vertical="center"/>
    </xf>
    <xf numFmtId="0" fontId="5" fillId="15" borderId="2" xfId="0" applyFont="1" applyFill="1" applyBorder="1" applyAlignment="1">
      <alignment horizontal="center" vertical="center" wrapText="1"/>
    </xf>
    <xf numFmtId="0" fontId="4" fillId="8" borderId="2" xfId="0" applyFont="1" applyFill="1" applyBorder="1" applyAlignment="1">
      <alignment horizontal="center" vertical="center"/>
    </xf>
    <xf numFmtId="0" fontId="4" fillId="7" borderId="2" xfId="0" applyFont="1" applyFill="1" applyBorder="1" applyAlignment="1">
      <alignment horizontal="center" vertical="center"/>
    </xf>
    <xf numFmtId="0" fontId="3" fillId="3" borderId="0" xfId="0" applyFont="1" applyFill="1" applyBorder="1" applyAlignment="1">
      <alignment horizontal="center" vertical="center"/>
    </xf>
    <xf numFmtId="0" fontId="5" fillId="9" borderId="2" xfId="0" applyFont="1" applyFill="1" applyBorder="1" applyAlignment="1">
      <alignment horizontal="center" vertical="center" wrapText="1"/>
    </xf>
    <xf numFmtId="164" fontId="4" fillId="7"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164" fontId="4" fillId="5" borderId="2" xfId="0" applyNumberFormat="1" applyFont="1" applyFill="1" applyBorder="1" applyAlignment="1">
      <alignment horizontal="center" vertical="center"/>
    </xf>
    <xf numFmtId="0" fontId="38" fillId="3" borderId="0" xfId="0" applyFont="1" applyFill="1" applyBorder="1" applyAlignment="1">
      <alignment horizontal="center" vertical="center" wrapText="1"/>
    </xf>
    <xf numFmtId="2" fontId="3" fillId="4" borderId="0" xfId="0" applyNumberFormat="1" applyFont="1" applyFill="1" applyBorder="1" applyAlignment="1">
      <alignment horizontal="center" vertical="center"/>
    </xf>
    <xf numFmtId="2" fontId="3" fillId="3" borderId="0" xfId="0" applyNumberFormat="1" applyFont="1" applyFill="1" applyBorder="1" applyAlignment="1">
      <alignment horizontal="center" vertical="center"/>
    </xf>
    <xf numFmtId="0" fontId="5" fillId="11" borderId="2" xfId="0" applyFont="1" applyFill="1" applyBorder="1" applyAlignment="1">
      <alignment horizontal="center" vertical="center" wrapText="1"/>
    </xf>
    <xf numFmtId="0" fontId="4" fillId="14" borderId="2" xfId="0" applyFont="1" applyFill="1" applyBorder="1" applyAlignment="1">
      <alignment horizontal="center" vertical="center"/>
    </xf>
    <xf numFmtId="2" fontId="4" fillId="14" borderId="2" xfId="0" applyNumberFormat="1" applyFont="1" applyFill="1" applyBorder="1" applyAlignment="1">
      <alignment horizontal="center" vertical="center"/>
    </xf>
    <xf numFmtId="0" fontId="38" fillId="9" borderId="0" xfId="0" applyFont="1" applyFill="1" applyBorder="1" applyAlignment="1">
      <alignment horizontal="center" vertical="center" wrapText="1"/>
    </xf>
    <xf numFmtId="0" fontId="39" fillId="3" borderId="0" xfId="0" applyFont="1" applyFill="1" applyAlignment="1">
      <alignment horizontal="center" vertical="center" wrapText="1"/>
    </xf>
    <xf numFmtId="0" fontId="40" fillId="3" borderId="6" xfId="0" applyFont="1" applyFill="1" applyBorder="1" applyAlignment="1">
      <alignment horizontal="center" vertical="center"/>
    </xf>
    <xf numFmtId="0" fontId="40" fillId="3" borderId="0" xfId="0" applyFont="1" applyFill="1" applyAlignment="1">
      <alignment horizontal="center" vertical="center"/>
    </xf>
    <xf numFmtId="0" fontId="40" fillId="3" borderId="28" xfId="0" applyFont="1" applyFill="1" applyBorder="1" applyAlignment="1">
      <alignment horizontal="center" vertical="center"/>
    </xf>
    <xf numFmtId="0" fontId="4" fillId="3" borderId="2"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2" fontId="4" fillId="25" borderId="2" xfId="0" applyNumberFormat="1" applyFont="1" applyFill="1" applyBorder="1" applyAlignment="1" applyProtection="1">
      <alignment horizontal="center" vertical="center"/>
      <protection locked="0"/>
    </xf>
    <xf numFmtId="0" fontId="4" fillId="25" borderId="2" xfId="0" applyFont="1" applyFill="1" applyBorder="1" applyAlignment="1" applyProtection="1">
      <alignment horizontal="center" vertical="center"/>
      <protection locked="0"/>
    </xf>
    <xf numFmtId="14" fontId="4" fillId="3" borderId="2" xfId="0" applyNumberFormat="1" applyFont="1" applyFill="1" applyBorder="1" applyAlignment="1" applyProtection="1">
      <alignment horizontal="center" vertical="center"/>
      <protection locked="0"/>
    </xf>
    <xf numFmtId="1" fontId="4" fillId="3" borderId="2" xfId="0" applyNumberFormat="1" applyFont="1" applyFill="1" applyBorder="1" applyAlignment="1" applyProtection="1">
      <alignment horizontal="center" vertical="center"/>
      <protection locked="0"/>
    </xf>
    <xf numFmtId="165" fontId="4" fillId="3" borderId="2" xfId="0" applyNumberFormat="1" applyFont="1" applyFill="1" applyBorder="1" applyAlignment="1" applyProtection="1">
      <alignment horizontal="center" vertical="center"/>
      <protection locked="0"/>
    </xf>
    <xf numFmtId="164" fontId="4" fillId="3" borderId="2" xfId="1" applyNumberFormat="1" applyFont="1" applyFill="1" applyBorder="1" applyAlignment="1" applyProtection="1">
      <alignment horizontal="center" vertical="center"/>
      <protection locked="0"/>
    </xf>
    <xf numFmtId="166" fontId="5" fillId="3" borderId="0" xfId="0" applyNumberFormat="1" applyFont="1" applyFill="1" applyAlignment="1" applyProtection="1">
      <alignment horizontal="center" vertical="center"/>
      <protection locked="0"/>
    </xf>
    <xf numFmtId="2" fontId="5" fillId="3" borderId="0" xfId="0" applyNumberFormat="1" applyFont="1" applyFill="1" applyAlignment="1" applyProtection="1">
      <alignment horizontal="center" vertical="center"/>
      <protection locked="0"/>
    </xf>
    <xf numFmtId="0" fontId="4" fillId="2" borderId="2" xfId="0" applyFont="1" applyFill="1" applyBorder="1" applyAlignment="1" applyProtection="1">
      <alignment horizontal="center" vertical="center" wrapText="1"/>
      <protection locked="0"/>
    </xf>
    <xf numFmtId="0" fontId="41" fillId="25" borderId="0" xfId="3" applyFont="1" applyFill="1" applyBorder="1" applyAlignment="1" applyProtection="1">
      <alignment horizontal="center" vertical="center"/>
      <protection locked="0"/>
    </xf>
    <xf numFmtId="166" fontId="4" fillId="3" borderId="0" xfId="0" applyNumberFormat="1" applyFont="1" applyFill="1" applyAlignment="1" applyProtection="1">
      <alignment horizontal="center" vertical="center"/>
      <protection locked="0"/>
    </xf>
    <xf numFmtId="166" fontId="4" fillId="3" borderId="0" xfId="0" applyNumberFormat="1" applyFont="1" applyFill="1" applyBorder="1" applyAlignment="1" applyProtection="1">
      <alignment horizontal="center" vertical="center"/>
      <protection locked="0"/>
    </xf>
    <xf numFmtId="2" fontId="4" fillId="7" borderId="2" xfId="0" applyNumberFormat="1" applyFont="1" applyFill="1" applyBorder="1" applyAlignment="1">
      <alignment horizontal="center" vertical="center"/>
    </xf>
    <xf numFmtId="2" fontId="4" fillId="5" borderId="2" xfId="0" applyNumberFormat="1" applyFont="1" applyFill="1" applyBorder="1" applyAlignment="1">
      <alignment horizontal="center" vertical="center"/>
    </xf>
    <xf numFmtId="44" fontId="4" fillId="3" borderId="12" xfId="4" applyFont="1" applyFill="1" applyBorder="1" applyAlignment="1" applyProtection="1">
      <alignment vertical="center"/>
      <protection locked="0"/>
    </xf>
    <xf numFmtId="44" fontId="4" fillId="3" borderId="0" xfId="4" applyFont="1" applyFill="1" applyBorder="1" applyAlignment="1" applyProtection="1">
      <alignment vertical="center"/>
      <protection locked="0"/>
    </xf>
    <xf numFmtId="0" fontId="3" fillId="3" borderId="15" xfId="0" applyFont="1" applyFill="1" applyBorder="1" applyAlignment="1" applyProtection="1">
      <alignment horizontal="center" vertical="center"/>
      <protection locked="0"/>
    </xf>
    <xf numFmtId="0" fontId="5" fillId="3" borderId="2" xfId="0" applyFont="1" applyFill="1" applyBorder="1"/>
    <xf numFmtId="44" fontId="4" fillId="7" borderId="2" xfId="4" applyFont="1" applyFill="1" applyBorder="1" applyAlignment="1">
      <alignment horizontal="center" vertical="center"/>
    </xf>
    <xf numFmtId="44" fontId="4" fillId="5" borderId="2" xfId="4" applyFont="1" applyFill="1" applyBorder="1" applyAlignment="1">
      <alignment horizontal="center" vertical="center"/>
    </xf>
    <xf numFmtId="43" fontId="5" fillId="3" borderId="0" xfId="1" applyFont="1" applyFill="1" applyAlignment="1" applyProtection="1">
      <alignment horizontal="center" vertical="center"/>
      <protection locked="0"/>
    </xf>
    <xf numFmtId="43" fontId="5" fillId="3" borderId="0" xfId="1" applyNumberFormat="1" applyFont="1" applyFill="1" applyAlignment="1" applyProtection="1">
      <alignment horizontal="center" vertical="center"/>
      <protection locked="0"/>
    </xf>
    <xf numFmtId="43" fontId="5" fillId="3" borderId="0" xfId="1" applyNumberFormat="1" applyFont="1" applyFill="1" applyBorder="1" applyAlignment="1" applyProtection="1">
      <alignment horizontal="center" vertical="center"/>
      <protection locked="0"/>
    </xf>
    <xf numFmtId="43" fontId="4" fillId="3" borderId="0" xfId="0" applyNumberFormat="1" applyFont="1" applyFill="1" applyAlignment="1" applyProtection="1">
      <alignment horizontal="center" vertical="center"/>
      <protection locked="0"/>
    </xf>
    <xf numFmtId="0" fontId="5" fillId="3" borderId="0" xfId="0" applyFont="1" applyFill="1" applyBorder="1" applyAlignment="1" applyProtection="1">
      <alignment vertical="center"/>
      <protection locked="0"/>
    </xf>
    <xf numFmtId="0" fontId="4" fillId="3" borderId="0" xfId="0" applyFont="1" applyFill="1" applyAlignment="1" applyProtection="1">
      <alignment vertical="center"/>
      <protection locked="0"/>
    </xf>
    <xf numFmtId="0" fontId="4" fillId="2" borderId="2"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4" fillId="3" borderId="21" xfId="0" applyFont="1" applyFill="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16" fillId="19" borderId="0" xfId="3" applyFont="1" applyFill="1" applyAlignment="1">
      <alignment horizontal="center"/>
    </xf>
    <xf numFmtId="0" fontId="19" fillId="19" borderId="0" xfId="0" applyFont="1" applyFill="1" applyAlignment="1">
      <alignment horizontal="center"/>
    </xf>
    <xf numFmtId="0" fontId="16" fillId="19" borderId="0" xfId="3" applyFont="1" applyFill="1" applyAlignment="1">
      <alignment horizontal="center" wrapText="1"/>
    </xf>
    <xf numFmtId="0" fontId="17" fillId="19" borderId="0" xfId="3" applyFont="1" applyFill="1" applyAlignment="1">
      <alignment horizontal="left"/>
    </xf>
    <xf numFmtId="0" fontId="35" fillId="12" borderId="0" xfId="3" applyFont="1" applyFill="1" applyBorder="1" applyAlignment="1" applyProtection="1">
      <alignment horizontal="center" vertical="center"/>
      <protection locked="0"/>
    </xf>
    <xf numFmtId="0" fontId="20" fillId="19" borderId="0" xfId="0" applyFont="1" applyFill="1" applyAlignment="1">
      <alignment horizontal="left"/>
    </xf>
    <xf numFmtId="0" fontId="5" fillId="9"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39" fillId="3" borderId="28"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5"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4" fillId="2" borderId="0" xfId="0" applyFont="1" applyFill="1" applyAlignment="1">
      <alignment horizontal="center" vertical="center"/>
    </xf>
    <xf numFmtId="14" fontId="4" fillId="2" borderId="0" xfId="0" applyNumberFormat="1" applyFont="1" applyFill="1" applyBorder="1" applyAlignment="1">
      <alignment horizontal="center"/>
    </xf>
    <xf numFmtId="0" fontId="4" fillId="2" borderId="0" xfId="0" applyFont="1" applyFill="1" applyBorder="1" applyAlignment="1">
      <alignment horizontal="center"/>
    </xf>
    <xf numFmtId="0" fontId="20" fillId="0" borderId="12" xfId="0" applyFont="1" applyBorder="1" applyAlignment="1">
      <alignment horizontal="justify" vertical="top" wrapText="1"/>
    </xf>
    <xf numFmtId="0" fontId="20" fillId="0" borderId="0" xfId="0" applyFont="1" applyAlignment="1">
      <alignment horizontal="justify" vertical="top" wrapText="1"/>
    </xf>
    <xf numFmtId="0" fontId="20" fillId="0" borderId="15" xfId="0" applyFont="1" applyBorder="1" applyAlignment="1">
      <alignment horizontal="justify" vertical="top" wrapText="1"/>
    </xf>
    <xf numFmtId="0" fontId="8" fillId="3" borderId="11" xfId="0" applyFont="1" applyFill="1" applyBorder="1" applyAlignment="1" applyProtection="1">
      <alignment horizontal="center" vertical="center"/>
      <protection locked="0"/>
    </xf>
    <xf numFmtId="0" fontId="8" fillId="3" borderId="12" xfId="0" applyFont="1" applyFill="1" applyBorder="1" applyAlignment="1" applyProtection="1">
      <alignment horizontal="center" vertical="center"/>
      <protection locked="0"/>
    </xf>
    <xf numFmtId="0" fontId="8" fillId="3" borderId="13"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3" borderId="0" xfId="0" applyFont="1" applyFill="1" applyBorder="1" applyAlignment="1" applyProtection="1">
      <alignment horizontal="center" vertical="center"/>
      <protection locked="0"/>
    </xf>
    <xf numFmtId="0" fontId="8" fillId="3" borderId="21" xfId="0" applyFont="1" applyFill="1" applyBorder="1" applyAlignment="1" applyProtection="1">
      <alignment horizontal="center" vertical="center"/>
      <protection locked="0"/>
    </xf>
    <xf numFmtId="0" fontId="8" fillId="3" borderId="14" xfId="0" applyFont="1" applyFill="1" applyBorder="1" applyAlignment="1" applyProtection="1">
      <alignment horizontal="center" vertical="center"/>
      <protection locked="0"/>
    </xf>
    <xf numFmtId="0" fontId="8" fillId="3" borderId="15" xfId="0" applyFont="1" applyFill="1" applyBorder="1" applyAlignment="1" applyProtection="1">
      <alignment horizontal="center" vertical="center"/>
      <protection locked="0"/>
    </xf>
    <xf numFmtId="0" fontId="8" fillId="3" borderId="16"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0" fontId="9" fillId="10" borderId="22" xfId="0" applyFont="1" applyFill="1" applyBorder="1" applyAlignment="1" applyProtection="1">
      <alignment horizontal="center" vertical="center"/>
      <protection locked="0"/>
    </xf>
    <xf numFmtId="0" fontId="9" fillId="10" borderId="23" xfId="0" applyFont="1" applyFill="1" applyBorder="1" applyAlignment="1" applyProtection="1">
      <alignment horizontal="center" vertical="center"/>
      <protection locked="0"/>
    </xf>
    <xf numFmtId="0" fontId="9" fillId="10" borderId="24" xfId="0" applyFont="1" applyFill="1" applyBorder="1" applyAlignment="1" applyProtection="1">
      <alignment horizontal="center" vertical="center"/>
      <protection locked="0"/>
    </xf>
    <xf numFmtId="0" fontId="18" fillId="12" borderId="20" xfId="3" applyFont="1" applyFill="1" applyBorder="1" applyAlignment="1" applyProtection="1">
      <alignment horizontal="center" vertical="center"/>
      <protection locked="0"/>
    </xf>
    <xf numFmtId="0" fontId="18" fillId="12" borderId="19" xfId="3" applyFont="1" applyFill="1" applyBorder="1" applyAlignment="1" applyProtection="1">
      <alignment horizontal="center" vertical="center"/>
      <protection locked="0"/>
    </xf>
    <xf numFmtId="0" fontId="8" fillId="3" borderId="5" xfId="0" applyFont="1" applyFill="1" applyBorder="1" applyAlignment="1" applyProtection="1">
      <alignment horizontal="center" vertical="center"/>
      <protection locked="0"/>
    </xf>
    <xf numFmtId="0" fontId="8" fillId="3" borderId="6"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9" fillId="10" borderId="8" xfId="0" applyFont="1" applyFill="1" applyBorder="1" applyAlignment="1" applyProtection="1">
      <alignment horizontal="center" vertical="center"/>
      <protection locked="0"/>
    </xf>
    <xf numFmtId="0" fontId="9" fillId="10" borderId="9" xfId="0" applyFont="1" applyFill="1" applyBorder="1" applyAlignment="1" applyProtection="1">
      <alignment horizontal="center" vertical="center"/>
      <protection locked="0"/>
    </xf>
    <xf numFmtId="0" fontId="9" fillId="10" borderId="10" xfId="0" applyFont="1" applyFill="1" applyBorder="1" applyAlignment="1" applyProtection="1">
      <alignment horizontal="center" vertical="center"/>
      <protection locked="0"/>
    </xf>
    <xf numFmtId="0" fontId="20" fillId="0" borderId="12" xfId="0" applyFont="1" applyBorder="1" applyAlignment="1">
      <alignment horizontal="left" vertical="top" wrapText="1"/>
    </xf>
    <xf numFmtId="0" fontId="20" fillId="0" borderId="0" xfId="0" applyFont="1" applyBorder="1" applyAlignment="1">
      <alignment horizontal="left" vertical="top" wrapText="1"/>
    </xf>
    <xf numFmtId="0" fontId="20" fillId="0" borderId="0" xfId="0" applyFont="1" applyAlignment="1">
      <alignment horizontal="left" vertical="top" wrapText="1"/>
    </xf>
    <xf numFmtId="0" fontId="20" fillId="0" borderId="15" xfId="0" applyFont="1" applyBorder="1" applyAlignment="1">
      <alignment horizontal="left" vertical="top" wrapText="1"/>
    </xf>
    <xf numFmtId="0" fontId="19" fillId="0" borderId="31" xfId="0" applyFont="1" applyBorder="1" applyAlignment="1">
      <alignment vertical="center" wrapText="1"/>
    </xf>
    <xf numFmtId="0" fontId="19" fillId="0" borderId="38" xfId="0" applyFont="1" applyBorder="1" applyAlignment="1">
      <alignment vertical="center" wrapText="1"/>
    </xf>
    <xf numFmtId="0" fontId="4" fillId="2" borderId="2" xfId="0" applyFont="1" applyFill="1" applyBorder="1" applyAlignment="1" applyProtection="1">
      <alignment horizontal="center" vertical="center"/>
      <protection hidden="1"/>
    </xf>
    <xf numFmtId="0" fontId="4" fillId="0" borderId="2" xfId="0" applyFont="1" applyBorder="1" applyAlignment="1" applyProtection="1">
      <alignment horizontal="center" vertical="center"/>
      <protection locked="0"/>
    </xf>
    <xf numFmtId="0" fontId="4" fillId="2" borderId="5" xfId="0" applyFont="1" applyFill="1" applyBorder="1" applyAlignment="1" applyProtection="1">
      <alignment horizontal="center" vertical="center"/>
      <protection hidden="1"/>
    </xf>
    <xf numFmtId="0" fontId="4" fillId="2" borderId="1" xfId="0" applyFont="1" applyFill="1" applyBorder="1" applyAlignment="1" applyProtection="1">
      <alignment horizontal="center" vertical="center"/>
      <protection hidden="1"/>
    </xf>
    <xf numFmtId="0" fontId="4" fillId="17" borderId="2" xfId="0"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protection locked="0"/>
    </xf>
    <xf numFmtId="0" fontId="4" fillId="3" borderId="6" xfId="0"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9" fillId="3" borderId="0" xfId="0" applyFont="1" applyFill="1" applyBorder="1" applyAlignment="1" applyProtection="1">
      <alignment horizontal="left" vertical="center" indent="6"/>
      <protection locked="0"/>
    </xf>
    <xf numFmtId="0" fontId="4" fillId="3" borderId="20"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top" wrapText="1"/>
      <protection locked="0"/>
    </xf>
    <xf numFmtId="0" fontId="8" fillId="3" borderId="15" xfId="0" applyFont="1" applyFill="1" applyBorder="1" applyAlignment="1" applyProtection="1">
      <alignment horizontal="left" vertical="top" wrapText="1"/>
      <protection locked="0"/>
    </xf>
    <xf numFmtId="165" fontId="9" fillId="10" borderId="8" xfId="0" applyNumberFormat="1" applyFont="1" applyFill="1" applyBorder="1" applyAlignment="1" applyProtection="1">
      <alignment horizontal="center" vertical="center"/>
      <protection locked="0"/>
    </xf>
    <xf numFmtId="165" fontId="9" fillId="10" borderId="9" xfId="0" applyNumberFormat="1" applyFont="1" applyFill="1" applyBorder="1" applyAlignment="1" applyProtection="1">
      <alignment horizontal="center" vertical="center"/>
      <protection locked="0"/>
    </xf>
    <xf numFmtId="165" fontId="9" fillId="10" borderId="10" xfId="0" applyNumberFormat="1" applyFont="1" applyFill="1" applyBorder="1" applyAlignment="1" applyProtection="1">
      <alignment horizontal="center" vertical="center"/>
      <protection locked="0"/>
    </xf>
    <xf numFmtId="0" fontId="4" fillId="3" borderId="19"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4" fillId="2" borderId="3" xfId="0" applyFont="1" applyFill="1" applyBorder="1" applyAlignment="1" applyProtection="1">
      <alignment horizontal="center" vertical="center"/>
      <protection hidden="1"/>
    </xf>
    <xf numFmtId="0" fontId="4" fillId="2" borderId="4" xfId="0" applyFont="1" applyFill="1" applyBorder="1" applyAlignment="1" applyProtection="1">
      <alignment horizontal="center" vertical="center"/>
      <protection hidden="1"/>
    </xf>
    <xf numFmtId="0" fontId="4" fillId="3" borderId="0"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5" fillId="11" borderId="2" xfId="0" applyFont="1" applyFill="1" applyBorder="1" applyAlignment="1" applyProtection="1">
      <alignment horizontal="center" vertical="center" wrapText="1"/>
      <protection locked="0"/>
    </xf>
    <xf numFmtId="0" fontId="5" fillId="10" borderId="2" xfId="0" applyFont="1" applyFill="1" applyBorder="1" applyAlignment="1" applyProtection="1">
      <alignment horizontal="center" vertical="center" wrapText="1"/>
      <protection locked="0"/>
    </xf>
    <xf numFmtId="0" fontId="5" fillId="16" borderId="2" xfId="0" applyFont="1" applyFill="1" applyBorder="1" applyAlignment="1" applyProtection="1">
      <alignment horizontal="center" vertical="center" wrapText="1"/>
      <protection locked="0"/>
    </xf>
    <xf numFmtId="0" fontId="5" fillId="15" borderId="2" xfId="0" applyFont="1" applyFill="1" applyBorder="1" applyAlignment="1" applyProtection="1">
      <alignment horizontal="center" vertical="center" wrapText="1"/>
      <protection locked="0"/>
    </xf>
    <xf numFmtId="0" fontId="9" fillId="3" borderId="0" xfId="0" applyFont="1" applyFill="1" applyBorder="1" applyAlignment="1" applyProtection="1">
      <alignment horizontal="left" vertical="center" indent="5"/>
      <protection locked="0"/>
    </xf>
    <xf numFmtId="0" fontId="5" fillId="3" borderId="25" xfId="0" applyFont="1" applyFill="1" applyBorder="1" applyAlignment="1" applyProtection="1">
      <alignment horizontal="left" vertical="center" wrapText="1"/>
      <protection locked="0"/>
    </xf>
    <xf numFmtId="0" fontId="5" fillId="3" borderId="26" xfId="0" applyFont="1" applyFill="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27" xfId="0" applyFont="1" applyFill="1" applyBorder="1" applyAlignment="1" applyProtection="1">
      <alignment horizontal="left" vertical="center" wrapText="1"/>
      <protection locked="0"/>
    </xf>
    <xf numFmtId="0" fontId="5" fillId="3" borderId="0" xfId="0" applyFont="1" applyFill="1" applyBorder="1" applyAlignment="1" applyProtection="1">
      <alignment horizontal="left" vertical="center" wrapText="1"/>
      <protection locked="0"/>
    </xf>
    <xf numFmtId="0" fontId="5" fillId="3" borderId="19"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3" borderId="28" xfId="0" applyFont="1" applyFill="1" applyBorder="1" applyAlignment="1" applyProtection="1">
      <alignment horizontal="left" vertical="center" wrapText="1"/>
      <protection locked="0"/>
    </xf>
    <xf numFmtId="0" fontId="5" fillId="3" borderId="18" xfId="0" applyFont="1" applyFill="1" applyBorder="1" applyAlignment="1" applyProtection="1">
      <alignment horizontal="left" vertical="center" wrapText="1"/>
      <protection locked="0"/>
    </xf>
    <xf numFmtId="0" fontId="5" fillId="3" borderId="29" xfId="0" applyFont="1" applyFill="1" applyBorder="1" applyAlignment="1" applyProtection="1">
      <alignment horizontal="center" vertical="center" wrapText="1"/>
      <protection locked="0"/>
    </xf>
    <xf numFmtId="0" fontId="5" fillId="3" borderId="12" xfId="0" applyFont="1" applyFill="1" applyBorder="1" applyAlignment="1" applyProtection="1">
      <alignment horizontal="center" vertical="center" wrapText="1"/>
      <protection locked="0"/>
    </xf>
    <xf numFmtId="0" fontId="5" fillId="3" borderId="30" xfId="0" applyFont="1" applyFill="1" applyBorder="1" applyAlignment="1" applyProtection="1">
      <alignment horizontal="center" vertical="center" wrapText="1"/>
      <protection locked="0"/>
    </xf>
    <xf numFmtId="0" fontId="5" fillId="3" borderId="17" xfId="0" applyFont="1" applyFill="1" applyBorder="1" applyAlignment="1" applyProtection="1">
      <alignment horizontal="center" vertical="center" wrapText="1"/>
      <protection locked="0"/>
    </xf>
    <xf numFmtId="0" fontId="5" fillId="3" borderId="28" xfId="0" applyFont="1" applyFill="1" applyBorder="1" applyAlignment="1" applyProtection="1">
      <alignment horizontal="center" vertical="center" wrapText="1"/>
      <protection locked="0"/>
    </xf>
    <xf numFmtId="0" fontId="5" fillId="3" borderId="18" xfId="0" applyFont="1" applyFill="1" applyBorder="1" applyAlignment="1" applyProtection="1">
      <alignment horizontal="center" vertical="center" wrapText="1"/>
      <protection locked="0"/>
    </xf>
    <xf numFmtId="0" fontId="5" fillId="3" borderId="25" xfId="0" applyFont="1" applyFill="1" applyBorder="1" applyAlignment="1" applyProtection="1">
      <alignment horizontal="center" vertical="center" wrapText="1"/>
      <protection locked="0"/>
    </xf>
    <xf numFmtId="0" fontId="5" fillId="3" borderId="2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8" fillId="3" borderId="0" xfId="0" applyFont="1" applyFill="1" applyBorder="1" applyAlignment="1" applyProtection="1">
      <alignment vertical="center" wrapText="1"/>
      <protection locked="0"/>
    </xf>
    <xf numFmtId="0" fontId="8" fillId="3" borderId="15" xfId="0" applyFont="1" applyFill="1" applyBorder="1" applyAlignment="1" applyProtection="1">
      <alignment vertical="center" wrapText="1"/>
      <protection locked="0"/>
    </xf>
    <xf numFmtId="0" fontId="5" fillId="2"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4" fillId="2" borderId="17" xfId="0" applyFont="1" applyFill="1" applyBorder="1" applyAlignment="1" applyProtection="1">
      <alignment horizontal="center" vertical="center"/>
      <protection locked="0"/>
    </xf>
    <xf numFmtId="0" fontId="4" fillId="2" borderId="18"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1" xfId="0" applyFont="1" applyFill="1" applyBorder="1" applyAlignment="1" applyProtection="1">
      <alignment horizontal="center" vertical="center" wrapText="1"/>
      <protection locked="0"/>
    </xf>
    <xf numFmtId="0" fontId="5" fillId="3" borderId="25" xfId="0" applyFont="1" applyFill="1" applyBorder="1" applyAlignment="1" applyProtection="1">
      <alignment horizontal="center" vertical="center"/>
      <protection locked="0"/>
    </xf>
    <xf numFmtId="0" fontId="5" fillId="3" borderId="2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0" fontId="5" fillId="3" borderId="18" xfId="0" applyFont="1" applyFill="1" applyBorder="1" applyAlignment="1" applyProtection="1">
      <alignment horizontal="center" vertical="center"/>
      <protection locked="0"/>
    </xf>
    <xf numFmtId="0" fontId="5" fillId="9" borderId="2" xfId="0" applyFont="1" applyFill="1" applyBorder="1" applyAlignment="1" applyProtection="1">
      <alignment horizontal="center" vertical="center" wrapText="1"/>
      <protection locked="0"/>
    </xf>
    <xf numFmtId="0" fontId="5" fillId="12" borderId="2" xfId="0" applyFont="1" applyFill="1" applyBorder="1" applyAlignment="1" applyProtection="1">
      <alignment horizontal="center" vertical="center"/>
      <protection locked="0"/>
    </xf>
    <xf numFmtId="0" fontId="5" fillId="6" borderId="2" xfId="0" applyFont="1" applyFill="1" applyBorder="1" applyAlignment="1" applyProtection="1">
      <alignment horizontal="center" vertical="center"/>
      <protection locked="0"/>
    </xf>
    <xf numFmtId="0" fontId="4" fillId="9" borderId="2" xfId="0" applyFont="1" applyFill="1" applyBorder="1" applyAlignment="1" applyProtection="1">
      <alignment horizontal="center" vertical="center" wrapText="1"/>
      <protection locked="0"/>
    </xf>
    <xf numFmtId="0" fontId="5" fillId="17" borderId="2"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hidden="1"/>
    </xf>
    <xf numFmtId="0" fontId="5" fillId="3" borderId="0"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wrapText="1"/>
      <protection locked="0"/>
    </xf>
    <xf numFmtId="0" fontId="5" fillId="10" borderId="22" xfId="0" applyFont="1" applyFill="1" applyBorder="1" applyAlignment="1" applyProtection="1">
      <alignment horizontal="center" vertical="center"/>
      <protection locked="0"/>
    </xf>
    <xf numFmtId="0" fontId="5" fillId="10" borderId="23" xfId="0" applyFont="1" applyFill="1" applyBorder="1" applyAlignment="1" applyProtection="1">
      <alignment horizontal="center" vertical="center"/>
      <protection locked="0"/>
    </xf>
    <xf numFmtId="0" fontId="5" fillId="10" borderId="24" xfId="0" applyFont="1" applyFill="1" applyBorder="1" applyAlignment="1" applyProtection="1">
      <alignment horizontal="center" vertical="center"/>
      <protection locked="0"/>
    </xf>
    <xf numFmtId="0" fontId="5" fillId="10" borderId="8" xfId="0" applyFont="1" applyFill="1" applyBorder="1" applyAlignment="1" applyProtection="1">
      <alignment horizontal="center" vertical="center"/>
      <protection locked="0"/>
    </xf>
    <xf numFmtId="0" fontId="5" fillId="10" borderId="9" xfId="0" applyFont="1" applyFill="1" applyBorder="1" applyAlignment="1" applyProtection="1">
      <alignment horizontal="center" vertical="center"/>
      <protection locked="0"/>
    </xf>
    <xf numFmtId="0" fontId="5" fillId="10" borderId="10" xfId="0" applyFont="1" applyFill="1" applyBorder="1" applyAlignment="1" applyProtection="1">
      <alignment horizontal="center" vertical="center"/>
      <protection locked="0"/>
    </xf>
    <xf numFmtId="165" fontId="5" fillId="10" borderId="8" xfId="0" applyNumberFormat="1" applyFont="1" applyFill="1" applyBorder="1" applyAlignment="1" applyProtection="1">
      <alignment horizontal="center" vertical="center"/>
      <protection locked="0"/>
    </xf>
    <xf numFmtId="165" fontId="5" fillId="10" borderId="9" xfId="0" applyNumberFormat="1" applyFont="1" applyFill="1" applyBorder="1" applyAlignment="1" applyProtection="1">
      <alignment horizontal="center" vertical="center"/>
      <protection locked="0"/>
    </xf>
    <xf numFmtId="165" fontId="5" fillId="10" borderId="10" xfId="0" applyNumberFormat="1" applyFont="1" applyFill="1" applyBorder="1" applyAlignment="1" applyProtection="1">
      <alignment horizontal="center" vertical="center"/>
      <protection locked="0"/>
    </xf>
    <xf numFmtId="0" fontId="4" fillId="3" borderId="0" xfId="0" applyFont="1" applyFill="1" applyBorder="1" applyAlignment="1" applyProtection="1">
      <alignment horizontal="left" vertical="center" wrapText="1" indent="4"/>
      <protection locked="0"/>
    </xf>
    <xf numFmtId="0" fontId="4" fillId="3" borderId="17"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4" fillId="3" borderId="21" xfId="0" applyFont="1" applyFill="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4" fillId="3" borderId="0" xfId="0" applyFont="1" applyFill="1" applyAlignment="1" applyProtection="1">
      <alignment horizontal="center" vertical="center"/>
      <protection locked="0"/>
    </xf>
    <xf numFmtId="44" fontId="4" fillId="3" borderId="0" xfId="4"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44" fontId="4" fillId="3" borderId="0" xfId="0" applyNumberFormat="1" applyFont="1" applyFill="1" applyAlignment="1" applyProtection="1">
      <alignment horizontal="center" vertical="center"/>
      <protection locked="0"/>
    </xf>
    <xf numFmtId="0" fontId="11" fillId="12" borderId="20" xfId="3" applyFont="1" applyFill="1" applyBorder="1" applyAlignment="1" applyProtection="1">
      <alignment horizontal="center" vertical="center"/>
      <protection locked="0"/>
    </xf>
    <xf numFmtId="0" fontId="11" fillId="12" borderId="19" xfId="3" applyFont="1" applyFill="1" applyBorder="1" applyAlignment="1" applyProtection="1">
      <alignment horizontal="center" vertical="center"/>
      <protection locked="0"/>
    </xf>
    <xf numFmtId="0" fontId="8" fillId="3" borderId="0" xfId="0" applyFont="1" applyFill="1" applyBorder="1" applyAlignment="1" applyProtection="1">
      <alignment vertical="top" wrapText="1"/>
      <protection locked="0"/>
    </xf>
    <xf numFmtId="0" fontId="8" fillId="3" borderId="15" xfId="0" applyFont="1" applyFill="1" applyBorder="1" applyAlignment="1" applyProtection="1">
      <alignment vertical="top" wrapText="1"/>
      <protection locked="0"/>
    </xf>
    <xf numFmtId="0" fontId="8" fillId="3" borderId="0" xfId="0" applyFont="1" applyFill="1" applyBorder="1" applyAlignment="1" applyProtection="1">
      <alignment vertical="center"/>
      <protection locked="0"/>
    </xf>
    <xf numFmtId="0" fontId="8" fillId="3" borderId="0" xfId="0" applyFont="1" applyFill="1" applyBorder="1" applyAlignment="1" applyProtection="1">
      <alignment horizontal="left" vertical="center" wrapText="1"/>
      <protection locked="0"/>
    </xf>
    <xf numFmtId="0" fontId="8" fillId="3" borderId="15" xfId="0" applyFont="1" applyFill="1" applyBorder="1" applyAlignment="1" applyProtection="1">
      <alignment horizontal="left" vertical="center" wrapText="1"/>
      <protection locked="0"/>
    </xf>
    <xf numFmtId="0" fontId="5" fillId="9" borderId="5" xfId="0" applyFont="1" applyFill="1" applyBorder="1" applyAlignment="1" applyProtection="1">
      <alignment horizontal="center" vertical="center" wrapText="1"/>
      <protection locked="0"/>
    </xf>
    <xf numFmtId="0" fontId="5" fillId="9" borderId="6" xfId="0" applyFont="1" applyFill="1" applyBorder="1" applyAlignment="1" applyProtection="1">
      <alignment horizontal="center" vertical="center" wrapText="1"/>
      <protection locked="0"/>
    </xf>
    <xf numFmtId="0" fontId="5" fillId="9" borderId="1" xfId="0" applyFont="1" applyFill="1" applyBorder="1" applyAlignment="1" applyProtection="1">
      <alignment horizontal="center" vertical="center" wrapText="1"/>
      <protection locked="0"/>
    </xf>
    <xf numFmtId="0" fontId="5" fillId="16" borderId="5" xfId="0" applyFont="1" applyFill="1" applyBorder="1" applyAlignment="1" applyProtection="1">
      <alignment horizontal="center" vertical="center" wrapText="1"/>
      <protection locked="0"/>
    </xf>
    <xf numFmtId="0" fontId="5" fillId="16" borderId="6" xfId="0" applyFont="1" applyFill="1" applyBorder="1" applyAlignment="1" applyProtection="1">
      <alignment horizontal="center" vertical="center" wrapText="1"/>
      <protection locked="0"/>
    </xf>
    <xf numFmtId="0" fontId="5" fillId="16" borderId="1" xfId="0" applyFont="1" applyFill="1" applyBorder="1" applyAlignment="1" applyProtection="1">
      <alignment horizontal="center" vertical="center" wrapText="1"/>
      <protection locked="0"/>
    </xf>
    <xf numFmtId="0" fontId="5" fillId="11" borderId="5" xfId="0" applyFont="1" applyFill="1" applyBorder="1" applyAlignment="1" applyProtection="1">
      <alignment horizontal="center" vertical="center" wrapText="1"/>
      <protection locked="0"/>
    </xf>
    <xf numFmtId="0" fontId="5" fillId="11" borderId="6" xfId="0" applyFont="1" applyFill="1" applyBorder="1" applyAlignment="1" applyProtection="1">
      <alignment horizontal="center" vertical="center" wrapText="1"/>
      <protection locked="0"/>
    </xf>
    <xf numFmtId="0" fontId="5" fillId="11" borderId="1" xfId="0" applyFont="1" applyFill="1" applyBorder="1" applyAlignment="1" applyProtection="1">
      <alignment horizontal="center" vertical="center" wrapText="1"/>
      <protection locked="0"/>
    </xf>
    <xf numFmtId="0" fontId="27" fillId="0" borderId="0" xfId="0" applyFont="1" applyAlignment="1">
      <alignment horizontal="center"/>
    </xf>
    <xf numFmtId="0" fontId="27" fillId="0" borderId="28" xfId="0" applyFont="1" applyBorder="1" applyAlignment="1">
      <alignment horizontal="center"/>
    </xf>
    <xf numFmtId="0" fontId="16" fillId="12" borderId="0" xfId="3" applyFont="1" applyFill="1" applyBorder="1" applyAlignment="1" applyProtection="1">
      <alignment horizontal="center" vertical="center"/>
      <protection locked="0"/>
    </xf>
    <xf numFmtId="0" fontId="27" fillId="0" borderId="6" xfId="0" applyFont="1" applyBorder="1" applyAlignment="1">
      <alignment horizontal="center"/>
    </xf>
    <xf numFmtId="0" fontId="25" fillId="11" borderId="26" xfId="0" applyFont="1" applyFill="1" applyBorder="1" applyAlignment="1">
      <alignment horizontal="center" vertical="center" wrapText="1"/>
    </xf>
    <xf numFmtId="0" fontId="25" fillId="10" borderId="26"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25" fillId="10" borderId="28"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8" fillId="0" borderId="0" xfId="0" applyFont="1" applyAlignment="1">
      <alignment horizontal="center" wrapText="1"/>
    </xf>
    <xf numFmtId="0" fontId="28" fillId="0" borderId="28" xfId="0" applyFont="1" applyBorder="1" applyAlignment="1">
      <alignment horizontal="center" wrapText="1"/>
    </xf>
    <xf numFmtId="0" fontId="36" fillId="0" borderId="0" xfId="0" applyFont="1" applyAlignment="1">
      <alignment horizontal="center" vertical="center" wrapText="1"/>
    </xf>
    <xf numFmtId="0" fontId="36" fillId="0" borderId="28" xfId="0" applyFont="1" applyBorder="1" applyAlignment="1">
      <alignment horizontal="center" vertical="center" wrapText="1"/>
    </xf>
    <xf numFmtId="0" fontId="28" fillId="0" borderId="6" xfId="0" applyFont="1" applyBorder="1" applyAlignment="1">
      <alignment horizontal="center"/>
    </xf>
    <xf numFmtId="0" fontId="27" fillId="0" borderId="26" xfId="0" applyFont="1" applyBorder="1" applyAlignment="1">
      <alignment horizontal="left" vertical="center"/>
    </xf>
    <xf numFmtId="0" fontId="27" fillId="0" borderId="28" xfId="0" applyFont="1" applyBorder="1" applyAlignment="1">
      <alignment horizontal="left" vertical="center"/>
    </xf>
    <xf numFmtId="0" fontId="27" fillId="0" borderId="0" xfId="0" applyFont="1" applyBorder="1" applyAlignment="1">
      <alignment horizontal="center" wrapText="1"/>
    </xf>
    <xf numFmtId="0" fontId="27" fillId="0" borderId="28" xfId="0" applyFont="1" applyBorder="1" applyAlignment="1">
      <alignment horizontal="center" wrapText="1"/>
    </xf>
    <xf numFmtId="0" fontId="27" fillId="0" borderId="26" xfId="0" applyFont="1" applyBorder="1" applyAlignment="1">
      <alignment horizontal="center"/>
    </xf>
    <xf numFmtId="0" fontId="27" fillId="0" borderId="0" xfId="0" applyFont="1" applyBorder="1" applyAlignment="1">
      <alignment horizontal="center"/>
    </xf>
    <xf numFmtId="0" fontId="27" fillId="0" borderId="0" xfId="0" applyFont="1" applyBorder="1" applyAlignment="1">
      <alignment horizontal="left" vertical="center"/>
    </xf>
    <xf numFmtId="0" fontId="27" fillId="0" borderId="6" xfId="0" applyFont="1" applyBorder="1" applyAlignment="1">
      <alignment horizontal="center" wrapText="1"/>
    </xf>
    <xf numFmtId="0" fontId="27" fillId="0" borderId="26" xfId="0" applyFont="1" applyBorder="1" applyAlignment="1">
      <alignment horizontal="center" wrapText="1"/>
    </xf>
    <xf numFmtId="0" fontId="33" fillId="0" borderId="0" xfId="0" applyFont="1" applyAlignment="1">
      <alignment horizontal="center" vertical="center"/>
    </xf>
    <xf numFmtId="0" fontId="33" fillId="0" borderId="15" xfId="0" applyFont="1" applyBorder="1" applyAlignment="1">
      <alignment horizontal="center" vertical="center"/>
    </xf>
    <xf numFmtId="0" fontId="22" fillId="22" borderId="28" xfId="0" applyFont="1" applyFill="1" applyBorder="1" applyAlignment="1" applyProtection="1">
      <alignment horizontal="left" vertical="top"/>
      <protection hidden="1"/>
    </xf>
    <xf numFmtId="0" fontId="23" fillId="17" borderId="31" xfId="0" applyFont="1" applyFill="1" applyBorder="1" applyAlignment="1" applyProtection="1">
      <alignment horizontal="center" vertical="center" wrapText="1"/>
      <protection hidden="1"/>
    </xf>
    <xf numFmtId="0" fontId="23" fillId="17" borderId="32" xfId="0" applyFont="1" applyFill="1" applyBorder="1" applyAlignment="1" applyProtection="1">
      <alignment horizontal="center" vertical="center" wrapText="1"/>
      <protection hidden="1"/>
    </xf>
    <xf numFmtId="0" fontId="23" fillId="0" borderId="8" xfId="0" applyFont="1" applyBorder="1" applyAlignment="1" applyProtection="1">
      <alignment horizontal="center" vertical="center" wrapText="1"/>
      <protection hidden="1"/>
    </xf>
    <xf numFmtId="0" fontId="23" fillId="0" borderId="9" xfId="0" applyFont="1" applyBorder="1" applyAlignment="1" applyProtection="1">
      <alignment horizontal="center" vertical="center" wrapText="1"/>
      <protection hidden="1"/>
    </xf>
    <xf numFmtId="0" fontId="23" fillId="0" borderId="10" xfId="0" applyFont="1" applyBorder="1" applyAlignment="1" applyProtection="1">
      <alignment horizontal="center" vertical="center" wrapText="1"/>
      <protection hidden="1"/>
    </xf>
    <xf numFmtId="0" fontId="21" fillId="0" borderId="8" xfId="0" applyFont="1" applyBorder="1" applyAlignment="1" applyProtection="1">
      <alignment horizontal="center" vertical="center" wrapText="1"/>
      <protection hidden="1"/>
    </xf>
    <xf numFmtId="0" fontId="21" fillId="0" borderId="9" xfId="0" applyFont="1" applyBorder="1" applyAlignment="1" applyProtection="1">
      <alignment horizontal="center" vertical="center" wrapText="1"/>
      <protection hidden="1"/>
    </xf>
    <xf numFmtId="0" fontId="21" fillId="0" borderId="10" xfId="0" applyFont="1" applyBorder="1" applyAlignment="1" applyProtection="1">
      <alignment horizontal="center" vertical="center" wrapText="1"/>
      <protection hidden="1"/>
    </xf>
    <xf numFmtId="0" fontId="29" fillId="22" borderId="6" xfId="0" applyFont="1" applyFill="1" applyBorder="1" applyAlignment="1" applyProtection="1">
      <alignment horizontal="left" vertical="center"/>
      <protection hidden="1"/>
    </xf>
    <xf numFmtId="0" fontId="23" fillId="0" borderId="11" xfId="0" applyFont="1" applyBorder="1" applyAlignment="1" applyProtection="1">
      <alignment horizontal="center" vertical="center" wrapText="1"/>
      <protection hidden="1"/>
    </xf>
    <xf numFmtId="0" fontId="23" fillId="0" borderId="12" xfId="0" applyFont="1" applyBorder="1" applyAlignment="1" applyProtection="1">
      <alignment horizontal="center" vertical="center" wrapText="1"/>
      <protection hidden="1"/>
    </xf>
    <xf numFmtId="0" fontId="23" fillId="0" borderId="13" xfId="0" applyFont="1" applyBorder="1" applyAlignment="1" applyProtection="1">
      <alignment horizontal="center" vertical="center" wrapText="1"/>
      <protection hidden="1"/>
    </xf>
    <xf numFmtId="0" fontId="23" fillId="0" borderId="14" xfId="0" applyFont="1" applyBorder="1" applyAlignment="1" applyProtection="1">
      <alignment horizontal="center" vertical="center" wrapText="1"/>
      <protection hidden="1"/>
    </xf>
    <xf numFmtId="0" fontId="23" fillId="0" borderId="15" xfId="0" applyFont="1" applyBorder="1" applyAlignment="1" applyProtection="1">
      <alignment horizontal="center" vertical="center" wrapText="1"/>
      <protection hidden="1"/>
    </xf>
    <xf numFmtId="0" fontId="23" fillId="0" borderId="16" xfId="0" applyFont="1" applyBorder="1" applyAlignment="1" applyProtection="1">
      <alignment horizontal="center" vertical="center" wrapText="1"/>
      <protection hidden="1"/>
    </xf>
    <xf numFmtId="0" fontId="4" fillId="3" borderId="20" xfId="0" applyFont="1" applyFill="1" applyBorder="1" applyAlignment="1" applyProtection="1">
      <alignment horizontal="center" vertical="center" wrapText="1"/>
      <protection locked="0"/>
    </xf>
    <xf numFmtId="0" fontId="4" fillId="3" borderId="19" xfId="0" applyFont="1" applyFill="1" applyBorder="1" applyAlignment="1" applyProtection="1">
      <alignment horizontal="center" vertical="center" wrapText="1"/>
      <protection locked="0"/>
    </xf>
    <xf numFmtId="0" fontId="4" fillId="3" borderId="20" xfId="0" applyFont="1" applyFill="1" applyBorder="1" applyAlignment="1" applyProtection="1">
      <alignment vertical="center" wrapText="1"/>
      <protection locked="0"/>
    </xf>
    <xf numFmtId="44" fontId="4" fillId="3" borderId="21" xfId="0" applyNumberFormat="1" applyFont="1" applyFill="1" applyBorder="1" applyAlignment="1" applyProtection="1">
      <alignment vertical="center"/>
      <protection locked="0"/>
    </xf>
    <xf numFmtId="44" fontId="4" fillId="12" borderId="2" xfId="4" applyFont="1" applyFill="1" applyBorder="1" applyAlignment="1" applyProtection="1">
      <alignment horizontal="center" vertical="center"/>
      <protection locked="0"/>
    </xf>
    <xf numFmtId="44" fontId="4" fillId="12" borderId="5" xfId="4" applyFont="1" applyFill="1" applyBorder="1" applyAlignment="1" applyProtection="1">
      <alignment horizontal="center" vertical="center"/>
      <protection locked="0"/>
    </xf>
    <xf numFmtId="44" fontId="4" fillId="12" borderId="1" xfId="4" applyFont="1" applyFill="1" applyBorder="1" applyAlignment="1" applyProtection="1">
      <alignment horizontal="center" vertical="center"/>
      <protection locked="0"/>
    </xf>
    <xf numFmtId="0" fontId="4" fillId="3" borderId="0" xfId="0" applyFont="1" applyFill="1" applyBorder="1" applyAlignment="1" applyProtection="1">
      <alignment vertical="center" wrapText="1"/>
      <protection locked="0"/>
    </xf>
  </cellXfs>
  <cellStyles count="5">
    <cellStyle name="Hiperlink" xfId="3" builtinId="8"/>
    <cellStyle name="Moeda" xfId="4" builtinId="4"/>
    <cellStyle name="Normal" xfId="0" builtinId="0"/>
    <cellStyle name="Porcentagem" xfId="2" builtinId="5"/>
    <cellStyle name="Vírgula" xfId="1" builtinId="3"/>
  </cellStyles>
  <dxfs count="0"/>
  <tableStyles count="0" defaultTableStyle="TableStyleMedium2" defaultPivotStyle="PivotStyleLight16"/>
  <colors>
    <mruColors>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image" Target="../media/image3.jpg"/><Relationship Id="rId7"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16</xdr:col>
      <xdr:colOff>391583</xdr:colOff>
      <xdr:row>0</xdr:row>
      <xdr:rowOff>158749</xdr:rowOff>
    </xdr:from>
    <xdr:to>
      <xdr:col>18</xdr:col>
      <xdr:colOff>92769</xdr:colOff>
      <xdr:row>4</xdr:row>
      <xdr:rowOff>186460</xdr:rowOff>
    </xdr:to>
    <xdr:pic>
      <xdr:nvPicPr>
        <xdr:cNvPr id="5" name="Picture">
          <a:extLst>
            <a:ext uri="{FF2B5EF4-FFF2-40B4-BE49-F238E27FC236}">
              <a16:creationId xmlns="" xmlns:a16="http://schemas.microsoft.com/office/drawing/2014/main" id="{0846F3B4-70EB-4D89-8BB7-F19DAD2770F9}"/>
            </a:ext>
          </a:extLst>
        </xdr:cNvPr>
        <xdr:cNvPicPr/>
      </xdr:nvPicPr>
      <xdr:blipFill>
        <a:blip xmlns:r="http://schemas.openxmlformats.org/officeDocument/2006/relationships" r:embed="rId1"/>
        <a:stretch>
          <a:fillRect/>
        </a:stretch>
      </xdr:blipFill>
      <xdr:spPr bwMode="auto">
        <a:xfrm>
          <a:off x="10572750" y="158749"/>
          <a:ext cx="928852" cy="789711"/>
        </a:xfrm>
        <a:prstGeom prst="rect">
          <a:avLst/>
        </a:prstGeom>
        <a:noFill/>
      </xdr:spPr>
    </xdr:pic>
    <xdr:clientData/>
  </xdr:twoCellAnchor>
  <xdr:twoCellAnchor editAs="oneCell">
    <xdr:from>
      <xdr:col>0</xdr:col>
      <xdr:colOff>257175</xdr:colOff>
      <xdr:row>1</xdr:row>
      <xdr:rowOff>57150</xdr:rowOff>
    </xdr:from>
    <xdr:to>
      <xdr:col>3</xdr:col>
      <xdr:colOff>150643</xdr:colOff>
      <xdr:row>4</xdr:row>
      <xdr:rowOff>2082</xdr:rowOff>
    </xdr:to>
    <xdr:pic>
      <xdr:nvPicPr>
        <xdr:cNvPr id="6" name="Picture">
          <a:extLst>
            <a:ext uri="{FF2B5EF4-FFF2-40B4-BE49-F238E27FC236}">
              <a16:creationId xmlns="" xmlns:a16="http://schemas.microsoft.com/office/drawing/2014/main" id="{E2EF45A2-77BF-43CB-B428-185D74391D90}"/>
            </a:ext>
          </a:extLst>
        </xdr:cNvPr>
        <xdr:cNvPicPr/>
      </xdr:nvPicPr>
      <xdr:blipFill>
        <a:blip xmlns:r="http://schemas.openxmlformats.org/officeDocument/2006/relationships" r:embed="rId2"/>
        <a:stretch>
          <a:fillRect/>
        </a:stretch>
      </xdr:blipFill>
      <xdr:spPr bwMode="auto">
        <a:xfrm>
          <a:off x="257175" y="247650"/>
          <a:ext cx="2084218" cy="516432"/>
        </a:xfrm>
        <a:prstGeom prst="rect">
          <a:avLst/>
        </a:prstGeom>
        <a:noFill/>
      </xdr:spPr>
    </xdr:pic>
    <xdr:clientData/>
  </xdr:twoCellAnchor>
  <xdr:twoCellAnchor>
    <xdr:from>
      <xdr:col>3</xdr:col>
      <xdr:colOff>533399</xdr:colOff>
      <xdr:row>1</xdr:row>
      <xdr:rowOff>0</xdr:rowOff>
    </xdr:from>
    <xdr:to>
      <xdr:col>14</xdr:col>
      <xdr:colOff>466725</xdr:colOff>
      <xdr:row>4</xdr:row>
      <xdr:rowOff>37513</xdr:rowOff>
    </xdr:to>
    <xdr:sp macro="" textlink="">
      <xdr:nvSpPr>
        <xdr:cNvPr id="7" name="CaixaDeTexto 5">
          <a:extLst>
            <a:ext uri="{FF2B5EF4-FFF2-40B4-BE49-F238E27FC236}">
              <a16:creationId xmlns="" xmlns:a16="http://schemas.microsoft.com/office/drawing/2014/main" id="{40F3895B-A37F-44AB-B280-75492E50C1CC}"/>
            </a:ext>
          </a:extLst>
        </xdr:cNvPr>
        <xdr:cNvSpPr txBox="1"/>
      </xdr:nvSpPr>
      <xdr:spPr>
        <a:xfrm>
          <a:off x="2724149" y="190500"/>
          <a:ext cx="6638926" cy="609013"/>
        </a:xfrm>
        <a:prstGeom prst="rect">
          <a:avLst/>
        </a:prstGeom>
        <a:noFill/>
      </xdr:spPr>
      <xdr:txBody>
        <a:bodyPr wrap="squar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100" b="1"/>
            <a:t>Governo do Distrito Federal - GDF</a:t>
          </a:r>
        </a:p>
        <a:p>
          <a:pPr algn="ctr"/>
          <a:r>
            <a:rPr lang="pt-BR" sz="1100" b="1"/>
            <a:t>Secretaria de Estado da Agricultura, Abastecimento e Desenvolvimento Rural – SEAGRI DF</a:t>
          </a:r>
        </a:p>
        <a:p>
          <a:pPr algn="ctr"/>
          <a:r>
            <a:rPr lang="pt-BR" sz="1100"/>
            <a:t>Empresa de Assistência Técnica e Extensão Rural – EMATER-DF</a:t>
          </a:r>
        </a:p>
      </xdr:txBody>
    </xdr:sp>
    <xdr:clientData/>
  </xdr:twoCellAnchor>
  <xdr:twoCellAnchor editAs="oneCell">
    <xdr:from>
      <xdr:col>7</xdr:col>
      <xdr:colOff>547687</xdr:colOff>
      <xdr:row>6</xdr:row>
      <xdr:rowOff>12500</xdr:rowOff>
    </xdr:from>
    <xdr:to>
      <xdr:col>15</xdr:col>
      <xdr:colOff>4764</xdr:colOff>
      <xdr:row>18</xdr:row>
      <xdr:rowOff>164306</xdr:rowOff>
    </xdr:to>
    <xdr:pic>
      <xdr:nvPicPr>
        <xdr:cNvPr id="9" name="Imagem 8">
          <a:extLst>
            <a:ext uri="{FF2B5EF4-FFF2-40B4-BE49-F238E27FC236}">
              <a16:creationId xmlns="" xmlns:a16="http://schemas.microsoft.com/office/drawing/2014/main" id="{1AFB40CB-F28C-4861-AAE0-FE307F5C9B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5176837" y="1155500"/>
          <a:ext cx="4333877" cy="243780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3</xdr:col>
      <xdr:colOff>258941</xdr:colOff>
      <xdr:row>6</xdr:row>
      <xdr:rowOff>59511</xdr:rowOff>
    </xdr:from>
    <xdr:to>
      <xdr:col>5</xdr:col>
      <xdr:colOff>585767</xdr:colOff>
      <xdr:row>20</xdr:row>
      <xdr:rowOff>145236</xdr:rowOff>
    </xdr:to>
    <xdr:pic>
      <xdr:nvPicPr>
        <xdr:cNvPr id="11" name="Imagem 10">
          <a:extLst>
            <a:ext uri="{FF2B5EF4-FFF2-40B4-BE49-F238E27FC236}">
              <a16:creationId xmlns="" xmlns:a16="http://schemas.microsoft.com/office/drawing/2014/main" id="{DC9720E9-47EB-4EE5-AE5C-24C932BB51C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a:ext>
          </a:extLst>
        </a:blip>
        <a:stretch>
          <a:fillRect/>
        </a:stretch>
      </xdr:blipFill>
      <xdr:spPr>
        <a:xfrm>
          <a:off x="2449691" y="1202511"/>
          <a:ext cx="1546026" cy="27527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5</xdr:col>
      <xdr:colOff>132716</xdr:colOff>
      <xdr:row>13</xdr:row>
      <xdr:rowOff>69017</xdr:rowOff>
    </xdr:from>
    <xdr:to>
      <xdr:col>8</xdr:col>
      <xdr:colOff>119062</xdr:colOff>
      <xdr:row>30</xdr:row>
      <xdr:rowOff>54658</xdr:rowOff>
    </xdr:to>
    <xdr:pic>
      <xdr:nvPicPr>
        <xdr:cNvPr id="13" name="Imagem 12">
          <a:extLst>
            <a:ext uri="{FF2B5EF4-FFF2-40B4-BE49-F238E27FC236}">
              <a16:creationId xmlns="" xmlns:a16="http://schemas.microsoft.com/office/drawing/2014/main" id="{C32404CA-3819-4C3A-BF3F-8CF9D6A5014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a:ext>
          </a:extLst>
        </a:blip>
        <a:stretch>
          <a:fillRect/>
        </a:stretch>
      </xdr:blipFill>
      <xdr:spPr>
        <a:xfrm>
          <a:off x="3542666" y="2545517"/>
          <a:ext cx="1815146" cy="322414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13</xdr:col>
      <xdr:colOff>333375</xdr:colOff>
      <xdr:row>17</xdr:row>
      <xdr:rowOff>39775</xdr:rowOff>
    </xdr:from>
    <xdr:to>
      <xdr:col>17</xdr:col>
      <xdr:colOff>264262</xdr:colOff>
      <xdr:row>29</xdr:row>
      <xdr:rowOff>121489</xdr:rowOff>
    </xdr:to>
    <xdr:pic>
      <xdr:nvPicPr>
        <xdr:cNvPr id="15" name="Imagem 14">
          <a:extLst>
            <a:ext uri="{FF2B5EF4-FFF2-40B4-BE49-F238E27FC236}">
              <a16:creationId xmlns="" xmlns:a16="http://schemas.microsoft.com/office/drawing/2014/main" id="{7224EFD8-639B-4157-B0D9-1BA01A382F0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8620125" y="3278275"/>
          <a:ext cx="2369287" cy="23677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15</xdr:col>
      <xdr:colOff>563685</xdr:colOff>
      <xdr:row>6</xdr:row>
      <xdr:rowOff>118986</xdr:rowOff>
    </xdr:from>
    <xdr:to>
      <xdr:col>18</xdr:col>
      <xdr:colOff>285674</xdr:colOff>
      <xdr:row>21</xdr:row>
      <xdr:rowOff>14211</xdr:rowOff>
    </xdr:to>
    <xdr:pic>
      <xdr:nvPicPr>
        <xdr:cNvPr id="17" name="Imagem 16">
          <a:extLst>
            <a:ext uri="{FF2B5EF4-FFF2-40B4-BE49-F238E27FC236}">
              <a16:creationId xmlns="" xmlns:a16="http://schemas.microsoft.com/office/drawing/2014/main" id="{F0C08039-7EB5-4A9D-894B-68E29071DB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a:ext>
          </a:extLst>
        </a:blip>
        <a:stretch>
          <a:fillRect/>
        </a:stretch>
      </xdr:blipFill>
      <xdr:spPr>
        <a:xfrm>
          <a:off x="10069635" y="1261986"/>
          <a:ext cx="1550789" cy="27527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9</xdr:col>
      <xdr:colOff>250032</xdr:colOff>
      <xdr:row>17</xdr:row>
      <xdr:rowOff>152400</xdr:rowOff>
    </xdr:from>
    <xdr:to>
      <xdr:col>12</xdr:col>
      <xdr:colOff>161926</xdr:colOff>
      <xdr:row>29</xdr:row>
      <xdr:rowOff>187325</xdr:rowOff>
    </xdr:to>
    <xdr:pic>
      <xdr:nvPicPr>
        <xdr:cNvPr id="19" name="Imagem 18">
          <a:extLst>
            <a:ext uri="{FF2B5EF4-FFF2-40B4-BE49-F238E27FC236}">
              <a16:creationId xmlns="" xmlns:a16="http://schemas.microsoft.com/office/drawing/2014/main" id="{42B9EECF-CE20-4A0B-A202-9CF237AEC8F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a:ext>
          </a:extLst>
        </a:blip>
        <a:stretch>
          <a:fillRect/>
        </a:stretch>
      </xdr:blipFill>
      <xdr:spPr>
        <a:xfrm>
          <a:off x="6098382" y="3390900"/>
          <a:ext cx="1740694" cy="23209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33F7AA78-0E5C-4592-AD76-6385CAA281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FB4FEF50-CB14-4F32-BE6A-B3BCC9A08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41B86D2A-4186-44DC-BE5E-D558F9BAA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1C1ADCB9-ECE3-4DD7-9E3F-59E454B62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EDCC8C80-5664-4356-B980-91ABC97AAA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3AAB2CE7-CEEC-4170-AEB8-7521FEDAC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2F789B0F-CFA6-4FDC-9FFF-0A4D357F7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F9166A31-E9AA-40CE-A3A2-331FEE912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00C557C0-134D-48BE-ADF6-DE7256F53A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443DC1A6-169C-4C5D-8F2B-F3B52AA03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10584</xdr:colOff>
      <xdr:row>0</xdr:row>
      <xdr:rowOff>52917</xdr:rowOff>
    </xdr:from>
    <xdr:to>
      <xdr:col>18</xdr:col>
      <xdr:colOff>407093</xdr:colOff>
      <xdr:row>4</xdr:row>
      <xdr:rowOff>170585</xdr:rowOff>
    </xdr:to>
    <xdr:pic>
      <xdr:nvPicPr>
        <xdr:cNvPr id="2" name="Picture">
          <a:extLst>
            <a:ext uri="{FF2B5EF4-FFF2-40B4-BE49-F238E27FC236}">
              <a16:creationId xmlns="" xmlns:a16="http://schemas.microsoft.com/office/drawing/2014/main" id="{AB131AEC-8C9F-41A8-B9D3-B387CA8863A2}"/>
            </a:ext>
          </a:extLst>
        </xdr:cNvPr>
        <xdr:cNvPicPr/>
      </xdr:nvPicPr>
      <xdr:blipFill>
        <a:blip xmlns:r="http://schemas.openxmlformats.org/officeDocument/2006/relationships" r:embed="rId1"/>
        <a:stretch>
          <a:fillRect/>
        </a:stretch>
      </xdr:blipFill>
      <xdr:spPr bwMode="auto">
        <a:xfrm>
          <a:off x="11673417" y="52917"/>
          <a:ext cx="1010343" cy="879668"/>
        </a:xfrm>
        <a:prstGeom prst="rect">
          <a:avLst/>
        </a:prstGeom>
        <a:noFill/>
      </xdr:spPr>
    </xdr:pic>
    <xdr:clientData/>
  </xdr:twoCellAnchor>
  <xdr:twoCellAnchor editAs="oneCell">
    <xdr:from>
      <xdr:col>1</xdr:col>
      <xdr:colOff>35720</xdr:colOff>
      <xdr:row>0</xdr:row>
      <xdr:rowOff>176213</xdr:rowOff>
    </xdr:from>
    <xdr:to>
      <xdr:col>2</xdr:col>
      <xdr:colOff>1667501</xdr:colOff>
      <xdr:row>4</xdr:row>
      <xdr:rowOff>6845</xdr:rowOff>
    </xdr:to>
    <xdr:pic>
      <xdr:nvPicPr>
        <xdr:cNvPr id="3" name="Picture">
          <a:extLst>
            <a:ext uri="{FF2B5EF4-FFF2-40B4-BE49-F238E27FC236}">
              <a16:creationId xmlns="" xmlns:a16="http://schemas.microsoft.com/office/drawing/2014/main" id="{3DD2DA05-AD79-4464-BEB0-2646436C2024}"/>
            </a:ext>
          </a:extLst>
        </xdr:cNvPr>
        <xdr:cNvPicPr/>
      </xdr:nvPicPr>
      <xdr:blipFill>
        <a:blip xmlns:r="http://schemas.openxmlformats.org/officeDocument/2006/relationships" r:embed="rId2"/>
        <a:stretch>
          <a:fillRect/>
        </a:stretch>
      </xdr:blipFill>
      <xdr:spPr bwMode="auto">
        <a:xfrm>
          <a:off x="381001" y="176213"/>
          <a:ext cx="2239000" cy="592632"/>
        </a:xfrm>
        <a:prstGeom prst="rect">
          <a:avLst/>
        </a:prstGeom>
        <a:noFill/>
      </xdr:spPr>
    </xdr:pic>
    <xdr:clientData/>
  </xdr:twoCellAnchor>
  <xdr:twoCellAnchor>
    <xdr:from>
      <xdr:col>2</xdr:col>
      <xdr:colOff>1949978</xdr:colOff>
      <xdr:row>1</xdr:row>
      <xdr:rowOff>19843</xdr:rowOff>
    </xdr:from>
    <xdr:to>
      <xdr:col>17</xdr:col>
      <xdr:colOff>105833</xdr:colOff>
      <xdr:row>4</xdr:row>
      <xdr:rowOff>57356</xdr:rowOff>
    </xdr:to>
    <xdr:sp macro="" textlink="">
      <xdr:nvSpPr>
        <xdr:cNvPr id="4" name="CaixaDeTexto 5">
          <a:extLst>
            <a:ext uri="{FF2B5EF4-FFF2-40B4-BE49-F238E27FC236}">
              <a16:creationId xmlns="" xmlns:a16="http://schemas.microsoft.com/office/drawing/2014/main" id="{9C1857E0-83AD-4EF4-917F-18EB7322290F}"/>
            </a:ext>
          </a:extLst>
        </xdr:cNvPr>
        <xdr:cNvSpPr txBox="1"/>
      </xdr:nvSpPr>
      <xdr:spPr>
        <a:xfrm>
          <a:off x="2902478" y="210343"/>
          <a:ext cx="8866188" cy="609013"/>
        </a:xfrm>
        <a:prstGeom prst="rect">
          <a:avLst/>
        </a:prstGeom>
        <a:noFill/>
      </xdr:spPr>
      <xdr:txBody>
        <a:bodyPr wrap="squar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100" b="1"/>
            <a:t>Governo do Distrito Federal - GDF</a:t>
          </a:r>
        </a:p>
        <a:p>
          <a:pPr algn="ctr"/>
          <a:r>
            <a:rPr lang="pt-BR" sz="1100" b="1"/>
            <a:t>Secretaria de Estado da Agricultura, Abastecimento e Desenvolvimento Rural – SEAGRI DF</a:t>
          </a:r>
        </a:p>
        <a:p>
          <a:pPr algn="ctr"/>
          <a:r>
            <a:rPr lang="pt-BR" sz="1100"/>
            <a:t>Empresa de Assistência Técnica e Extensão Rural – EMATER-DF</a:t>
          </a:r>
        </a:p>
      </xdr:txBody>
    </xdr:sp>
    <xdr:clientData/>
  </xdr:twoCellAnchor>
  <xdr:twoCellAnchor editAs="oneCell">
    <xdr:from>
      <xdr:col>8</xdr:col>
      <xdr:colOff>60145</xdr:colOff>
      <xdr:row>6</xdr:row>
      <xdr:rowOff>178593</xdr:rowOff>
    </xdr:from>
    <xdr:to>
      <xdr:col>15</xdr:col>
      <xdr:colOff>143490</xdr:colOff>
      <xdr:row>17</xdr:row>
      <xdr:rowOff>81690</xdr:rowOff>
    </xdr:to>
    <xdr:pic>
      <xdr:nvPicPr>
        <xdr:cNvPr id="5" name="Imagem 4">
          <a:extLst>
            <a:ext uri="{FF2B5EF4-FFF2-40B4-BE49-F238E27FC236}">
              <a16:creationId xmlns="" xmlns:a16="http://schemas.microsoft.com/office/drawing/2014/main" id="{46662A3F-8F3E-4959-BFA0-6757F1A2B7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6168051" y="1321593"/>
          <a:ext cx="4333877" cy="243780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3</xdr:col>
      <xdr:colOff>547686</xdr:colOff>
      <xdr:row>6</xdr:row>
      <xdr:rowOff>249417</xdr:rowOff>
    </xdr:from>
    <xdr:to>
      <xdr:col>6</xdr:col>
      <xdr:colOff>272056</xdr:colOff>
      <xdr:row>19</xdr:row>
      <xdr:rowOff>14996</xdr:rowOff>
    </xdr:to>
    <xdr:pic>
      <xdr:nvPicPr>
        <xdr:cNvPr id="6" name="Imagem 5">
          <a:extLst>
            <a:ext uri="{FF2B5EF4-FFF2-40B4-BE49-F238E27FC236}">
              <a16:creationId xmlns="" xmlns:a16="http://schemas.microsoft.com/office/drawing/2014/main" id="{B411DED4-3FCE-4272-B9A8-8AF02D66B1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a:ext>
          </a:extLst>
        </a:blip>
        <a:stretch>
          <a:fillRect/>
        </a:stretch>
      </xdr:blipFill>
      <xdr:spPr>
        <a:xfrm>
          <a:off x="3619499" y="1392417"/>
          <a:ext cx="1546026" cy="27527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6</xdr:col>
      <xdr:colOff>38080</xdr:colOff>
      <xdr:row>13</xdr:row>
      <xdr:rowOff>116047</xdr:rowOff>
    </xdr:from>
    <xdr:to>
      <xdr:col>9</xdr:col>
      <xdr:colOff>31570</xdr:colOff>
      <xdr:row>27</xdr:row>
      <xdr:rowOff>173125</xdr:rowOff>
    </xdr:to>
    <xdr:pic>
      <xdr:nvPicPr>
        <xdr:cNvPr id="7" name="Imagem 6">
          <a:extLst>
            <a:ext uri="{FF2B5EF4-FFF2-40B4-BE49-F238E27FC236}">
              <a16:creationId xmlns="" xmlns:a16="http://schemas.microsoft.com/office/drawing/2014/main" id="{C39D74F0-0AF3-4C0D-9145-42CA3B6860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a:ext>
          </a:extLst>
        </a:blip>
        <a:stretch>
          <a:fillRect/>
        </a:stretch>
      </xdr:blipFill>
      <xdr:spPr>
        <a:xfrm>
          <a:off x="4931549" y="2878297"/>
          <a:ext cx="1815146" cy="322414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14</xdr:col>
      <xdr:colOff>122058</xdr:colOff>
      <xdr:row>17</xdr:row>
      <xdr:rowOff>86806</xdr:rowOff>
    </xdr:from>
    <xdr:to>
      <xdr:col>18</xdr:col>
      <xdr:colOff>62470</xdr:colOff>
      <xdr:row>27</xdr:row>
      <xdr:rowOff>192333</xdr:rowOff>
    </xdr:to>
    <xdr:pic>
      <xdr:nvPicPr>
        <xdr:cNvPr id="8" name="Imagem 7">
          <a:extLst>
            <a:ext uri="{FF2B5EF4-FFF2-40B4-BE49-F238E27FC236}">
              <a16:creationId xmlns="" xmlns:a16="http://schemas.microsoft.com/office/drawing/2014/main" id="{7EB6101F-D7D2-4A24-836C-CDFAF951D5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9873277" y="3753931"/>
          <a:ext cx="2369287" cy="23677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16</xdr:col>
      <xdr:colOff>238068</xdr:colOff>
      <xdr:row>6</xdr:row>
      <xdr:rowOff>201735</xdr:rowOff>
    </xdr:from>
    <xdr:to>
      <xdr:col>18</xdr:col>
      <xdr:colOff>574419</xdr:colOff>
      <xdr:row>18</xdr:row>
      <xdr:rowOff>193533</xdr:rowOff>
    </xdr:to>
    <xdr:pic>
      <xdr:nvPicPr>
        <xdr:cNvPr id="9" name="Imagem 8">
          <a:extLst>
            <a:ext uri="{FF2B5EF4-FFF2-40B4-BE49-F238E27FC236}">
              <a16:creationId xmlns="" xmlns:a16="http://schemas.microsoft.com/office/drawing/2014/main" id="{1DD98181-47C2-46C4-9011-4C1C7FF419B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a:ext>
          </a:extLst>
        </a:blip>
        <a:stretch>
          <a:fillRect/>
        </a:stretch>
      </xdr:blipFill>
      <xdr:spPr>
        <a:xfrm>
          <a:off x="11203724" y="1344735"/>
          <a:ext cx="1550789" cy="27527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10</xdr:col>
      <xdr:colOff>136345</xdr:colOff>
      <xdr:row>15</xdr:row>
      <xdr:rowOff>211337</xdr:rowOff>
    </xdr:from>
    <xdr:to>
      <xdr:col>13</xdr:col>
      <xdr:colOff>55383</xdr:colOff>
      <xdr:row>26</xdr:row>
      <xdr:rowOff>43855</xdr:rowOff>
    </xdr:to>
    <xdr:pic>
      <xdr:nvPicPr>
        <xdr:cNvPr id="10" name="Imagem 9">
          <a:extLst>
            <a:ext uri="{FF2B5EF4-FFF2-40B4-BE49-F238E27FC236}">
              <a16:creationId xmlns="" xmlns:a16="http://schemas.microsoft.com/office/drawing/2014/main" id="{1866CB50-2A2C-4ACE-8468-F7F3C7D27A4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a:ext>
          </a:extLst>
        </a:blip>
        <a:stretch>
          <a:fillRect/>
        </a:stretch>
      </xdr:blipFill>
      <xdr:spPr>
        <a:xfrm>
          <a:off x="7458689" y="3426025"/>
          <a:ext cx="1740694" cy="23209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3A35EEFB-5D06-4BA7-9FC6-6C83C05B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31991D90-D343-40AF-9017-E5B78D9A4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12652F48-9932-4D5A-965C-089E24CA3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37AC8C75-FA92-45B5-8209-664DA32C84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EB046B2D-8F3E-4F08-8B20-9C9A18AF3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D818CF98-0BC2-4E6B-B531-E4C1517446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5229C75E-C871-4342-866B-161FD77E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857250</xdr:colOff>
      <xdr:row>20</xdr:row>
      <xdr:rowOff>71238</xdr:rowOff>
    </xdr:from>
    <xdr:to>
      <xdr:col>6</xdr:col>
      <xdr:colOff>0</xdr:colOff>
      <xdr:row>35</xdr:row>
      <xdr:rowOff>0</xdr:rowOff>
    </xdr:to>
    <xdr:pic>
      <xdr:nvPicPr>
        <xdr:cNvPr id="9" name="Imagem 8">
          <a:extLst>
            <a:ext uri="{FF2B5EF4-FFF2-40B4-BE49-F238E27FC236}">
              <a16:creationId xmlns="" xmlns:a16="http://schemas.microsoft.com/office/drawing/2014/main" id="{931DC7B6-7285-4105-9F6B-11B20A0ADD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10643" y="5241952"/>
          <a:ext cx="4463143" cy="3806798"/>
        </a:xfrm>
        <a:prstGeom prst="rect">
          <a:avLst/>
        </a:prstGeom>
      </xdr:spPr>
    </xdr:pic>
    <xdr:clientData/>
  </xdr:twoCellAnchor>
  <xdr:twoCellAnchor editAs="oneCell">
    <xdr:from>
      <xdr:col>2</xdr:col>
      <xdr:colOff>848293</xdr:colOff>
      <xdr:row>41</xdr:row>
      <xdr:rowOff>0</xdr:rowOff>
    </xdr:from>
    <xdr:to>
      <xdr:col>5</xdr:col>
      <xdr:colOff>625929</xdr:colOff>
      <xdr:row>53</xdr:row>
      <xdr:rowOff>43543</xdr:rowOff>
    </xdr:to>
    <xdr:pic>
      <xdr:nvPicPr>
        <xdr:cNvPr id="13" name="Imagem 12">
          <a:extLst>
            <a:ext uri="{FF2B5EF4-FFF2-40B4-BE49-F238E27FC236}">
              <a16:creationId xmlns="" xmlns:a16="http://schemas.microsoft.com/office/drawing/2014/main" id="{B4E7F5EE-AB63-453E-8FC3-CBE0FFDD676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01686" y="10599964"/>
          <a:ext cx="3982243" cy="31459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9</xdr:col>
      <xdr:colOff>107950</xdr:colOff>
      <xdr:row>7</xdr:row>
      <xdr:rowOff>81643</xdr:rowOff>
    </xdr:to>
    <xdr:pic>
      <xdr:nvPicPr>
        <xdr:cNvPr id="2" name="Imagem 1">
          <a:extLst>
            <a:ext uri="{FF2B5EF4-FFF2-40B4-BE49-F238E27FC236}">
              <a16:creationId xmlns="" xmlns:a16="http://schemas.microsoft.com/office/drawing/2014/main" id="{18E3B4C5-E630-49E6-A7D6-359C66BA9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3" name="Imagem 2">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76890"/>
          <a:ext cx="11061700" cy="1690691"/>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380999</xdr:colOff>
      <xdr:row>0</xdr:row>
      <xdr:rowOff>108858</xdr:rowOff>
    </xdr:from>
    <xdr:to>
      <xdr:col>8</xdr:col>
      <xdr:colOff>1420091</xdr:colOff>
      <xdr:row>7</xdr:row>
      <xdr:rowOff>108861</xdr:rowOff>
    </xdr:to>
    <xdr:pic>
      <xdr:nvPicPr>
        <xdr:cNvPr id="4" name="Imagem 3">
          <a:extLst>
            <a:ext uri="{FF2B5EF4-FFF2-40B4-BE49-F238E27FC236}">
              <a16:creationId xmlns=""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999" y="108858"/>
          <a:ext cx="12624956" cy="169718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1BDDD8A2-761E-4869-8D19-E43D1800F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68036</xdr:colOff>
      <xdr:row>0</xdr:row>
      <xdr:rowOff>176890</xdr:rowOff>
    </xdr:from>
    <xdr:to>
      <xdr:col>8</xdr:col>
      <xdr:colOff>1060450</xdr:colOff>
      <xdr:row>7</xdr:row>
      <xdr:rowOff>81643</xdr:rowOff>
    </xdr:to>
    <xdr:pic>
      <xdr:nvPicPr>
        <xdr:cNvPr id="2" name="Imagem 1">
          <a:extLst>
            <a:ext uri="{FF2B5EF4-FFF2-40B4-BE49-F238E27FC236}">
              <a16:creationId xmlns="" xmlns:a16="http://schemas.microsoft.com/office/drawing/2014/main" id="{66AD0219-A3E6-4B7B-BF92-6BA1251EF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961" y="176890"/>
          <a:ext cx="11022239" cy="17049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108858</xdr:rowOff>
    </xdr:from>
    <xdr:to>
      <xdr:col>8</xdr:col>
      <xdr:colOff>1061358</xdr:colOff>
      <xdr:row>7</xdr:row>
      <xdr:rowOff>108861</xdr:rowOff>
    </xdr:to>
    <xdr:pic>
      <xdr:nvPicPr>
        <xdr:cNvPr id="2" name="Imagem 1">
          <a:extLst>
            <a:ext uri="{FF2B5EF4-FFF2-40B4-BE49-F238E27FC236}">
              <a16:creationId xmlns="" xmlns:a16="http://schemas.microsoft.com/office/drawing/2014/main" id="{BA235B0F-5F51-47B5-AEAC-5CA347E02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8858"/>
          <a:ext cx="11091183" cy="17335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7.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8.xml"/><Relationship Id="rId1" Type="http://schemas.openxmlformats.org/officeDocument/2006/relationships/printerSettings" Target="../printerSettings/printerSettings19.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9.xml"/><Relationship Id="rId1" Type="http://schemas.openxmlformats.org/officeDocument/2006/relationships/printerSettings" Target="../printerSettings/printerSettings20.bin"/><Relationship Id="rId4"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0.xml"/><Relationship Id="rId1" Type="http://schemas.openxmlformats.org/officeDocument/2006/relationships/printerSettings" Target="../printerSettings/printerSettings21.bin"/><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1.xml"/><Relationship Id="rId1" Type="http://schemas.openxmlformats.org/officeDocument/2006/relationships/printerSettings" Target="../printerSettings/printerSettings22.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2.xml"/><Relationship Id="rId1" Type="http://schemas.openxmlformats.org/officeDocument/2006/relationships/printerSettings" Target="../printerSettings/printerSettings23.bin"/><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3.xml"/><Relationship Id="rId1" Type="http://schemas.openxmlformats.org/officeDocument/2006/relationships/printerSettings" Target="../printerSettings/printerSettings24.bin"/><Relationship Id="rId4" Type="http://schemas.openxmlformats.org/officeDocument/2006/relationships/comments" Target="../comments19.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5.bin"/><Relationship Id="rId4" Type="http://schemas.openxmlformats.org/officeDocument/2006/relationships/comments" Target="../comments2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6.bin"/><Relationship Id="rId4" Type="http://schemas.openxmlformats.org/officeDocument/2006/relationships/comments" Target="../comments2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23"/>
  <sheetViews>
    <sheetView zoomScaleNormal="100" workbookViewId="0"/>
  </sheetViews>
  <sheetFormatPr defaultRowHeight="15" x14ac:dyDescent="0.2"/>
  <cols>
    <col min="1" max="1" width="9.140625" style="148"/>
    <col min="2" max="2" width="14.5703125" style="148" customWidth="1"/>
    <col min="3" max="16384" width="9.140625" style="148"/>
  </cols>
  <sheetData>
    <row r="7" spans="1:5" x14ac:dyDescent="0.2">
      <c r="A7" s="194"/>
      <c r="B7" s="194"/>
    </row>
    <row r="8" spans="1:5" x14ac:dyDescent="0.2">
      <c r="A8" s="285" t="s">
        <v>324</v>
      </c>
      <c r="B8" s="285"/>
    </row>
    <row r="9" spans="1:5" x14ac:dyDescent="0.2">
      <c r="A9" s="285" t="s">
        <v>361</v>
      </c>
      <c r="B9" s="285"/>
    </row>
    <row r="10" spans="1:5" x14ac:dyDescent="0.2">
      <c r="A10" s="285" t="s">
        <v>362</v>
      </c>
      <c r="B10" s="285"/>
    </row>
    <row r="11" spans="1:5" x14ac:dyDescent="0.2">
      <c r="A11" s="285" t="s">
        <v>325</v>
      </c>
      <c r="B11" s="285"/>
      <c r="D11" s="193"/>
    </row>
    <row r="12" spans="1:5" x14ac:dyDescent="0.2">
      <c r="A12" s="285" t="s">
        <v>326</v>
      </c>
      <c r="B12" s="285"/>
    </row>
    <row r="13" spans="1:5" ht="15" customHeight="1" x14ac:dyDescent="0.2">
      <c r="A13" s="287" t="s">
        <v>363</v>
      </c>
      <c r="B13" s="287"/>
    </row>
    <row r="14" spans="1:5" ht="15" customHeight="1" x14ac:dyDescent="0.2">
      <c r="A14" s="287"/>
      <c r="B14" s="287"/>
    </row>
    <row r="15" spans="1:5" x14ac:dyDescent="0.2">
      <c r="A15" s="287" t="s">
        <v>432</v>
      </c>
      <c r="B15" s="287"/>
      <c r="E15" s="194"/>
    </row>
    <row r="16" spans="1:5" x14ac:dyDescent="0.2">
      <c r="A16" s="287"/>
      <c r="B16" s="287"/>
    </row>
    <row r="17" spans="1:2" x14ac:dyDescent="0.2">
      <c r="A17" s="286"/>
      <c r="B17" s="286"/>
    </row>
    <row r="18" spans="1:2" x14ac:dyDescent="0.2">
      <c r="A18" s="286"/>
      <c r="B18" s="286"/>
    </row>
    <row r="19" spans="1:2" x14ac:dyDescent="0.2">
      <c r="A19" s="286"/>
      <c r="B19" s="286"/>
    </row>
    <row r="20" spans="1:2" x14ac:dyDescent="0.2">
      <c r="A20" s="194"/>
      <c r="B20" s="194"/>
    </row>
    <row r="21" spans="1:2" x14ac:dyDescent="0.2">
      <c r="A21" s="194"/>
      <c r="B21" s="194"/>
    </row>
    <row r="22" spans="1:2" x14ac:dyDescent="0.2">
      <c r="A22" s="194"/>
      <c r="B22" s="194"/>
    </row>
    <row r="23" spans="1:2" x14ac:dyDescent="0.2">
      <c r="A23" s="194"/>
      <c r="B23" s="194"/>
    </row>
  </sheetData>
  <mergeCells count="10">
    <mergeCell ref="A8:B8"/>
    <mergeCell ref="A11:B11"/>
    <mergeCell ref="A12:B12"/>
    <mergeCell ref="A18:B18"/>
    <mergeCell ref="A19:B19"/>
    <mergeCell ref="A9:B9"/>
    <mergeCell ref="A10:B10"/>
    <mergeCell ref="A13:B14"/>
    <mergeCell ref="A15:B16"/>
    <mergeCell ref="A17:B17"/>
  </mergeCells>
  <hyperlinks>
    <hyperlink ref="A13:B14" location="'Saturação de base e PRNT'!A1" display="Saturação de base e PRNT"/>
    <hyperlink ref="A15:B16" location="'Conversão de unidades'!A1" display="Tabela de conversão de unidades"/>
    <hyperlink ref="A8:B8" location="Culturas!A1" display="Culturas"/>
    <hyperlink ref="A12:B12" location="'Adubos e corretivos'!A1" display="Adubos e corretivos"/>
    <hyperlink ref="A9:B9" location="'Análise de solo'!A1" display="Análise de solo"/>
    <hyperlink ref="A11:B11" location="Espaçamentos!A1" display="Espaçamentos"/>
    <hyperlink ref="A10:B10" location="'Análise foliar'!A1" display="Análise foliar"/>
  </hyperlink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40</v>
      </c>
      <c r="V28" s="111">
        <v>30000</v>
      </c>
      <c r="W28" s="111" t="s">
        <v>68</v>
      </c>
      <c r="X28" s="111" t="str">
        <f>CONCATENATE(U28," - ",W28)</f>
        <v>&lt; 10 - baixo</v>
      </c>
      <c r="Y28" s="111">
        <v>40000</v>
      </c>
      <c r="Z28" s="111">
        <v>60000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40</v>
      </c>
      <c r="V29" s="111">
        <v>30000</v>
      </c>
      <c r="W29" s="111" t="s">
        <v>69</v>
      </c>
      <c r="X29" s="111" t="str">
        <f t="shared" ref="X29:X42" si="9">CONCATENATE(U29," - ",W29)</f>
        <v>&lt; 10 - medio</v>
      </c>
      <c r="Y29" s="111">
        <v>30000</v>
      </c>
      <c r="Z29" s="111">
        <v>45000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40</v>
      </c>
      <c r="V30" s="111">
        <v>30000</v>
      </c>
      <c r="W30" s="111" t="s">
        <v>70</v>
      </c>
      <c r="X30" s="111" t="str">
        <f t="shared" si="9"/>
        <v>&lt; 10 - adequado</v>
      </c>
      <c r="Y30" s="111">
        <v>0</v>
      </c>
      <c r="Z30" s="111">
        <v>30000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302</v>
      </c>
      <c r="V31" s="111">
        <v>40000</v>
      </c>
      <c r="W31" s="111" t="s">
        <v>68</v>
      </c>
      <c r="X31" s="111" t="str">
        <f t="shared" si="9"/>
        <v>10,1 - 20 - baixo</v>
      </c>
      <c r="Y31" s="111">
        <v>50000</v>
      </c>
      <c r="Z31" s="111">
        <v>80000</v>
      </c>
      <c r="AB31" s="121" t="s">
        <v>66</v>
      </c>
      <c r="AC31" s="121" t="e">
        <f>VLOOKUP(AB36,X28:Z42,2,0)/$E$18</f>
        <v>#VALUE!</v>
      </c>
      <c r="AE31" s="111" t="s">
        <v>40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302</v>
      </c>
      <c r="V32" s="111">
        <v>40000</v>
      </c>
      <c r="W32" s="111" t="s">
        <v>69</v>
      </c>
      <c r="X32" s="111" t="str">
        <f t="shared" si="9"/>
        <v>10,1 - 20 - medio</v>
      </c>
      <c r="Y32" s="111">
        <v>40000</v>
      </c>
      <c r="Z32" s="111">
        <v>70000</v>
      </c>
      <c r="AB32" s="121" t="s">
        <v>67</v>
      </c>
      <c r="AC32" s="121" t="e">
        <f>VLOOKUP($AB$39,X28:Z42,3,0)/$E$18</f>
        <v>#VALUE!</v>
      </c>
      <c r="AE32" s="111" t="s">
        <v>302</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302</v>
      </c>
      <c r="V33" s="111">
        <v>40000</v>
      </c>
      <c r="W33" s="111" t="s">
        <v>70</v>
      </c>
      <c r="X33" s="111" t="str">
        <f t="shared" si="9"/>
        <v>10,1 - 20 - adequado</v>
      </c>
      <c r="Y33" s="111">
        <v>10000</v>
      </c>
      <c r="Z33" s="111">
        <v>50000</v>
      </c>
      <c r="AE33" s="111" t="s">
        <v>279</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279</v>
      </c>
      <c r="V34" s="111">
        <v>80000</v>
      </c>
      <c r="W34" s="111" t="s">
        <v>68</v>
      </c>
      <c r="X34" s="111" t="str">
        <f t="shared" si="9"/>
        <v>20,1 - 30 - baixo</v>
      </c>
      <c r="Y34" s="111">
        <v>90000</v>
      </c>
      <c r="Z34" s="111">
        <v>140000</v>
      </c>
      <c r="AE34" s="111" t="s">
        <v>303</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279</v>
      </c>
      <c r="V35" s="111">
        <v>80000</v>
      </c>
      <c r="W35" s="111" t="s">
        <v>69</v>
      </c>
      <c r="X35" s="111" t="str">
        <f t="shared" si="9"/>
        <v>20,1 - 30 - medio</v>
      </c>
      <c r="Y35" s="111">
        <v>80000</v>
      </c>
      <c r="Z35" s="111">
        <v>120000</v>
      </c>
      <c r="AB35" s="340" t="s">
        <v>72</v>
      </c>
      <c r="AC35" s="340"/>
      <c r="AE35" s="111" t="s">
        <v>304</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279</v>
      </c>
      <c r="V36" s="111">
        <v>80000</v>
      </c>
      <c r="W36" s="111" t="s">
        <v>70</v>
      </c>
      <c r="X36" s="111" t="str">
        <f t="shared" si="9"/>
        <v>20,1 - 30 - adequado</v>
      </c>
      <c r="Y36" s="111">
        <v>20000</v>
      </c>
      <c r="Z36" s="111">
        <v>80000</v>
      </c>
      <c r="AB36" s="340" t="str">
        <f>CONCATENATE($P$39," - ",$AD$8)</f>
        <v>20,1 - 30 -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303</v>
      </c>
      <c r="V37" s="111">
        <v>110000</v>
      </c>
      <c r="W37" s="111" t="s">
        <v>68</v>
      </c>
      <c r="X37" s="111" t="str">
        <f t="shared" si="9"/>
        <v>30,1 - 40 - baixo</v>
      </c>
      <c r="Y37" s="111">
        <v>125000</v>
      </c>
      <c r="Z37" s="111">
        <v>200000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303</v>
      </c>
      <c r="V38" s="111">
        <v>110000</v>
      </c>
      <c r="W38" s="111" t="s">
        <v>69</v>
      </c>
      <c r="X38" s="111" t="str">
        <f t="shared" si="9"/>
        <v>30,1 - 40 - medio</v>
      </c>
      <c r="Y38" s="111">
        <v>100000</v>
      </c>
      <c r="Z38" s="111">
        <v>170000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279</v>
      </c>
      <c r="Q39" s="341"/>
      <c r="R39" s="26"/>
      <c r="U39" s="111" t="s">
        <v>303</v>
      </c>
      <c r="V39" s="111">
        <v>110000</v>
      </c>
      <c r="W39" s="111" t="s">
        <v>70</v>
      </c>
      <c r="X39" s="111" t="str">
        <f t="shared" si="9"/>
        <v>30,1 - 40 - adequado</v>
      </c>
      <c r="Y39" s="111">
        <v>25000</v>
      </c>
      <c r="Z39" s="111">
        <v>110000</v>
      </c>
      <c r="AB39" s="340" t="str">
        <f>CONCATENATE($P$39," - ",$AD$22)</f>
        <v>20,1 - 30 -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U40" s="111" t="s">
        <v>304</v>
      </c>
      <c r="V40" s="111">
        <v>140000</v>
      </c>
      <c r="W40" s="111" t="s">
        <v>68</v>
      </c>
      <c r="X40" s="111" t="str">
        <f t="shared" si="9"/>
        <v>&gt; 40,1 - baixo</v>
      </c>
      <c r="Y40" s="111">
        <v>160000</v>
      </c>
      <c r="Z40" s="111">
        <v>260000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304</v>
      </c>
      <c r="V41" s="111">
        <v>140000</v>
      </c>
      <c r="W41" s="111" t="s">
        <v>69</v>
      </c>
      <c r="X41" s="111" t="str">
        <f t="shared" si="9"/>
        <v>&gt; 40,1 - medio</v>
      </c>
      <c r="Y41" s="111">
        <v>130000</v>
      </c>
      <c r="Z41" s="111">
        <v>210000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U42" s="111" t="s">
        <v>304</v>
      </c>
      <c r="V42" s="111">
        <v>140000</v>
      </c>
      <c r="W42" s="111" t="s">
        <v>70</v>
      </c>
      <c r="X42" s="111" t="str">
        <f t="shared" si="9"/>
        <v>&gt; 40,1 - adequado</v>
      </c>
      <c r="Y42" s="111">
        <v>30000</v>
      </c>
      <c r="Z42" s="111">
        <v>140000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09" t="s">
        <v>1</v>
      </c>
      <c r="P5" s="8">
        <v>5.7</v>
      </c>
      <c r="Q5" s="109" t="s">
        <v>2</v>
      </c>
      <c r="R5" s="26"/>
      <c r="U5" s="343"/>
      <c r="V5" s="343"/>
      <c r="W5" s="343"/>
      <c r="X5" s="343"/>
      <c r="Y5" s="340"/>
      <c r="Z5" s="340"/>
      <c r="AA5" s="340"/>
      <c r="AB5" s="340"/>
      <c r="AC5" s="340"/>
      <c r="AD5" s="340"/>
      <c r="AO5" s="10"/>
      <c r="AP5" s="334"/>
      <c r="AQ5" s="334"/>
      <c r="AR5" s="334"/>
      <c r="AS5" s="18">
        <f>$AC$30</f>
        <v>70</v>
      </c>
      <c r="AT5" s="18">
        <f>$AC$31</f>
        <v>40</v>
      </c>
      <c r="AU5" s="18">
        <f>$AC$32</f>
        <v>120</v>
      </c>
      <c r="AV5" s="364"/>
      <c r="AW5" s="10"/>
      <c r="AX5" s="10"/>
      <c r="AY5" s="10"/>
      <c r="AZ5" s="10"/>
      <c r="BA5" s="10"/>
      <c r="BB5" s="10"/>
    </row>
    <row r="6" spans="1:54" ht="20.25" customHeight="1" x14ac:dyDescent="0.25">
      <c r="B6" s="90"/>
      <c r="C6" s="90"/>
      <c r="D6" s="90"/>
      <c r="E6" s="90"/>
      <c r="F6" s="90"/>
      <c r="G6" s="90"/>
      <c r="H6" s="90"/>
      <c r="I6" s="90"/>
      <c r="M6" s="351"/>
      <c r="N6" s="361"/>
      <c r="O6" s="109" t="s">
        <v>3</v>
      </c>
      <c r="P6" s="9">
        <v>1.4</v>
      </c>
      <c r="Q6" s="109" t="s">
        <v>55</v>
      </c>
      <c r="R6" s="26"/>
      <c r="U6" s="109" t="s">
        <v>29</v>
      </c>
      <c r="V6" s="340" t="s">
        <v>51</v>
      </c>
      <c r="W6" s="340"/>
      <c r="X6" s="340"/>
      <c r="Y6" s="340"/>
      <c r="Z6" s="340"/>
      <c r="AA6" s="340"/>
      <c r="AB6" s="340"/>
      <c r="AC6" s="340"/>
      <c r="AD6" s="340"/>
      <c r="AO6" s="10"/>
      <c r="AP6" s="115">
        <v>1</v>
      </c>
      <c r="AQ6" s="336" t="str">
        <f>O74</f>
        <v>Superfosfato triplo</v>
      </c>
      <c r="AR6" s="337"/>
      <c r="AS6" s="18">
        <f>IFERROR((VLOOKUP(AQ6,$V$100:$AB$179,3,0)*0.01)*AV6,0)</f>
        <v>0</v>
      </c>
      <c r="AT6" s="18">
        <f>IFERROR((VLOOKUP(AQ6,$V$100:$AB$179,5,0)*0.01)*AV6,0)</f>
        <v>20.000000000000004</v>
      </c>
      <c r="AU6" s="18">
        <f>IFERROR((VLOOKUP(AQ6,$V$100:$AB$179,7,0)*0.01)*AV6,0)</f>
        <v>0</v>
      </c>
      <c r="AV6" s="18">
        <f>IFERROR($AT$5*Q74/(VLOOKUP(AQ6,$V$100:$AB$179,5,0)/100),0)</f>
        <v>48.780487804878049</v>
      </c>
      <c r="AW6" s="10"/>
      <c r="AX6" s="10"/>
      <c r="AY6" s="10"/>
      <c r="AZ6" s="10"/>
      <c r="BA6" s="10"/>
      <c r="BB6" s="10"/>
    </row>
    <row r="7" spans="1:54" ht="20.25" customHeight="1" x14ac:dyDescent="0.25">
      <c r="B7" s="90"/>
      <c r="C7" s="90"/>
      <c r="D7" s="90"/>
      <c r="E7" s="90"/>
      <c r="F7" s="90"/>
      <c r="G7" s="90"/>
      <c r="H7" s="90"/>
      <c r="I7" s="90"/>
      <c r="M7" s="351"/>
      <c r="N7" s="361"/>
      <c r="O7" s="109" t="s">
        <v>4</v>
      </c>
      <c r="P7" s="8">
        <v>0.6</v>
      </c>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t="str">
        <f>O75</f>
        <v>Termofosfato YOORIN</v>
      </c>
      <c r="AR7" s="337"/>
      <c r="AS7" s="18">
        <f>IFERROR((VLOOKUP(AQ7,$V$100:$AB$179,3,0)*0.01)*AV7,0)</f>
        <v>0</v>
      </c>
      <c r="AT7" s="18">
        <f>IFERROR((VLOOKUP(AQ7,$V$100:$AB$179,5,0)*0.01)*AV7,0)</f>
        <v>20.000000000000004</v>
      </c>
      <c r="AU7" s="18">
        <f>IFERROR((VLOOKUP(AQ7,$V$100:$AB$179,7,0)*0.01)*AV7,0)</f>
        <v>0</v>
      </c>
      <c r="AV7" s="18">
        <f>IFERROR($AT$5*Q75/(VLOOKUP(AQ7,$V$100:$AB$179,5,0)/100),0)</f>
        <v>114.28571428571429</v>
      </c>
      <c r="AW7" s="10"/>
      <c r="AX7" s="10"/>
      <c r="AY7" s="10"/>
      <c r="AZ7" s="10"/>
      <c r="BA7" s="10"/>
      <c r="BB7" s="10"/>
    </row>
    <row r="8" spans="1:54" ht="20.25" customHeight="1" thickBot="1" x14ac:dyDescent="0.3">
      <c r="B8" s="90"/>
      <c r="C8" s="90"/>
      <c r="D8" s="90"/>
      <c r="E8" s="90"/>
      <c r="F8" s="90"/>
      <c r="G8" s="90"/>
      <c r="H8" s="90"/>
      <c r="I8" s="90"/>
      <c r="M8" s="351"/>
      <c r="N8" s="361"/>
      <c r="O8" s="109" t="s">
        <v>5</v>
      </c>
      <c r="P8" s="9">
        <v>0.09</v>
      </c>
      <c r="Q8" s="102" t="s">
        <v>55</v>
      </c>
      <c r="R8" s="26"/>
      <c r="U8" s="109" t="s">
        <v>37</v>
      </c>
      <c r="V8" s="109" t="s">
        <v>39</v>
      </c>
      <c r="W8" s="109" t="s">
        <v>30</v>
      </c>
      <c r="X8" s="109" t="s">
        <v>43</v>
      </c>
      <c r="Y8" s="109" t="str">
        <f>IF($P$21&lt;=15.99,"correto","erro")</f>
        <v>erro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adequado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09" t="s">
        <v>6</v>
      </c>
      <c r="P9" s="8">
        <v>0.01</v>
      </c>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f>IF(AJ9="Baixo",AL9,0)</f>
        <v>1.2</v>
      </c>
      <c r="AL9" s="340">
        <f>(AM9*1000)/$E$18</f>
        <v>1.2</v>
      </c>
      <c r="AM9" s="338">
        <v>2</v>
      </c>
      <c r="AO9" s="10"/>
      <c r="AP9" s="10"/>
      <c r="AQ9" s="10"/>
      <c r="AR9" s="10"/>
      <c r="AS9" s="48">
        <f>AS5-(SUM(AS6:AS8))</f>
        <v>70</v>
      </c>
      <c r="AT9" s="48">
        <f>AT5-(SUM(AT6:AT8))</f>
        <v>0</v>
      </c>
      <c r="AU9" s="48">
        <f>AU5-(SUM(AU6:AU8))</f>
        <v>120</v>
      </c>
      <c r="AV9" s="48"/>
      <c r="AW9" s="10"/>
      <c r="AX9" s="10"/>
      <c r="AY9" s="10"/>
      <c r="AZ9" s="10"/>
      <c r="BA9" s="10"/>
      <c r="BB9" s="10"/>
    </row>
    <row r="10" spans="1:54" ht="20.25" customHeight="1" x14ac:dyDescent="0.25">
      <c r="B10" s="90"/>
      <c r="C10" s="90"/>
      <c r="D10" s="90"/>
      <c r="E10" s="90"/>
      <c r="F10" s="90"/>
      <c r="G10" s="90"/>
      <c r="H10" s="90"/>
      <c r="I10" s="90"/>
      <c r="M10" s="351"/>
      <c r="N10" s="361"/>
      <c r="O10" s="109" t="s">
        <v>7</v>
      </c>
      <c r="P10" s="9">
        <v>0.3</v>
      </c>
      <c r="Q10" s="109" t="s">
        <v>55</v>
      </c>
      <c r="R10" s="26"/>
      <c r="U10" s="109" t="s">
        <v>28</v>
      </c>
      <c r="V10" s="109" t="s">
        <v>41</v>
      </c>
      <c r="W10" s="109" t="s">
        <v>45</v>
      </c>
      <c r="X10" s="109" t="s">
        <v>48</v>
      </c>
      <c r="Y10" s="109" t="str">
        <f>IF(AND($P$21&gt;34.99,P21&lt;59.99),"correto","erro")</f>
        <v>correto</v>
      </c>
      <c r="Z10" s="109" t="str">
        <f>IF($P$13&lt;=5,"baixo","erro")</f>
        <v>erro</v>
      </c>
      <c r="AA10" s="109" t="str">
        <f>IF(AND($P$13&gt;=5.01,$P$13&lt;=8),"medio","erro")</f>
        <v>erro</v>
      </c>
      <c r="AB10" s="109" t="str">
        <f>IF($P$13&gt;8,"adequado","erro")</f>
        <v>adequado</v>
      </c>
      <c r="AC10" s="109" t="str">
        <f>IF(Z10="baixo","baixo",IF(AA10="medio","medio",IF(AB10="adequado","adequado",0)))</f>
        <v>adequado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t="s">
        <v>291</v>
      </c>
      <c r="AX10" s="10"/>
      <c r="AY10" s="10"/>
      <c r="AZ10" s="10"/>
      <c r="BA10" s="10"/>
      <c r="BB10" s="10"/>
    </row>
    <row r="11" spans="1:54" ht="20.25" customHeight="1" x14ac:dyDescent="0.25">
      <c r="B11" s="123" t="s">
        <v>109</v>
      </c>
      <c r="C11" s="323"/>
      <c r="D11" s="323"/>
      <c r="E11" s="323"/>
      <c r="F11" s="323"/>
      <c r="G11" s="323"/>
      <c r="H11" s="323"/>
      <c r="I11" s="324"/>
      <c r="M11" s="351"/>
      <c r="N11" s="361"/>
      <c r="O11" s="109" t="s">
        <v>8</v>
      </c>
      <c r="P11" s="8">
        <v>4.3</v>
      </c>
      <c r="Q11" s="109" t="s">
        <v>55</v>
      </c>
      <c r="R11" s="26"/>
      <c r="U11" s="109" t="s">
        <v>38</v>
      </c>
      <c r="V11" s="109" t="s">
        <v>42</v>
      </c>
      <c r="W11" s="109" t="s">
        <v>46</v>
      </c>
      <c r="X11" s="109" t="s">
        <v>49</v>
      </c>
      <c r="Y11" s="109" t="str">
        <f>IF($P$21&gt;59.99,"correto","erro")</f>
        <v>erro</v>
      </c>
      <c r="Z11" s="109" t="str">
        <f>IF($P$13&lt;=3,"baixo","erro")</f>
        <v>erro</v>
      </c>
      <c r="AA11" s="109" t="str">
        <f>IF(AND($P$13&gt;=3.01,$P$13&lt;=6),"medio","erro")</f>
        <v>erro</v>
      </c>
      <c r="AB11" s="109" t="str">
        <f>IF($P$13&gt;6,"adequado","erro")</f>
        <v>adequado</v>
      </c>
      <c r="AC11" s="109" t="str">
        <f>IF(Z11="baixo","baixo",IF(AA11="medio","medio",IF(AB11="adequado","adequado",0)))</f>
        <v>adequado</v>
      </c>
      <c r="AD11" s="340"/>
      <c r="AF11" s="335"/>
      <c r="AG11" s="116" t="s">
        <v>215</v>
      </c>
      <c r="AH11" s="116" t="s">
        <v>214</v>
      </c>
      <c r="AI11" s="109" t="str">
        <f>IF($P$14&gt;0.5,"adequado","erro")</f>
        <v>erro</v>
      </c>
      <c r="AJ11" s="340"/>
      <c r="AK11" s="340"/>
      <c r="AL11" s="340"/>
      <c r="AM11" s="338"/>
      <c r="AO11" s="10"/>
      <c r="AP11" s="334"/>
      <c r="AQ11" s="334"/>
      <c r="AR11" s="334"/>
      <c r="AS11" s="18">
        <f>AS9</f>
        <v>70</v>
      </c>
      <c r="AT11" s="18">
        <f t="shared" ref="AT11:AU11" si="0">AT9</f>
        <v>0</v>
      </c>
      <c r="AU11" s="18">
        <f t="shared" si="0"/>
        <v>120</v>
      </c>
      <c r="AV11" s="364"/>
      <c r="AW11" s="10"/>
      <c r="AX11" s="10"/>
      <c r="AY11" s="10"/>
      <c r="AZ11" s="10"/>
      <c r="BA11" s="10"/>
      <c r="BB11" s="10"/>
    </row>
    <row r="12" spans="1:54" ht="20.25" customHeight="1" x14ac:dyDescent="0.25">
      <c r="B12" s="119" t="s">
        <v>110</v>
      </c>
      <c r="C12" s="322"/>
      <c r="D12" s="323"/>
      <c r="E12" s="323"/>
      <c r="F12" s="323"/>
      <c r="G12" s="323"/>
      <c r="H12" s="323"/>
      <c r="I12" s="324"/>
      <c r="M12" s="351"/>
      <c r="N12" s="361"/>
      <c r="O12" s="109" t="s">
        <v>9</v>
      </c>
      <c r="P12" s="9">
        <v>19.399999999999999</v>
      </c>
      <c r="Q12" s="109" t="s">
        <v>10</v>
      </c>
      <c r="R12" s="26"/>
      <c r="AF12" s="335" t="s">
        <v>226</v>
      </c>
      <c r="AG12" s="116" t="s">
        <v>25</v>
      </c>
      <c r="AH12" s="116" t="s">
        <v>222</v>
      </c>
      <c r="AI12" s="109" t="str">
        <f>IF($P$16&lt;=0.4,"baixo","erro")</f>
        <v>baixo</v>
      </c>
      <c r="AJ12" s="340" t="str">
        <f>IF($AI$12="baixo","baixo",IF($AI$13="medio","medio",IF($AI$14="adequado","adequado",0)))</f>
        <v>baixo</v>
      </c>
      <c r="AK12" s="340">
        <f>IF(AJ12="Baixo",AL12,0)</f>
        <v>1.2</v>
      </c>
      <c r="AL12" s="340">
        <f>(AM12*1000)/$E$18</f>
        <v>1.2</v>
      </c>
      <c r="AM12" s="338">
        <v>2</v>
      </c>
      <c r="AO12" s="10"/>
      <c r="AP12" s="115">
        <v>7</v>
      </c>
      <c r="AQ12" s="334" t="str">
        <f>O82</f>
        <v>Cloreto de potássio</v>
      </c>
      <c r="AR12" s="334"/>
      <c r="AS12" s="18">
        <f>IFERROR((VLOOKUP(AQ12,$V$100:$AB$179,3,0)*0.01)*AV12,0)</f>
        <v>0</v>
      </c>
      <c r="AT12" s="18">
        <f>IFERROR((VLOOKUP(AQ12,$V$100:$AB$179,5,0)*0.01)*AV12,0)</f>
        <v>0</v>
      </c>
      <c r="AU12" s="18">
        <f>IFERROR((VLOOKUP(AQ12,$V$100:$AB$179,7,0)*0.01)*AV12,0)</f>
        <v>96</v>
      </c>
      <c r="AV12" s="18">
        <f>IFERROR($AU$11*Q82/(VLOOKUP(AQ12,$V$100:$AB$179,7,0)/100),0)</f>
        <v>160</v>
      </c>
      <c r="AW12" s="10"/>
      <c r="AX12" s="10"/>
      <c r="AY12" s="10"/>
      <c r="AZ12" s="10"/>
      <c r="BA12" s="10"/>
      <c r="BB12" s="10"/>
    </row>
    <row r="13" spans="1:54" ht="20.25" customHeight="1" x14ac:dyDescent="0.25">
      <c r="B13" s="119" t="s">
        <v>111</v>
      </c>
      <c r="C13" s="322"/>
      <c r="D13" s="323"/>
      <c r="E13" s="323"/>
      <c r="F13" s="323"/>
      <c r="G13" s="323"/>
      <c r="H13" s="323"/>
      <c r="I13" s="324"/>
      <c r="M13" s="351"/>
      <c r="N13" s="361"/>
      <c r="O13" s="109" t="s">
        <v>11</v>
      </c>
      <c r="P13" s="8">
        <v>9</v>
      </c>
      <c r="Q13" s="109" t="s">
        <v>12</v>
      </c>
      <c r="R13" s="26"/>
      <c r="AF13" s="335"/>
      <c r="AG13" s="116" t="s">
        <v>26</v>
      </c>
      <c r="AH13" s="116" t="s">
        <v>218</v>
      </c>
      <c r="AI13" s="109" t="str">
        <f>IF(AND($P$16&gt;=0.401,$P$16&lt;=0.8),"medio","erro")</f>
        <v>erro</v>
      </c>
      <c r="AJ13" s="340"/>
      <c r="AK13" s="340"/>
      <c r="AL13" s="340"/>
      <c r="AM13" s="338"/>
      <c r="AO13" s="10"/>
      <c r="AP13" s="115">
        <v>8</v>
      </c>
      <c r="AQ13" s="334" t="str">
        <f>O83</f>
        <v>Kmag</v>
      </c>
      <c r="AR13" s="334"/>
      <c r="AS13" s="18">
        <f>IFERROR((VLOOKUP(AQ13,$V$100:$AB$179,3,0)*0.01)*AV13,0)</f>
        <v>0</v>
      </c>
      <c r="AT13" s="18">
        <f>IFERROR((VLOOKUP(AQ13,$V$100:$AB$179,5,0)*0.01)*AV13,0)</f>
        <v>0</v>
      </c>
      <c r="AU13" s="18">
        <f>IFERROR((VLOOKUP(AQ13,$V$100:$AB$179,7,0)*0.01)*AV13,0)</f>
        <v>24</v>
      </c>
      <c r="AV13" s="18">
        <f>IFERROR($AU$11*Q83/(VLOOKUP(AQ13,$V$100:$AB$179,7,0)/100),0)</f>
        <v>114.28571428571429</v>
      </c>
      <c r="AW13" s="10"/>
      <c r="AX13" s="10"/>
      <c r="AY13" s="10"/>
      <c r="AZ13" s="10"/>
      <c r="BA13" s="10"/>
      <c r="BB13" s="10"/>
    </row>
    <row r="14" spans="1:54" ht="20.25" customHeight="1" x14ac:dyDescent="0.25">
      <c r="B14" s="119" t="s">
        <v>112</v>
      </c>
      <c r="C14" s="322"/>
      <c r="D14" s="323"/>
      <c r="E14" s="323"/>
      <c r="F14" s="323"/>
      <c r="G14" s="324"/>
      <c r="H14" s="123" t="s">
        <v>113</v>
      </c>
      <c r="I14" s="93">
        <f ca="1">TODAY()</f>
        <v>44005</v>
      </c>
      <c r="M14" s="351"/>
      <c r="N14" s="361"/>
      <c r="O14" s="109" t="s">
        <v>13</v>
      </c>
      <c r="P14" s="9">
        <v>0.1</v>
      </c>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09" t="s">
        <v>14</v>
      </c>
      <c r="P15" s="8">
        <v>5.2</v>
      </c>
      <c r="Q15" s="109" t="s">
        <v>12</v>
      </c>
      <c r="R15" s="26"/>
      <c r="AF15" s="335" t="s">
        <v>225</v>
      </c>
      <c r="AG15" s="116" t="s">
        <v>25</v>
      </c>
      <c r="AH15" s="116" t="s">
        <v>221</v>
      </c>
      <c r="AI15" s="109" t="str">
        <f>IF($P$18&lt;=1.9,"baixo","erro")</f>
        <v>baixo</v>
      </c>
      <c r="AJ15" s="340" t="str">
        <f>IF($AI$15="baixo","baixo",IF($AI$16="medio","medio",IF($AI$17="adequado","adequado",0)))</f>
        <v>baixo</v>
      </c>
      <c r="AK15" s="340">
        <f>IF(AJ15="Baixo",AL15,0)</f>
        <v>3.5999999999999996</v>
      </c>
      <c r="AL15" s="340">
        <f>(AM15*1000)/$E$18</f>
        <v>3.5999999999999996</v>
      </c>
      <c r="AM15" s="338">
        <v>6</v>
      </c>
      <c r="AO15" s="10"/>
      <c r="AP15" s="10"/>
      <c r="AQ15" s="10"/>
      <c r="AR15" s="10"/>
      <c r="AS15" s="48">
        <f>AS11-(SUM(AS12:AS14))</f>
        <v>70</v>
      </c>
      <c r="AT15" s="48">
        <f>AT11-(SUM(AT12:AT14))</f>
        <v>0</v>
      </c>
      <c r="AU15" s="48">
        <f>AU11-(SUM(AU12:AU14))</f>
        <v>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09" t="s">
        <v>15</v>
      </c>
      <c r="P16" s="9">
        <v>0.2</v>
      </c>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09" t="s">
        <v>16</v>
      </c>
      <c r="P17" s="8">
        <v>45.3</v>
      </c>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70</v>
      </c>
      <c r="AT17" s="18">
        <f t="shared" ref="AT17:AU17" si="1">AT15</f>
        <v>0</v>
      </c>
      <c r="AU17" s="18">
        <f t="shared" si="1"/>
        <v>0</v>
      </c>
      <c r="AV17" s="364"/>
      <c r="AW17" s="10"/>
      <c r="AX17" s="10"/>
      <c r="AY17" s="10"/>
      <c r="AZ17" s="10"/>
      <c r="BA17" s="10"/>
      <c r="BB17" s="10"/>
    </row>
    <row r="18" spans="2:54" ht="20.25" customHeight="1" x14ac:dyDescent="0.25">
      <c r="B18" s="339" t="s">
        <v>123</v>
      </c>
      <c r="C18" s="339"/>
      <c r="D18" s="339"/>
      <c r="E18" s="94">
        <f>IFERROR(IF(ISERR(P35),Q35,IF(ISERR(Q35),P35)),"-")</f>
        <v>1666.6666666666667</v>
      </c>
      <c r="F18" s="339" t="s">
        <v>114</v>
      </c>
      <c r="G18" s="339"/>
      <c r="H18" s="339"/>
      <c r="I18" s="123">
        <f>O34</f>
        <v>1</v>
      </c>
      <c r="M18" s="351"/>
      <c r="N18" s="361"/>
      <c r="O18" s="109" t="s">
        <v>17</v>
      </c>
      <c r="P18" s="9">
        <v>0.9</v>
      </c>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f>IF(AJ18="Baixo",AL18,0)</f>
        <v>3.5999999999999996</v>
      </c>
      <c r="AL18" s="340">
        <f>(AM18*1000)/$E$18</f>
        <v>3.5999999999999996</v>
      </c>
      <c r="AM18" s="338">
        <v>6</v>
      </c>
      <c r="AO18" s="10"/>
      <c r="AP18" s="115">
        <v>13</v>
      </c>
      <c r="AQ18" s="334" t="str">
        <f>O90</f>
        <v>Sulfato de amônio</v>
      </c>
      <c r="AR18" s="334"/>
      <c r="AS18" s="18">
        <f>IFERROR((VLOOKUP(AQ18,$V$100:$AB$179,3,0)*0.01)*AV18,0)</f>
        <v>35</v>
      </c>
      <c r="AT18" s="18">
        <f>IFERROR((VLOOKUP(AQ18,$V$100:$AB$179,5,0)*0.01)*AV18,0)</f>
        <v>0</v>
      </c>
      <c r="AU18" s="18">
        <f>IFERROR((VLOOKUP(AQ18,$V$100:$AB$179,7,0)*0.01)*AV18,0)</f>
        <v>0</v>
      </c>
      <c r="AV18" s="18">
        <f>IFERROR($AS$17*Q90/(VLOOKUP(AQ18,$V$100:$AB$179,3,0)/100),0)</f>
        <v>175</v>
      </c>
      <c r="AW18" s="10"/>
      <c r="AX18" s="10"/>
      <c r="AY18" s="10"/>
      <c r="AZ18" s="10"/>
      <c r="BA18" s="10"/>
      <c r="BB18" s="10"/>
    </row>
    <row r="19" spans="2:54" ht="20.25" customHeight="1" x14ac:dyDescent="0.25">
      <c r="B19" s="90"/>
      <c r="C19" s="90"/>
      <c r="D19" s="90"/>
      <c r="E19" s="90"/>
      <c r="F19" s="90"/>
      <c r="G19" s="90"/>
      <c r="H19" s="90"/>
      <c r="I19" s="90"/>
      <c r="M19" s="351"/>
      <c r="N19" s="361"/>
      <c r="O19" s="109" t="s">
        <v>18</v>
      </c>
      <c r="P19" s="8">
        <v>0.9</v>
      </c>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t="str">
        <f>O91</f>
        <v>Nitrato de cálcio</v>
      </c>
      <c r="AR19" s="334"/>
      <c r="AS19" s="18">
        <f>IFERROR((VLOOKUP(AQ19,$V$100:$AB$179,3,0)*0.01)*AV19,0)</f>
        <v>35</v>
      </c>
      <c r="AT19" s="18">
        <f>IFERROR((VLOOKUP(AQ19,$V$100:$AB$179,5,0)*0.01)*AV19,0)</f>
        <v>0</v>
      </c>
      <c r="AU19" s="18">
        <f>IFERROR((VLOOKUP(AQ19,$V$100:$AB$179,7,0)*0.01)*AV19,0)</f>
        <v>0</v>
      </c>
      <c r="AV19" s="18">
        <f>IFERROR($AS$17*Q91/(VLOOKUP(AQ19,$V$100:$AB$179,3,0)/100),0)</f>
        <v>233.33333333333334</v>
      </c>
      <c r="AW19" s="10"/>
      <c r="AX19" s="10"/>
      <c r="AY19" s="10"/>
      <c r="AZ19" s="10"/>
      <c r="BA19" s="10"/>
      <c r="BB19" s="10"/>
    </row>
    <row r="20" spans="2:54" ht="20.25" customHeight="1" x14ac:dyDescent="0.25">
      <c r="B20" s="322" t="s">
        <v>168</v>
      </c>
      <c r="C20" s="323"/>
      <c r="D20" s="323"/>
      <c r="E20" s="324"/>
      <c r="F20" s="95" t="s">
        <v>115</v>
      </c>
      <c r="G20" s="95">
        <f>P24</f>
        <v>32.8125</v>
      </c>
      <c r="H20" s="95" t="s">
        <v>52</v>
      </c>
      <c r="I20" s="94">
        <f>P21</f>
        <v>47.5</v>
      </c>
      <c r="M20" s="351"/>
      <c r="N20" s="361"/>
      <c r="O20" s="109" t="s">
        <v>19</v>
      </c>
      <c r="P20" s="9">
        <v>35</v>
      </c>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5.7</v>
      </c>
      <c r="D21" s="95" t="s">
        <v>116</v>
      </c>
      <c r="E21" s="95">
        <f>P9</f>
        <v>0.01</v>
      </c>
      <c r="F21" s="95" t="s">
        <v>117</v>
      </c>
      <c r="G21" s="95">
        <f>P23</f>
        <v>10</v>
      </c>
      <c r="H21" s="95" t="s">
        <v>85</v>
      </c>
      <c r="I21" s="95">
        <f>P18</f>
        <v>0.9</v>
      </c>
      <c r="M21" s="351"/>
      <c r="N21" s="361"/>
      <c r="O21" s="109" t="s">
        <v>52</v>
      </c>
      <c r="P21" s="8">
        <v>47.5</v>
      </c>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0</v>
      </c>
      <c r="AT21" s="48">
        <f t="shared" ref="AT21:AU21" si="2">AT17-(SUM(AT18:AT20))</f>
        <v>0</v>
      </c>
      <c r="AU21" s="48">
        <f t="shared" si="2"/>
        <v>0</v>
      </c>
      <c r="AV21" s="48"/>
      <c r="AW21" s="10"/>
      <c r="AX21" s="10"/>
      <c r="AY21" s="10"/>
      <c r="AZ21" s="10"/>
      <c r="BA21" s="10"/>
      <c r="BB21" s="10"/>
    </row>
    <row r="22" spans="2:54" ht="20.25" customHeight="1" x14ac:dyDescent="0.25">
      <c r="B22" s="96" t="s">
        <v>81</v>
      </c>
      <c r="C22" s="97">
        <f>P6</f>
        <v>1.4</v>
      </c>
      <c r="D22" s="95" t="s">
        <v>79</v>
      </c>
      <c r="E22" s="95">
        <f>P13</f>
        <v>9</v>
      </c>
      <c r="F22" s="95" t="s">
        <v>84</v>
      </c>
      <c r="G22" s="95">
        <f>P14</f>
        <v>0.1</v>
      </c>
      <c r="H22" s="95" t="s">
        <v>86</v>
      </c>
      <c r="I22" s="95">
        <f>P19</f>
        <v>0.9</v>
      </c>
      <c r="M22" s="351"/>
      <c r="N22" s="361"/>
      <c r="O22" s="109" t="s">
        <v>20</v>
      </c>
      <c r="P22" s="9">
        <v>17.5</v>
      </c>
      <c r="Q22" s="102" t="s">
        <v>23</v>
      </c>
      <c r="R22" s="26"/>
      <c r="U22" s="109" t="s">
        <v>50</v>
      </c>
      <c r="V22" s="109" t="s">
        <v>255</v>
      </c>
      <c r="W22" s="109" t="s">
        <v>257</v>
      </c>
      <c r="X22" s="109" t="s">
        <v>258</v>
      </c>
      <c r="Y22" s="109" t="str">
        <f>IF($P$21&lt;=20,"correto","erro")</f>
        <v>erro</v>
      </c>
      <c r="Z22" s="109" t="str">
        <f>IF($P$8&lt;=0.04,"baixo","erro")</f>
        <v>erro</v>
      </c>
      <c r="AA22" s="109" t="str">
        <f>IF(AND($P$8&gt;=0.041,$P$8&lt;=0.1),"medio","erro")</f>
        <v>medio</v>
      </c>
      <c r="AB22" s="109" t="str">
        <f>IF($P$8&gt;0.101,"adequado","erro")</f>
        <v>erro</v>
      </c>
      <c r="AC22" s="109" t="str">
        <f>IF(Z22="baixo","baixo",IF(AA22="medio","medio",IF(AB22="adequado","adequado",0)))</f>
        <v>medio</v>
      </c>
      <c r="AD22" s="366" t="str">
        <f>VLOOKUP("correto",Y22:AC23,5,0)</f>
        <v>medio</v>
      </c>
      <c r="AO22" s="10"/>
      <c r="AP22" s="10"/>
      <c r="AQ22" s="10"/>
      <c r="AR22" s="10"/>
      <c r="AS22" s="10"/>
      <c r="AT22" s="10"/>
      <c r="AU22" s="10"/>
      <c r="AV22" s="10"/>
      <c r="AW22" s="10"/>
      <c r="AX22" s="10"/>
      <c r="AY22" s="10"/>
      <c r="AZ22" s="10"/>
      <c r="BA22" s="10"/>
      <c r="BB22" s="10"/>
    </row>
    <row r="23" spans="2:54" ht="20.25" customHeight="1" x14ac:dyDescent="0.25">
      <c r="B23" s="96" t="s">
        <v>82</v>
      </c>
      <c r="C23" s="97">
        <f>P7</f>
        <v>0.6</v>
      </c>
      <c r="D23" s="95" t="s">
        <v>118</v>
      </c>
      <c r="E23" s="95">
        <f>P11</f>
        <v>4.3</v>
      </c>
      <c r="F23" s="95" t="s">
        <v>87</v>
      </c>
      <c r="G23" s="95">
        <f>P16</f>
        <v>0.2</v>
      </c>
      <c r="H23" s="95" t="s">
        <v>83</v>
      </c>
      <c r="I23" s="95">
        <f>P15</f>
        <v>5.2</v>
      </c>
      <c r="J23" s="22"/>
      <c r="M23" s="351"/>
      <c r="N23" s="361"/>
      <c r="O23" s="109" t="s">
        <v>21</v>
      </c>
      <c r="P23" s="8">
        <v>10</v>
      </c>
      <c r="Q23" s="109" t="s">
        <v>10</v>
      </c>
      <c r="R23" s="26"/>
      <c r="U23" s="109" t="s">
        <v>61</v>
      </c>
      <c r="V23" s="109" t="s">
        <v>256</v>
      </c>
      <c r="W23" s="109" t="s">
        <v>259</v>
      </c>
      <c r="X23" s="109" t="s">
        <v>260</v>
      </c>
      <c r="Y23" s="109" t="str">
        <f>IF($P$21&gt;20,"correto","erro")</f>
        <v>correto</v>
      </c>
      <c r="Z23" s="109" t="str">
        <f>IF($P$8&lt;=0.06,"baixo","erro")</f>
        <v>erro</v>
      </c>
      <c r="AA23" s="109" t="str">
        <f>IF(AND($P$8&gt;=0.061,$P$8&lt;=0.2),"medio","erro")</f>
        <v>medio</v>
      </c>
      <c r="AB23" s="109" t="str">
        <f>IF($P$8&gt;0.201,"adequado","erro")</f>
        <v>erro</v>
      </c>
      <c r="AC23" s="109" t="str">
        <f>IF(Z23="baixo","baixo",IF(AA23="medio","medio",IF(AB23="adequado","adequado",0)))</f>
        <v>medio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0.09</v>
      </c>
      <c r="D24" s="95" t="s">
        <v>119</v>
      </c>
      <c r="E24" s="95">
        <f>P10</f>
        <v>0.3</v>
      </c>
      <c r="F24" s="95" t="s">
        <v>89</v>
      </c>
      <c r="G24" s="95">
        <f>P17</f>
        <v>45.3</v>
      </c>
      <c r="H24" s="95" t="s">
        <v>120</v>
      </c>
      <c r="I24" s="95">
        <f>P25</f>
        <v>6.3999999999999995</v>
      </c>
      <c r="J24" s="22"/>
      <c r="M24" s="351"/>
      <c r="N24" s="361"/>
      <c r="O24" s="109" t="s">
        <v>22</v>
      </c>
      <c r="P24" s="2">
        <f>100*(P6+P7+P8+P9)/P25</f>
        <v>32.8125</v>
      </c>
      <c r="Q24" s="109" t="s">
        <v>23</v>
      </c>
      <c r="R24" s="26"/>
      <c r="AO24" s="10"/>
      <c r="AP24" s="10"/>
      <c r="AQ24" s="10"/>
      <c r="AR24" s="10"/>
      <c r="AS24" s="48">
        <f>AS26-(SUM(AS27:AS36))</f>
        <v>1.04</v>
      </c>
      <c r="AT24" s="48">
        <f t="shared" ref="AT24:AV24" si="3">AT26-(SUM(AT27:AT36))</f>
        <v>0.72</v>
      </c>
      <c r="AU24" s="48">
        <f t="shared" si="3"/>
        <v>-5.2000000000000011</v>
      </c>
      <c r="AV24" s="48">
        <f t="shared" si="3"/>
        <v>2.8</v>
      </c>
      <c r="AW24" s="10"/>
      <c r="AX24" s="10"/>
      <c r="AY24" s="10"/>
      <c r="AZ24" s="10"/>
      <c r="BA24" s="10"/>
      <c r="BB24" s="10"/>
    </row>
    <row r="25" spans="2:54" ht="20.25" customHeight="1" thickBot="1" x14ac:dyDescent="0.3">
      <c r="B25" s="90"/>
      <c r="C25" s="90"/>
      <c r="D25" s="90"/>
      <c r="E25" s="90"/>
      <c r="F25" s="90"/>
      <c r="G25" s="90"/>
      <c r="H25" s="90"/>
      <c r="I25" s="90"/>
      <c r="J25" s="22"/>
      <c r="M25" s="351"/>
      <c r="N25" s="361"/>
      <c r="O25" s="109" t="s">
        <v>24</v>
      </c>
      <c r="P25" s="1">
        <f>(P6+P7+P8+P9+P11)</f>
        <v>6.3999999999999995</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17"/>
      <c r="O26" s="117"/>
      <c r="P26" s="117"/>
      <c r="Q26" s="117"/>
      <c r="R26" s="77"/>
      <c r="U26" s="344" t="s">
        <v>297</v>
      </c>
      <c r="V26" s="345"/>
      <c r="W26" s="345"/>
      <c r="X26" s="345"/>
      <c r="Y26" s="345"/>
      <c r="Z26" s="346"/>
      <c r="AO26" s="10"/>
      <c r="AP26" s="414"/>
      <c r="AQ26" s="414"/>
      <c r="AR26" s="414"/>
      <c r="AS26" s="4">
        <f>AK9</f>
        <v>1.2</v>
      </c>
      <c r="AT26" s="4">
        <f>AK12</f>
        <v>1.2</v>
      </c>
      <c r="AU26" s="4">
        <f>AK15</f>
        <v>3.5999999999999996</v>
      </c>
      <c r="AV26" s="4">
        <f>AK18</f>
        <v>3.5999999999999996</v>
      </c>
      <c r="AW26" s="10"/>
      <c r="AX26" s="10"/>
      <c r="AY26" s="10"/>
      <c r="AZ26" s="10"/>
      <c r="BA26" s="10"/>
      <c r="BB26" s="10"/>
    </row>
    <row r="27" spans="2:54" ht="20.25" customHeight="1" thickBot="1" x14ac:dyDescent="0.3">
      <c r="B27" s="350" t="str">
        <f>IF($O$47&gt;0,$O$47,"-")</f>
        <v>ARAGUAIA Dolomítico</v>
      </c>
      <c r="C27" s="350"/>
      <c r="D27" s="98">
        <f>IF(J27&gt;0,J27,"-")</f>
        <v>2.1390854960116839</v>
      </c>
      <c r="E27" s="310" t="str">
        <f>IF(J27&gt;0,"toneladas por hectare ou,","-")</f>
        <v>toneladas por hectare ou,</v>
      </c>
      <c r="F27" s="310"/>
      <c r="G27" s="310"/>
      <c r="H27" s="310"/>
      <c r="I27" s="310"/>
      <c r="J27" s="65">
        <f>V51</f>
        <v>2.1390854960116839</v>
      </c>
      <c r="U27" s="109" t="s">
        <v>32</v>
      </c>
      <c r="V27" s="109" t="s">
        <v>64</v>
      </c>
      <c r="W27" s="109" t="s">
        <v>75</v>
      </c>
      <c r="X27" s="109" t="s">
        <v>71</v>
      </c>
      <c r="Y27" s="109" t="s">
        <v>36</v>
      </c>
      <c r="Z27" s="109" t="s">
        <v>35</v>
      </c>
      <c r="AO27" s="10"/>
      <c r="AP27" s="334" t="s">
        <v>242</v>
      </c>
      <c r="AQ27" s="334" t="str">
        <f>B29</f>
        <v xml:space="preserve">Pó de brita Fmx (62) 3924 8565 </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f>IF(J28&gt;0,J28,"-")</f>
        <v>0.2139085496011684</v>
      </c>
      <c r="E28" s="310" t="str">
        <f>IF(J28&gt;0,"gramas por metro quadrado","-")</f>
        <v>gramas por metro quadrado</v>
      </c>
      <c r="F28" s="310"/>
      <c r="G28" s="310"/>
      <c r="H28" s="310"/>
      <c r="I28" s="310"/>
      <c r="J28" s="65">
        <f>J27/10</f>
        <v>0.2139085496011684</v>
      </c>
      <c r="M28" s="72"/>
      <c r="N28" s="118"/>
      <c r="O28" s="118"/>
      <c r="P28" s="118"/>
      <c r="Q28" s="118"/>
      <c r="R28" s="74"/>
      <c r="U28" s="111">
        <v>30</v>
      </c>
      <c r="V28" s="111">
        <v>35</v>
      </c>
      <c r="W28" s="111" t="s">
        <v>68</v>
      </c>
      <c r="X28" s="111" t="str">
        <f>CONCATENATE(U28," - ",W28)</f>
        <v>30 - baixo</v>
      </c>
      <c r="Y28" s="111">
        <v>20</v>
      </c>
      <c r="Z28" s="111">
        <v>60</v>
      </c>
      <c r="AE28" s="109" t="s">
        <v>63</v>
      </c>
      <c r="AG28" s="109" t="s">
        <v>63</v>
      </c>
      <c r="AI28" s="30" t="s">
        <v>63</v>
      </c>
      <c r="AK28" s="30" t="s">
        <v>63</v>
      </c>
      <c r="AO28" s="10"/>
      <c r="AP28" s="334"/>
      <c r="AQ28" s="334" t="str">
        <f t="shared" ref="AQ28:AQ36" si="8">B41</f>
        <v>Superfosfato triplo</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 xml:space="preserve">Pó de brita Fmx (62) 3924 8565 </v>
      </c>
      <c r="C29" s="350"/>
      <c r="D29" s="98">
        <f>IF(J29&gt;0,J29,"-")</f>
        <v>2.7091200114683649</v>
      </c>
      <c r="E29" s="310" t="str">
        <f>IF(J29&gt;0,"toneladas por hectare ou,","-")</f>
        <v>toneladas por hectare ou,</v>
      </c>
      <c r="F29" s="310"/>
      <c r="G29" s="310"/>
      <c r="H29" s="310"/>
      <c r="I29" s="310"/>
      <c r="J29" s="65">
        <f>Z49</f>
        <v>2.7091200114683649</v>
      </c>
      <c r="M29" s="351" t="s">
        <v>194</v>
      </c>
      <c r="N29" s="361"/>
      <c r="O29" s="347" t="s">
        <v>182</v>
      </c>
      <c r="P29" s="348"/>
      <c r="Q29" s="349"/>
      <c r="R29" s="26"/>
      <c r="U29" s="111">
        <v>30</v>
      </c>
      <c r="V29" s="111">
        <v>35</v>
      </c>
      <c r="W29" s="111" t="s">
        <v>69</v>
      </c>
      <c r="X29" s="111" t="str">
        <f t="shared" ref="X29:X36" si="9">CONCATENATE(U29," - ",W29)</f>
        <v>30 - medio</v>
      </c>
      <c r="Y29" s="111">
        <v>20</v>
      </c>
      <c r="Z29" s="111">
        <v>60</v>
      </c>
      <c r="AB29" s="413" t="s">
        <v>65</v>
      </c>
      <c r="AC29" s="413"/>
      <c r="AE29" s="109" t="s">
        <v>32</v>
      </c>
      <c r="AG29" s="109" t="s">
        <v>174</v>
      </c>
      <c r="AI29" s="30"/>
      <c r="AK29" s="109" t="s">
        <v>267</v>
      </c>
      <c r="AO29" s="10"/>
      <c r="AP29" s="334"/>
      <c r="AQ29" s="334" t="str">
        <f t="shared" si="8"/>
        <v>Termofosfato YOORIN</v>
      </c>
      <c r="AR29" s="334"/>
      <c r="AS29" s="18">
        <f t="shared" si="4"/>
        <v>0.16</v>
      </c>
      <c r="AT29" s="18">
        <f t="shared" si="5"/>
        <v>0.48</v>
      </c>
      <c r="AU29" s="18">
        <f t="shared" si="6"/>
        <v>8.8000000000000007</v>
      </c>
      <c r="AV29" s="18">
        <f t="shared" si="7"/>
        <v>0.8</v>
      </c>
      <c r="AW29" s="10"/>
      <c r="AX29" s="10"/>
      <c r="AY29" s="10"/>
      <c r="AZ29" s="10"/>
      <c r="BA29" s="10"/>
      <c r="BB29" s="10"/>
    </row>
    <row r="30" spans="2:54" ht="20.25" customHeight="1" x14ac:dyDescent="0.25">
      <c r="B30" s="350"/>
      <c r="C30" s="350"/>
      <c r="D30" s="99">
        <f>IF(J30&gt;0,J30,"-")</f>
        <v>0.2709120011468365</v>
      </c>
      <c r="E30" s="310" t="str">
        <f>IF(J30&gt;0,"gramas por metro quadrado","-")</f>
        <v>gramas por metro quadrado</v>
      </c>
      <c r="F30" s="310"/>
      <c r="G30" s="310"/>
      <c r="H30" s="310"/>
      <c r="I30" s="310"/>
      <c r="J30" s="65">
        <f>J29/10</f>
        <v>0.2709120011468365</v>
      </c>
      <c r="M30" s="351"/>
      <c r="N30" s="361"/>
      <c r="O30" s="8"/>
      <c r="P30" s="7" t="s">
        <v>186</v>
      </c>
      <c r="Q30" s="8"/>
      <c r="R30" s="26"/>
      <c r="U30" s="111">
        <v>30</v>
      </c>
      <c r="V30" s="111">
        <v>35</v>
      </c>
      <c r="W30" s="111" t="s">
        <v>70</v>
      </c>
      <c r="X30" s="111" t="str">
        <f t="shared" si="9"/>
        <v>30 - adequado</v>
      </c>
      <c r="Y30" s="111">
        <v>20</v>
      </c>
      <c r="Z30" s="111">
        <v>60</v>
      </c>
      <c r="AB30" s="121" t="s">
        <v>33</v>
      </c>
      <c r="AC30" s="121">
        <f>VLOOKUP($P$39,$U$28:$V$36,2,0)</f>
        <v>70</v>
      </c>
      <c r="AE30" s="109"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11">
        <v>60</v>
      </c>
      <c r="V31" s="111">
        <v>70</v>
      </c>
      <c r="W31" s="111" t="s">
        <v>68</v>
      </c>
      <c r="X31" s="111" t="str">
        <f t="shared" si="9"/>
        <v>60 - baixo</v>
      </c>
      <c r="Y31" s="111">
        <v>40</v>
      </c>
      <c r="Z31" s="111">
        <v>120</v>
      </c>
      <c r="AB31" s="121" t="s">
        <v>66</v>
      </c>
      <c r="AC31" s="121">
        <f>VLOOKUP(AB36,X28:Z36,2,0)</f>
        <v>40</v>
      </c>
      <c r="AE31" s="109">
        <v>30</v>
      </c>
      <c r="AG31" s="31">
        <f>10000/((($O$32/2)+($P$32/2))*$Q$32)</f>
        <v>1666.6666666666667</v>
      </c>
      <c r="AI31" s="30">
        <v>0.1</v>
      </c>
      <c r="AK31" s="109" t="s">
        <v>148</v>
      </c>
      <c r="AO31" s="10"/>
      <c r="AP31" s="334"/>
      <c r="AQ31" s="334" t="str">
        <f t="shared" si="8"/>
        <v>Cloreto de potássio</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v>4</v>
      </c>
      <c r="P32" s="8">
        <v>2</v>
      </c>
      <c r="Q32" s="8">
        <v>2</v>
      </c>
      <c r="R32" s="26"/>
      <c r="U32" s="111">
        <v>60</v>
      </c>
      <c r="V32" s="111">
        <v>70</v>
      </c>
      <c r="W32" s="111" t="s">
        <v>69</v>
      </c>
      <c r="X32" s="111" t="str">
        <f t="shared" si="9"/>
        <v>60 - medio</v>
      </c>
      <c r="Y32" s="111">
        <v>40</v>
      </c>
      <c r="Z32" s="111">
        <v>120</v>
      </c>
      <c r="AB32" s="121" t="s">
        <v>67</v>
      </c>
      <c r="AC32" s="121">
        <f>VLOOKUP($AB$39,X28:Z36,3,0)</f>
        <v>120</v>
      </c>
      <c r="AE32" s="109">
        <v>60</v>
      </c>
      <c r="AI32" s="30">
        <v>0.2</v>
      </c>
      <c r="AK32" s="109" t="s">
        <v>273</v>
      </c>
      <c r="AO32" s="10"/>
      <c r="AP32" s="334"/>
      <c r="AQ32" s="334" t="str">
        <f t="shared" si="8"/>
        <v>Kmag</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11">
        <v>60</v>
      </c>
      <c r="V33" s="111">
        <v>70</v>
      </c>
      <c r="W33" s="111" t="s">
        <v>70</v>
      </c>
      <c r="X33" s="111" t="str">
        <f t="shared" si="9"/>
        <v>60 - adequado</v>
      </c>
      <c r="Y33" s="111">
        <v>40</v>
      </c>
      <c r="Z33" s="111">
        <v>120</v>
      </c>
      <c r="AE33" s="109">
        <v>120</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356.25</v>
      </c>
      <c r="M34" s="351"/>
      <c r="N34" s="361"/>
      <c r="O34" s="341">
        <v>1</v>
      </c>
      <c r="P34" s="341"/>
      <c r="Q34" s="341"/>
      <c r="R34" s="26"/>
      <c r="U34" s="111">
        <v>120</v>
      </c>
      <c r="V34" s="111">
        <v>70</v>
      </c>
      <c r="W34" s="111" t="s">
        <v>68</v>
      </c>
      <c r="X34" s="111" t="str">
        <f t="shared" si="9"/>
        <v>120 - baixo</v>
      </c>
      <c r="Y34" s="111">
        <v>40</v>
      </c>
      <c r="Z34" s="111">
        <v>120</v>
      </c>
      <c r="AI34" s="30">
        <v>0.4</v>
      </c>
      <c r="AK34" s="109" t="s">
        <v>273</v>
      </c>
      <c r="AO34" s="10"/>
      <c r="AP34" s="334"/>
      <c r="AQ34" s="334" t="str">
        <f t="shared" si="8"/>
        <v>Sulfato de amônio</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Gesso Agronelli</v>
      </c>
      <c r="C35" s="350"/>
      <c r="D35" s="98">
        <f>IF(J34&gt;0,J34,"-")</f>
        <v>356.25</v>
      </c>
      <c r="E35" s="310" t="str">
        <f>IF(J34&gt;0,"quilos por hectare ou,","-")</f>
        <v>quilos por hectare ou,</v>
      </c>
      <c r="F35" s="310"/>
      <c r="G35" s="310"/>
      <c r="H35" s="310"/>
      <c r="I35" s="310"/>
      <c r="J35" s="66">
        <f>J34/10</f>
        <v>35.625</v>
      </c>
      <c r="M35" s="75"/>
      <c r="N35" s="117"/>
      <c r="O35" s="117"/>
      <c r="P35" s="32" t="e">
        <f>10000/($O$30*$Q$30)</f>
        <v>#DIV/0!</v>
      </c>
      <c r="Q35" s="32">
        <f>10000/((($O$32/2)+($P$32/2))*$Q$32)</f>
        <v>1666.6666666666667</v>
      </c>
      <c r="R35" s="77"/>
      <c r="U35" s="111">
        <v>120</v>
      </c>
      <c r="V35" s="111">
        <v>70</v>
      </c>
      <c r="W35" s="111" t="s">
        <v>69</v>
      </c>
      <c r="X35" s="111" t="str">
        <f t="shared" si="9"/>
        <v>120 - medio</v>
      </c>
      <c r="Y35" s="111">
        <v>40</v>
      </c>
      <c r="Z35" s="111">
        <v>120</v>
      </c>
      <c r="AB35" s="340" t="s">
        <v>72</v>
      </c>
      <c r="AC35" s="340"/>
      <c r="AI35" s="30">
        <v>0.5</v>
      </c>
      <c r="AK35" s="109" t="s">
        <v>269</v>
      </c>
      <c r="AO35" s="10"/>
      <c r="AP35" s="334"/>
      <c r="AQ35" s="334" t="str">
        <f t="shared" si="8"/>
        <v>Nitrato de cálcio</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f>IF(J35&gt;0,J35,"-")</f>
        <v>35.625</v>
      </c>
      <c r="E36" s="310" t="str">
        <f>IF(J35&gt;0,"gramas por metro quadrado","-")</f>
        <v>gramas por metro quadrado</v>
      </c>
      <c r="F36" s="310"/>
      <c r="G36" s="310"/>
      <c r="H36" s="310"/>
      <c r="I36" s="310"/>
      <c r="J36" s="66"/>
      <c r="M36" s="396"/>
      <c r="N36" s="396"/>
      <c r="O36" s="396"/>
      <c r="P36" s="396"/>
      <c r="Q36" s="396"/>
      <c r="R36" s="396"/>
      <c r="U36" s="111">
        <v>120</v>
      </c>
      <c r="V36" s="111">
        <v>70</v>
      </c>
      <c r="W36" s="111" t="s">
        <v>70</v>
      </c>
      <c r="X36" s="111" t="str">
        <f t="shared" si="9"/>
        <v>120 - adequado</v>
      </c>
      <c r="Y36" s="111">
        <v>40</v>
      </c>
      <c r="Z36" s="111">
        <v>120</v>
      </c>
      <c r="AB36" s="340" t="str">
        <f>CONCATENATE($P$39," - ",$AD$8)</f>
        <v>60 - adequado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18"/>
      <c r="O37" s="118"/>
      <c r="P37" s="118"/>
      <c r="Q37" s="118"/>
      <c r="R37" s="74"/>
      <c r="AI37" s="30">
        <v>0.7</v>
      </c>
      <c r="AK37" s="109" t="s">
        <v>271</v>
      </c>
      <c r="AO37" s="49"/>
      <c r="AP37" s="49"/>
      <c r="AQ37" s="49"/>
      <c r="AR37" s="49"/>
      <c r="AS37" s="48">
        <f>IF(AS24&gt;0,AS24,0)</f>
        <v>1.04</v>
      </c>
      <c r="AT37" s="48">
        <f>IF(AT24&gt;0,AT24,0)</f>
        <v>0.72</v>
      </c>
      <c r="AU37" s="48">
        <f>IF(AU24&gt;0,AU24,0)</f>
        <v>0</v>
      </c>
      <c r="AV37" s="48">
        <f>IF(AV24&gt;0,AV24,0)</f>
        <v>2.8</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AB38" s="340" t="s">
        <v>73</v>
      </c>
      <c r="AC38" s="340"/>
      <c r="AI38" s="30">
        <v>0.8</v>
      </c>
      <c r="AK38" s="109"/>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48.780487804878049</v>
      </c>
      <c r="M39" s="351"/>
      <c r="N39" s="352"/>
      <c r="O39" s="102" t="s">
        <v>318</v>
      </c>
      <c r="P39" s="341">
        <v>60</v>
      </c>
      <c r="Q39" s="341"/>
      <c r="R39" s="26"/>
      <c r="AB39" s="340" t="str">
        <f>CONCATENATE($P$39," - ",$AD$22)</f>
        <v>60 - medio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20.25" customHeight="1" x14ac:dyDescent="0.25">
      <c r="B40" s="372" t="str">
        <f>IF(O42&gt;0,O42,"-")</f>
        <v>Esterco Bovino curtido</v>
      </c>
      <c r="C40" s="372"/>
      <c r="D40" s="100" t="str">
        <f>IF(AQ59&gt;0,AQ59,"-")</f>
        <v>-</v>
      </c>
      <c r="E40" s="307" t="str">
        <f>IF(AQ59&gt;0,"quilos por cova ou planta","-")</f>
        <v>-</v>
      </c>
      <c r="F40" s="307"/>
      <c r="G40" s="307"/>
      <c r="H40" s="307"/>
      <c r="I40" s="307"/>
      <c r="J40" s="66">
        <f>AV7</f>
        <v>114.28571428571429</v>
      </c>
      <c r="M40" s="351"/>
      <c r="N40" s="352"/>
      <c r="O40" s="104"/>
      <c r="P40" s="104"/>
      <c r="Q40" s="104"/>
      <c r="R40" s="26"/>
      <c r="AI40" s="30">
        <v>1</v>
      </c>
      <c r="AO40" s="10"/>
      <c r="AP40" s="334" t="str">
        <f>O105</f>
        <v>Ácido Bórico</v>
      </c>
      <c r="AQ40" s="334"/>
      <c r="AR40" s="18">
        <f>IFERROR($AS$37/((VLOOKUP(AP40,$V$100:$AO$179,11,0)*0.01)),0)</f>
        <v>5.9428571428571422</v>
      </c>
      <c r="AS40" s="18">
        <f>IFERROR($AT$37/((VLOOKUP(AP40,$V$100:$AO$179,14,0)*0.01)),0)</f>
        <v>0</v>
      </c>
      <c r="AT40" s="18">
        <f>IFERROR($AU$37/((VLOOKUP(AP40,$V$100:$AO$179,12,0)*0.01)),0)</f>
        <v>0</v>
      </c>
      <c r="AU40" s="18">
        <f>IFERROR($AV$37/((VLOOKUP(AP40,$V$100:$AO$179,13,0)*0.01)),0)</f>
        <v>0</v>
      </c>
      <c r="AV40" s="18">
        <f>MAX(AR40:AU40)</f>
        <v>5.9428571428571422</v>
      </c>
      <c r="AW40" s="18">
        <f>IFERROR(AV40*(VLOOKUP(AP40,$V$100:$AO$179,11,0)*0.01),0)</f>
        <v>1.04</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Superfosfato triplo</v>
      </c>
      <c r="C41" s="372"/>
      <c r="D41" s="100">
        <f t="shared" ref="D41:D49" si="10">IF(J39&gt;0,J39,"-")</f>
        <v>48.780487804878049</v>
      </c>
      <c r="E41" s="310" t="str">
        <f t="shared" ref="E41:E49" si="11">IF(J39&gt;0,"gramas por planta","-")</f>
        <v>gramas por planta</v>
      </c>
      <c r="F41" s="310"/>
      <c r="G41" s="310"/>
      <c r="H41" s="310"/>
      <c r="I41" s="310"/>
      <c r="J41" s="66">
        <f>AV8</f>
        <v>0</v>
      </c>
      <c r="M41" s="351"/>
      <c r="N41" s="352"/>
      <c r="O41" s="342" t="s">
        <v>289</v>
      </c>
      <c r="P41" s="342"/>
      <c r="Q41" s="342"/>
      <c r="R41" s="26"/>
      <c r="AO41" s="10"/>
      <c r="AP41" s="334" t="str">
        <f>O106</f>
        <v>Sulfato de cobre</v>
      </c>
      <c r="AQ41" s="334"/>
      <c r="AR41" s="18">
        <f>IFERROR($AS$37/((VLOOKUP(AP41,$V$100:$AO$179,11,0)*0.01)),0)</f>
        <v>0</v>
      </c>
      <c r="AS41" s="18">
        <f>IFERROR($AT$37/((VLOOKUP(AP41,$V$100:$AO$179,14,0)*0.01)),0)</f>
        <v>2.88</v>
      </c>
      <c r="AT41" s="18">
        <f>IFERROR($AU$37/((VLOOKUP(AP41,$V$100:$AO$179,12,0)*0.01)),0)</f>
        <v>0</v>
      </c>
      <c r="AU41" s="18">
        <f>IFERROR($AV$37/((VLOOKUP(AP41,$V$100:$AO$179,13,0)*0.01)),0)</f>
        <v>0</v>
      </c>
      <c r="AV41" s="18">
        <f t="shared" ref="AV41:AV43" si="12">MAX(AR41:AU41)</f>
        <v>2.88</v>
      </c>
      <c r="AW41" s="18">
        <f>IFERROR(AV41*(VLOOKUP(AP41,$V$100:$AO$179,11,0)*0.01),0)</f>
        <v>0</v>
      </c>
      <c r="AX41" s="18">
        <f>IFERROR(AV41*(VLOOKUP(AP41,$V$100:$AO$179,14,0)*0.01),0)</f>
        <v>0.72</v>
      </c>
      <c r="AY41" s="18">
        <f>IFERROR(AV41*(VLOOKUP(AP41,$V$100:$AO$179,12,0)*0.01),0)</f>
        <v>0</v>
      </c>
      <c r="AZ41" s="18">
        <f>IFERROR(AV41*(VLOOKUP(AP41,$V$100:$AO$179,13,0)*0.01),0)</f>
        <v>0</v>
      </c>
      <c r="BA41" s="10"/>
      <c r="BB41" s="11"/>
      <c r="BC41" s="104"/>
      <c r="BD41" s="104"/>
      <c r="BE41" s="104"/>
    </row>
    <row r="42" spans="2:57" ht="20.25" customHeight="1" x14ac:dyDescent="0.25">
      <c r="B42" s="372" t="str">
        <f>IF(AQ7&gt;0,AQ7,"-")</f>
        <v>Termofosfato YOORIN</v>
      </c>
      <c r="C42" s="372"/>
      <c r="D42" s="100">
        <f t="shared" si="10"/>
        <v>114.28571428571429</v>
      </c>
      <c r="E42" s="310" t="str">
        <f t="shared" si="11"/>
        <v>gramas por planta</v>
      </c>
      <c r="F42" s="310"/>
      <c r="G42" s="310"/>
      <c r="H42" s="310"/>
      <c r="I42" s="310"/>
      <c r="J42" s="66">
        <f>AV12</f>
        <v>160</v>
      </c>
      <c r="M42" s="351"/>
      <c r="N42" s="352"/>
      <c r="O42" s="353" t="s">
        <v>273</v>
      </c>
      <c r="P42" s="354"/>
      <c r="Q42" s="355"/>
      <c r="R42" s="26"/>
      <c r="AO42" s="10"/>
      <c r="AP42" s="334" t="str">
        <f>O107</f>
        <v>Sulfato de manganês</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114.28571428571429</v>
      </c>
      <c r="M43" s="75"/>
      <c r="N43" s="117"/>
      <c r="O43" s="117"/>
      <c r="P43" s="117"/>
      <c r="Q43" s="117"/>
      <c r="R43" s="77"/>
      <c r="AO43" s="10"/>
      <c r="AP43" s="334" t="str">
        <f>O108</f>
        <v>Sulfato de zinco</v>
      </c>
      <c r="AQ43" s="334"/>
      <c r="AR43" s="18">
        <f>IFERROR($AS$37/((VLOOKUP(AP43,$V$100:$AO$179,11,0)*0.01)),0)</f>
        <v>0</v>
      </c>
      <c r="AS43" s="18">
        <f>IFERROR($AT$37/((VLOOKUP(AP43,$V$100:$AO$179,14,0)*0.01)),0)</f>
        <v>0</v>
      </c>
      <c r="AT43" s="18">
        <f>IFERROR($AU$37/((VLOOKUP(AP43,$V$100:$AO$179,12,0)*0.01)),0)</f>
        <v>0</v>
      </c>
      <c r="AU43" s="18">
        <f>IFERROR($AV$37/((VLOOKUP(AP43,$V$100:$AO$179,13,0)*0.01)),0)</f>
        <v>7.9999999999999991</v>
      </c>
      <c r="AV43" s="18">
        <f t="shared" si="12"/>
        <v>7.9999999999999991</v>
      </c>
      <c r="AW43" s="18">
        <f>IFERROR(AV43*(VLOOKUP(AP43,$V$100:$AO$179,11,0)*0.01),0)</f>
        <v>0</v>
      </c>
      <c r="AX43" s="18">
        <f>IFERROR(AV43*(VLOOKUP(AP43,$V$100:$AO$179,14,0)*0.01),0)</f>
        <v>0</v>
      </c>
      <c r="AY43" s="18">
        <f>IFERROR(AV43*(VLOOKUP(AP43,$V$100:$AO$179,12,0)*0.01),0)</f>
        <v>0</v>
      </c>
      <c r="AZ43" s="18">
        <f>IFERROR(AV43*(VLOOKUP(AP43,$V$100:$AO$179,13,0)*0.01),0)</f>
        <v>2.8</v>
      </c>
      <c r="BA43" s="10"/>
      <c r="BB43" s="10"/>
    </row>
    <row r="44" spans="2:57" ht="20.25" customHeight="1" thickBot="1" x14ac:dyDescent="0.3">
      <c r="B44" s="372" t="str">
        <f>IF(AQ12&gt;0,AQ12,"-")</f>
        <v>Cloreto de potássio</v>
      </c>
      <c r="C44" s="372"/>
      <c r="D44" s="100">
        <f t="shared" si="10"/>
        <v>160</v>
      </c>
      <c r="E44" s="310" t="str">
        <f t="shared" si="11"/>
        <v>gramas por planta</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Kmag</v>
      </c>
      <c r="C45" s="372"/>
      <c r="D45" s="100">
        <f t="shared" si="10"/>
        <v>114.28571428571429</v>
      </c>
      <c r="E45" s="310" t="str">
        <f t="shared" si="11"/>
        <v>gramas por planta</v>
      </c>
      <c r="F45" s="310"/>
      <c r="G45" s="310"/>
      <c r="H45" s="310"/>
      <c r="I45" s="310"/>
      <c r="J45" s="66">
        <f>AV18</f>
        <v>175</v>
      </c>
      <c r="M45" s="72"/>
      <c r="N45" s="118"/>
      <c r="O45" s="382" t="s">
        <v>286</v>
      </c>
      <c r="P45" s="383"/>
      <c r="Q45" s="384"/>
      <c r="R45" s="74"/>
      <c r="U45" s="344" t="s">
        <v>101</v>
      </c>
      <c r="V45" s="346"/>
      <c r="X45" s="340" t="s">
        <v>188</v>
      </c>
      <c r="Y45" s="340"/>
      <c r="Z45" s="340"/>
      <c r="AO45" s="10"/>
      <c r="AP45" s="10"/>
      <c r="AQ45" s="10"/>
      <c r="AR45" s="10"/>
      <c r="AS45" s="10"/>
      <c r="AT45" s="10"/>
      <c r="AU45" s="10"/>
      <c r="AV45" s="10"/>
      <c r="AW45" s="48">
        <f>AS37-(SUM(AW40:AW44))</f>
        <v>0</v>
      </c>
      <c r="AX45" s="48">
        <f>AT37-(SUM(AX40:AX44))</f>
        <v>0</v>
      </c>
      <c r="AY45" s="48">
        <f>AU37-(SUM(AY40:AY44))</f>
        <v>0</v>
      </c>
      <c r="AZ45" s="48">
        <f>AV37-(SUM(AZ40:AZ44))</f>
        <v>0</v>
      </c>
      <c r="BA45" s="10"/>
      <c r="BB45" s="10"/>
    </row>
    <row r="46" spans="2:57" ht="20.25" customHeight="1" x14ac:dyDescent="0.25">
      <c r="B46" s="372" t="str">
        <f>IF(AQ14&gt;0,AQ14,"-")</f>
        <v>-</v>
      </c>
      <c r="C46" s="372"/>
      <c r="D46" s="100" t="str">
        <f t="shared" si="10"/>
        <v>-</v>
      </c>
      <c r="E46" s="310" t="str">
        <f t="shared" si="11"/>
        <v>-</v>
      </c>
      <c r="F46" s="310"/>
      <c r="G46" s="310"/>
      <c r="H46" s="310"/>
      <c r="I46" s="310"/>
      <c r="J46" s="66">
        <f>AV19</f>
        <v>233.33333333333334</v>
      </c>
      <c r="M46" s="351" t="s">
        <v>196</v>
      </c>
      <c r="N46" s="352"/>
      <c r="O46" s="385"/>
      <c r="P46" s="386"/>
      <c r="Q46" s="387"/>
      <c r="R46" s="26"/>
      <c r="U46" s="111" t="s">
        <v>102</v>
      </c>
      <c r="V46" s="62">
        <v>70</v>
      </c>
      <c r="X46" s="412" t="s">
        <v>249</v>
      </c>
      <c r="Y46" s="412"/>
      <c r="Z46" s="2">
        <f>IFERROR(VLOOKUP(O50,$V$87:$AE$95,10,0),0)</f>
        <v>9.1197279464721319</v>
      </c>
      <c r="AO46" s="10"/>
      <c r="AP46" s="10"/>
      <c r="AQ46" s="10"/>
      <c r="AR46" s="10"/>
      <c r="AS46" s="10"/>
      <c r="AT46" s="10"/>
      <c r="AU46" s="10"/>
      <c r="AV46" s="10"/>
      <c r="AW46" s="10"/>
      <c r="AX46" s="10"/>
      <c r="AY46" s="10"/>
      <c r="AZ46" s="10"/>
      <c r="BA46" s="10"/>
      <c r="BB46" s="10"/>
    </row>
    <row r="47" spans="2:57" ht="20.25" customHeight="1" x14ac:dyDescent="0.25">
      <c r="B47" s="372" t="str">
        <f>IF(AQ18&gt;0,AQ18,"-")</f>
        <v>Sulfato de amônio</v>
      </c>
      <c r="C47" s="372"/>
      <c r="D47" s="100">
        <f t="shared" si="10"/>
        <v>175</v>
      </c>
      <c r="E47" s="310" t="str">
        <f t="shared" si="11"/>
        <v>gramas por planta</v>
      </c>
      <c r="F47" s="310"/>
      <c r="G47" s="310"/>
      <c r="H47" s="310"/>
      <c r="I47" s="310"/>
      <c r="J47" s="66">
        <f>AV20</f>
        <v>0</v>
      </c>
      <c r="M47" s="351"/>
      <c r="N47" s="352"/>
      <c r="O47" s="398" t="s">
        <v>127</v>
      </c>
      <c r="P47" s="399"/>
      <c r="Q47" s="101">
        <v>0.8</v>
      </c>
      <c r="R47" s="26"/>
      <c r="U47" s="109" t="s">
        <v>104</v>
      </c>
      <c r="V47" s="2">
        <f>IFERROR((((V46-P24)*P25)/V49),0)</f>
        <v>2.6738568700146046</v>
      </c>
      <c r="X47" s="412" t="s">
        <v>189</v>
      </c>
      <c r="Y47" s="412"/>
      <c r="Z47" s="2">
        <f>IFERROR((($V$50/$Z$46)*$V$47),0)</f>
        <v>13.545600057341824</v>
      </c>
      <c r="AO47" s="10"/>
      <c r="BA47" s="10"/>
      <c r="BB47" s="10"/>
    </row>
    <row r="48" spans="2:57" ht="20.25" customHeight="1" x14ac:dyDescent="0.25">
      <c r="B48" s="372" t="str">
        <f>IF(AQ19&gt;0,AQ19,"-")</f>
        <v>Nitrato de cálcio</v>
      </c>
      <c r="C48" s="372"/>
      <c r="D48" s="100">
        <f t="shared" si="10"/>
        <v>233.33333333333334</v>
      </c>
      <c r="E48" s="310" t="str">
        <f t="shared" si="11"/>
        <v>gramas por planta</v>
      </c>
      <c r="F48" s="310"/>
      <c r="G48" s="310"/>
      <c r="H48" s="310"/>
      <c r="I48" s="310"/>
      <c r="J48" s="67"/>
      <c r="M48" s="351"/>
      <c r="N48" s="352"/>
      <c r="O48" s="388" t="s">
        <v>287</v>
      </c>
      <c r="P48" s="389"/>
      <c r="Q48" s="390"/>
      <c r="R48" s="26"/>
      <c r="U48" s="109" t="s">
        <v>187</v>
      </c>
      <c r="V48" s="2">
        <f>IF(V47&lt;0,(0),IF(V47&gt;=0,(V47)))</f>
        <v>2.6738568700146046</v>
      </c>
      <c r="X48" s="412" t="s">
        <v>187</v>
      </c>
      <c r="Y48" s="412"/>
      <c r="Z48" s="2">
        <f>IFERROR(IF(Z47&lt;0,(0),IF(Z47&gt;=0,(Z47))),0)</f>
        <v>13.545600057341824</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09" t="s">
        <v>103</v>
      </c>
      <c r="V49" s="2">
        <f>IFERROR(VLOOKUP($O$47,$V$56:$AA$68,5,0),0)</f>
        <v>89.01</v>
      </c>
      <c r="X49" s="412" t="s">
        <v>254</v>
      </c>
      <c r="Y49" s="412"/>
      <c r="Z49" s="2">
        <f>Z48*$Q$50</f>
        <v>2.7091200114683649</v>
      </c>
    </row>
    <row r="50" spans="2:50" ht="20.25" customHeight="1" x14ac:dyDescent="0.25">
      <c r="B50" s="391" t="s">
        <v>294</v>
      </c>
      <c r="C50" s="391"/>
      <c r="D50" s="391"/>
      <c r="E50" s="391"/>
      <c r="F50" s="391"/>
      <c r="G50" s="391"/>
      <c r="H50" s="391"/>
      <c r="I50" s="391"/>
      <c r="M50" s="351"/>
      <c r="N50" s="352"/>
      <c r="O50" s="353" t="s">
        <v>147</v>
      </c>
      <c r="P50" s="355"/>
      <c r="Q50" s="33">
        <v>0.2</v>
      </c>
      <c r="R50" s="26"/>
      <c r="U50" s="109" t="s">
        <v>178</v>
      </c>
      <c r="V50" s="2">
        <f>IFERROR(VLOOKUP($O$47,$V$56:$AA$68,6,0),0)</f>
        <v>46.2</v>
      </c>
      <c r="AT50" s="340" t="s">
        <v>261</v>
      </c>
      <c r="AU50" s="340"/>
      <c r="AV50" s="340"/>
      <c r="AW50" s="340"/>
    </row>
    <row r="51" spans="2:50" ht="20.25" customHeight="1" thickBot="1" x14ac:dyDescent="0.3">
      <c r="B51" s="391"/>
      <c r="C51" s="391"/>
      <c r="D51" s="391"/>
      <c r="E51" s="391"/>
      <c r="F51" s="391"/>
      <c r="G51" s="391"/>
      <c r="H51" s="391"/>
      <c r="I51" s="391"/>
      <c r="M51" s="75"/>
      <c r="N51" s="117"/>
      <c r="O51" s="117"/>
      <c r="P51" s="117"/>
      <c r="Q51" s="117"/>
      <c r="R51" s="77"/>
      <c r="U51" s="109" t="s">
        <v>254</v>
      </c>
      <c r="V51" s="2">
        <f>V48*$Q$47</f>
        <v>2.1390854960116839</v>
      </c>
      <c r="AT51" s="111">
        <v>0</v>
      </c>
      <c r="AU51" s="64" t="s">
        <v>267</v>
      </c>
      <c r="AV51" s="64" t="str">
        <f>CONCATENATE(AT51," - ",AU51)</f>
        <v>0 - Composto de lixo (COL)</v>
      </c>
      <c r="AW51" s="111">
        <v>15</v>
      </c>
    </row>
    <row r="52" spans="2:50" ht="20.25" customHeight="1" thickBot="1" x14ac:dyDescent="0.3">
      <c r="B52" s="391"/>
      <c r="C52" s="391"/>
      <c r="D52" s="391"/>
      <c r="E52" s="391"/>
      <c r="F52" s="391"/>
      <c r="G52" s="391"/>
      <c r="H52" s="391"/>
      <c r="I52" s="391"/>
      <c r="AT52" s="111">
        <v>1</v>
      </c>
      <c r="AU52" s="64" t="s">
        <v>267</v>
      </c>
      <c r="AV52" s="64" t="str">
        <f t="shared" ref="AV52:AV95" si="13">CONCATENATE(AT52," - ",AU52)</f>
        <v>1 - Composto de lixo (COL)</v>
      </c>
      <c r="AW52" s="111">
        <v>5</v>
      </c>
    </row>
    <row r="53" spans="2:50" ht="20.25" customHeight="1" thickBot="1" x14ac:dyDescent="0.3">
      <c r="B53" s="392"/>
      <c r="C53" s="392"/>
      <c r="D53" s="392"/>
      <c r="E53" s="392"/>
      <c r="F53" s="392"/>
      <c r="G53" s="392"/>
      <c r="H53" s="392"/>
      <c r="I53" s="392"/>
      <c r="M53" s="72"/>
      <c r="N53" s="118"/>
      <c r="O53" s="118"/>
      <c r="P53" s="118"/>
      <c r="Q53" s="118"/>
      <c r="R53" s="74"/>
      <c r="AP53" s="38"/>
      <c r="AQ53" s="38"/>
      <c r="AS53" s="38"/>
      <c r="AT53" s="111">
        <v>2</v>
      </c>
      <c r="AU53" s="64" t="s">
        <v>267</v>
      </c>
      <c r="AV53" s="64" t="str">
        <f t="shared" si="13"/>
        <v>2 - Composto de lixo (COL)</v>
      </c>
      <c r="AW53" s="11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11">
        <v>3</v>
      </c>
      <c r="AU54" s="64" t="s">
        <v>267</v>
      </c>
      <c r="AV54" s="64" t="str">
        <f t="shared" si="13"/>
        <v>3 - Composto de lixo (COL)</v>
      </c>
      <c r="AW54" s="111">
        <v>15</v>
      </c>
    </row>
    <row r="55" spans="2:50" ht="20.25" customHeight="1" x14ac:dyDescent="0.25">
      <c r="B55" s="372" t="str">
        <f>IF(AP40&gt;0,AP40,"-")</f>
        <v>Ácido Bórico</v>
      </c>
      <c r="C55" s="372"/>
      <c r="D55" s="100">
        <f>IF(AV40&gt;0,AV40,"-")</f>
        <v>5.9428571428571422</v>
      </c>
      <c r="E55" s="310" t="str">
        <f>IF(AV40&gt;0,"gramas por planta","-")</f>
        <v>gramas por planta</v>
      </c>
      <c r="F55" s="310"/>
      <c r="G55" s="310"/>
      <c r="H55" s="310"/>
      <c r="I55" s="310"/>
      <c r="M55" s="351"/>
      <c r="N55" s="352"/>
      <c r="O55" s="341" t="s">
        <v>173</v>
      </c>
      <c r="P55" s="341"/>
      <c r="Q55" s="341"/>
      <c r="R55" s="26"/>
      <c r="U55" s="368"/>
      <c r="V55" s="368"/>
      <c r="W55" s="368"/>
      <c r="X55" s="113" t="s">
        <v>98</v>
      </c>
      <c r="Y55" s="113" t="s">
        <v>99</v>
      </c>
      <c r="Z55" s="113" t="s">
        <v>100</v>
      </c>
      <c r="AA55" s="113" t="s">
        <v>180</v>
      </c>
      <c r="AP55" s="365"/>
      <c r="AQ55" s="365"/>
      <c r="AS55" s="365"/>
      <c r="AT55" s="111">
        <v>4</v>
      </c>
      <c r="AU55" s="64" t="s">
        <v>267</v>
      </c>
      <c r="AV55" s="64" t="str">
        <f t="shared" si="13"/>
        <v>4 - Composto de lixo (COL)</v>
      </c>
      <c r="AW55" s="111">
        <v>20</v>
      </c>
    </row>
    <row r="56" spans="2:50" ht="20.25" customHeight="1" x14ac:dyDescent="0.25">
      <c r="B56" s="372" t="str">
        <f>IF(AP41&gt;0,AP41,"-")</f>
        <v>Sulfato de cobre</v>
      </c>
      <c r="C56" s="372"/>
      <c r="D56" s="100">
        <f>IF(AV41&gt;0,AV41,"-")</f>
        <v>2.88</v>
      </c>
      <c r="E56" s="310" t="str">
        <f>IF(AV41&gt;0,"gramas por planta","-")</f>
        <v>gramas por planta</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11">
        <v>0</v>
      </c>
      <c r="AU56" s="64" t="s">
        <v>274</v>
      </c>
      <c r="AV56" s="64" t="str">
        <f t="shared" si="13"/>
        <v>0 - Cama de frango corte</v>
      </c>
      <c r="AW56" s="111">
        <v>3</v>
      </c>
      <c r="AX56" s="104"/>
    </row>
    <row r="57" spans="2:50" ht="20.25" customHeight="1" x14ac:dyDescent="0.25">
      <c r="B57" s="372" t="str">
        <f>IF(AP42&gt;0,AP42,"-")</f>
        <v>Sulfato de manganês</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275</v>
      </c>
      <c r="AR57" s="341"/>
      <c r="AS57" s="104"/>
      <c r="AT57" s="111">
        <v>1</v>
      </c>
      <c r="AU57" s="64" t="s">
        <v>274</v>
      </c>
      <c r="AV57" s="64" t="str">
        <f t="shared" si="13"/>
        <v>1 - Cama de frango corte</v>
      </c>
      <c r="AW57" s="111">
        <v>1</v>
      </c>
    </row>
    <row r="58" spans="2:50" ht="20.25" customHeight="1" x14ac:dyDescent="0.25">
      <c r="B58" s="372" t="str">
        <f>IF(AP43&gt;0,AP43,"-")</f>
        <v>Sulfato de zinco</v>
      </c>
      <c r="C58" s="372"/>
      <c r="D58" s="100">
        <f>IF(AV43&gt;0,AV43,"-")</f>
        <v>7.9999999999999991</v>
      </c>
      <c r="E58" s="310" t="str">
        <f t="shared" si="14"/>
        <v>gramas por planta</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t="str">
        <f>CONCATENATE($P$39," - ",$O$42)</f>
        <v>60 - Esterco Bovino curtido</v>
      </c>
      <c r="AR58" s="341"/>
      <c r="AS58" s="104"/>
      <c r="AT58" s="111">
        <v>2</v>
      </c>
      <c r="AU58" s="64" t="s">
        <v>274</v>
      </c>
      <c r="AV58" s="64" t="str">
        <f t="shared" si="13"/>
        <v>2 - Cama de frango corte</v>
      </c>
      <c r="AW58" s="11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Q59" s="338">
        <f>IFERROR(VLOOKUP(AQ58,AV51:AW95,2,0),0)</f>
        <v>0</v>
      </c>
      <c r="AR59" s="338"/>
      <c r="AS59" s="104"/>
      <c r="AT59" s="111">
        <v>3</v>
      </c>
      <c r="AU59" s="64" t="s">
        <v>274</v>
      </c>
      <c r="AV59" s="64" t="str">
        <f t="shared" si="13"/>
        <v>3 - Cama de frango corte</v>
      </c>
      <c r="AW59" s="11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11">
        <v>4</v>
      </c>
      <c r="AU60" s="64" t="s">
        <v>274</v>
      </c>
      <c r="AV60" s="64" t="str">
        <f t="shared" si="13"/>
        <v>4 - Cama de frango corte</v>
      </c>
      <c r="AW60" s="11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11">
        <v>0</v>
      </c>
      <c r="AU61" s="64" t="s">
        <v>148</v>
      </c>
      <c r="AV61" s="64" t="str">
        <f t="shared" si="13"/>
        <v>0 - Esterco de galinha</v>
      </c>
      <c r="AW61" s="11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11">
        <v>1</v>
      </c>
      <c r="AU62" s="64" t="s">
        <v>148</v>
      </c>
      <c r="AV62" s="64" t="str">
        <f t="shared" si="13"/>
        <v>1 - Esterco de galinha</v>
      </c>
      <c r="AW62" s="11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11">
        <v>2</v>
      </c>
      <c r="AU63" s="64" t="s">
        <v>148</v>
      </c>
      <c r="AV63" s="64" t="str">
        <f t="shared" si="13"/>
        <v>2 - Esterco de galinha</v>
      </c>
      <c r="AW63" s="11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11">
        <v>3</v>
      </c>
      <c r="AU64" s="64" t="s">
        <v>148</v>
      </c>
      <c r="AV64" s="64" t="str">
        <f t="shared" si="13"/>
        <v>3 - Esterco de galinha</v>
      </c>
      <c r="AW64" s="111">
        <v>3</v>
      </c>
    </row>
    <row r="65" spans="2:49" ht="20.2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11">
        <v>4</v>
      </c>
      <c r="AU65" s="64" t="s">
        <v>148</v>
      </c>
      <c r="AV65" s="64" t="str">
        <f t="shared" si="13"/>
        <v>4 - Esterco de galinha</v>
      </c>
      <c r="AW65" s="11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11">
        <v>0</v>
      </c>
      <c r="AU66" s="64" t="s">
        <v>273</v>
      </c>
      <c r="AV66" s="64" t="str">
        <f t="shared" si="13"/>
        <v>0 - Esterco Bovino curtido</v>
      </c>
      <c r="AW66" s="11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11">
        <v>1</v>
      </c>
      <c r="AU67" s="64" t="s">
        <v>273</v>
      </c>
      <c r="AV67" s="64" t="str">
        <f t="shared" si="13"/>
        <v>1 - Esterco Bovino curtido</v>
      </c>
      <c r="AW67" s="111">
        <v>5</v>
      </c>
    </row>
    <row r="68" spans="2:49" ht="20.25" customHeight="1" x14ac:dyDescent="0.25">
      <c r="M68" s="351"/>
      <c r="N68" s="352"/>
      <c r="O68" s="341" t="s">
        <v>174</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11">
        <v>2</v>
      </c>
      <c r="AU68" s="64" t="s">
        <v>273</v>
      </c>
      <c r="AV68" s="64" t="str">
        <f t="shared" si="13"/>
        <v>2 - Esterco Bovino curtido</v>
      </c>
      <c r="AW68" s="111">
        <v>10</v>
      </c>
    </row>
    <row r="69" spans="2:49" ht="20.25" customHeight="1" thickBot="1" x14ac:dyDescent="0.3">
      <c r="M69" s="75"/>
      <c r="N69" s="117"/>
      <c r="O69" s="117"/>
      <c r="P69" s="117"/>
      <c r="Q69" s="117"/>
      <c r="R69" s="77"/>
      <c r="AT69" s="111">
        <v>3</v>
      </c>
      <c r="AU69" s="64" t="s">
        <v>273</v>
      </c>
      <c r="AV69" s="64" t="str">
        <f t="shared" si="13"/>
        <v>3 - Esterco Bovino curtido</v>
      </c>
      <c r="AW69" s="111">
        <v>15</v>
      </c>
    </row>
    <row r="70" spans="2:49" ht="20.25" customHeight="1" thickBot="1" x14ac:dyDescent="0.3">
      <c r="AT70" s="111">
        <v>4</v>
      </c>
      <c r="AU70" s="64" t="s">
        <v>273</v>
      </c>
      <c r="AV70" s="64" t="str">
        <f t="shared" si="13"/>
        <v>4 - Esterco Bovino curtido</v>
      </c>
      <c r="AW70" s="111">
        <v>20</v>
      </c>
    </row>
    <row r="71" spans="2:49" ht="20.25" customHeight="1" x14ac:dyDescent="0.25">
      <c r="M71" s="72"/>
      <c r="N71" s="118"/>
      <c r="O71" s="118"/>
      <c r="P71" s="118"/>
      <c r="Q71" s="118"/>
      <c r="R71" s="74"/>
      <c r="U71" s="371" t="s">
        <v>125</v>
      </c>
      <c r="V71" s="371" t="s">
        <v>76</v>
      </c>
      <c r="W71" s="371" t="s">
        <v>77</v>
      </c>
      <c r="X71" s="371" t="s">
        <v>265</v>
      </c>
      <c r="Y71" s="371"/>
      <c r="Z71" s="371"/>
      <c r="AT71" s="111">
        <v>0</v>
      </c>
      <c r="AU71" s="64" t="s">
        <v>273</v>
      </c>
      <c r="AV71" s="64" t="str">
        <f t="shared" si="13"/>
        <v>0 - Esterco Bovino curtido</v>
      </c>
      <c r="AW71" s="111">
        <v>15</v>
      </c>
    </row>
    <row r="72" spans="2:49" ht="20.25" customHeight="1" x14ac:dyDescent="0.25">
      <c r="M72" s="351" t="s">
        <v>198</v>
      </c>
      <c r="N72" s="352"/>
      <c r="O72" s="400" t="s">
        <v>233</v>
      </c>
      <c r="P72" s="401"/>
      <c r="Q72" s="402"/>
      <c r="R72" s="26"/>
      <c r="U72" s="371"/>
      <c r="V72" s="371"/>
      <c r="W72" s="371"/>
      <c r="X72" s="114" t="s">
        <v>81</v>
      </c>
      <c r="Y72" s="114" t="s">
        <v>82</v>
      </c>
      <c r="Z72" s="114" t="s">
        <v>83</v>
      </c>
      <c r="AT72" s="111">
        <v>1</v>
      </c>
      <c r="AU72" s="64" t="s">
        <v>266</v>
      </c>
      <c r="AV72" s="64" t="str">
        <f t="shared" si="13"/>
        <v>1 - Esterco de equino</v>
      </c>
      <c r="AW72" s="11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11">
        <v>2</v>
      </c>
      <c r="AU73" s="64" t="s">
        <v>266</v>
      </c>
      <c r="AV73" s="64" t="str">
        <f t="shared" si="13"/>
        <v>2 - Esterco de equino</v>
      </c>
      <c r="AW73" s="111">
        <v>10</v>
      </c>
    </row>
    <row r="74" spans="2:49" ht="20.25" customHeight="1" x14ac:dyDescent="0.25">
      <c r="M74" s="351"/>
      <c r="N74" s="352"/>
      <c r="O74" s="341" t="s">
        <v>200</v>
      </c>
      <c r="P74" s="341"/>
      <c r="Q74" s="33">
        <v>0.5</v>
      </c>
      <c r="R74" s="26"/>
      <c r="U74" s="411"/>
      <c r="V74" s="37" t="str">
        <f>'Adubos e corretivos'!C105</f>
        <v>Gesso Votorantim</v>
      </c>
      <c r="W74" s="37">
        <f>'Adubos e corretivos'!D105</f>
        <v>0</v>
      </c>
      <c r="X74" s="37">
        <f>'Adubos e corretivos'!E105</f>
        <v>16</v>
      </c>
      <c r="Y74" s="37">
        <f>'Adubos e corretivos'!F105</f>
        <v>0</v>
      </c>
      <c r="Z74" s="37">
        <f>'Adubos e corretivos'!G105</f>
        <v>20</v>
      </c>
      <c r="AT74" s="111">
        <v>3</v>
      </c>
      <c r="AU74" s="64" t="s">
        <v>266</v>
      </c>
      <c r="AV74" s="64" t="str">
        <f t="shared" si="13"/>
        <v>3 - Esterco de equino</v>
      </c>
      <c r="AW74" s="111">
        <v>15</v>
      </c>
    </row>
    <row r="75" spans="2:49" ht="20.25" customHeight="1" x14ac:dyDescent="0.25">
      <c r="M75" s="351"/>
      <c r="N75" s="352"/>
      <c r="O75" s="341" t="s">
        <v>210</v>
      </c>
      <c r="P75" s="341"/>
      <c r="Q75" s="33">
        <v>0.5</v>
      </c>
      <c r="R75" s="26"/>
      <c r="U75" s="411"/>
      <c r="V75" s="37" t="str">
        <f>'Adubos e corretivos'!C106</f>
        <v>Gesso Agronelli</v>
      </c>
      <c r="W75" s="37">
        <f>'Adubos e corretivos'!D106</f>
        <v>0.76</v>
      </c>
      <c r="X75" s="37">
        <f>'Adubos e corretivos'!E106</f>
        <v>14</v>
      </c>
      <c r="Y75" s="37">
        <f>'Adubos e corretivos'!F106</f>
        <v>0</v>
      </c>
      <c r="Z75" s="37">
        <f>'Adubos e corretivos'!G106</f>
        <v>17</v>
      </c>
      <c r="AT75" s="111">
        <v>4</v>
      </c>
      <c r="AU75" s="64" t="s">
        <v>266</v>
      </c>
      <c r="AV75" s="64" t="str">
        <f t="shared" si="13"/>
        <v>4 - Esterco de equino</v>
      </c>
      <c r="AW75" s="11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11">
        <v>0</v>
      </c>
      <c r="AU76" s="64" t="s">
        <v>273</v>
      </c>
      <c r="AV76" s="64" t="str">
        <f t="shared" si="13"/>
        <v>0 - Esterco Bovino curtido</v>
      </c>
      <c r="AW76" s="111">
        <v>3</v>
      </c>
    </row>
    <row r="77" spans="2:49" ht="20.2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T77" s="111">
        <v>1</v>
      </c>
      <c r="AU77" s="64" t="s">
        <v>268</v>
      </c>
      <c r="AV77" s="64" t="str">
        <f t="shared" si="13"/>
        <v>1 - Esterco de suínos</v>
      </c>
      <c r="AW77" s="11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11">
        <v>2</v>
      </c>
      <c r="AU78" s="64" t="s">
        <v>268</v>
      </c>
      <c r="AV78" s="64" t="str">
        <f t="shared" si="13"/>
        <v>2 - Esterco de suínos</v>
      </c>
      <c r="AW78" s="111">
        <v>2</v>
      </c>
    </row>
    <row r="79" spans="2:49" ht="20.2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T79" s="111">
        <v>3</v>
      </c>
      <c r="AU79" s="64" t="s">
        <v>268</v>
      </c>
      <c r="AV79" s="64" t="str">
        <f t="shared" si="13"/>
        <v>3 - Esterco de suínos</v>
      </c>
      <c r="AW79" s="11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11">
        <v>4</v>
      </c>
      <c r="AU80" s="64" t="s">
        <v>268</v>
      </c>
      <c r="AV80" s="64" t="str">
        <f t="shared" si="13"/>
        <v>4 - Esterco de suínos</v>
      </c>
      <c r="AW80" s="11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11">
        <v>0</v>
      </c>
      <c r="AU81" s="64" t="s">
        <v>269</v>
      </c>
      <c r="AV81" s="64" t="str">
        <f t="shared" si="13"/>
        <v>0 - Esterco de ovinos</v>
      </c>
      <c r="AW81" s="111">
        <v>3</v>
      </c>
    </row>
    <row r="82" spans="13:49" ht="20.25" customHeight="1" x14ac:dyDescent="0.25">
      <c r="M82" s="351"/>
      <c r="N82" s="352"/>
      <c r="O82" s="341" t="s">
        <v>191</v>
      </c>
      <c r="P82" s="341"/>
      <c r="Q82" s="33">
        <v>0.8</v>
      </c>
      <c r="R82" s="26"/>
      <c r="U82" s="411"/>
      <c r="V82" s="37">
        <f>'Adubos e corretivos'!C113</f>
        <v>0</v>
      </c>
      <c r="W82" s="37">
        <f>'Adubos e corretivos'!D113</f>
        <v>0</v>
      </c>
      <c r="X82" s="37">
        <f>'Adubos e corretivos'!E113</f>
        <v>0</v>
      </c>
      <c r="Y82" s="37">
        <f>'Adubos e corretivos'!F113</f>
        <v>0</v>
      </c>
      <c r="Z82" s="37">
        <f>'Adubos e corretivos'!G113</f>
        <v>0</v>
      </c>
      <c r="AT82" s="111">
        <v>1</v>
      </c>
      <c r="AU82" s="64" t="s">
        <v>269</v>
      </c>
      <c r="AV82" s="64" t="str">
        <f t="shared" si="13"/>
        <v>1 - Esterco de ovinos</v>
      </c>
      <c r="AW82" s="111">
        <v>1</v>
      </c>
    </row>
    <row r="83" spans="13:49" ht="20.25" customHeight="1" x14ac:dyDescent="0.25">
      <c r="M83" s="351"/>
      <c r="N83" s="352"/>
      <c r="O83" s="341" t="s">
        <v>151</v>
      </c>
      <c r="P83" s="341"/>
      <c r="Q83" s="33">
        <v>0.2</v>
      </c>
      <c r="R83" s="26"/>
      <c r="AT83" s="111">
        <v>2</v>
      </c>
      <c r="AU83" s="64" t="s">
        <v>269</v>
      </c>
      <c r="AV83" s="64" t="str">
        <f t="shared" si="13"/>
        <v>2 - Esterco de ovinos</v>
      </c>
      <c r="AW83" s="111">
        <v>2</v>
      </c>
    </row>
    <row r="84" spans="13:49" ht="20.25" customHeight="1" x14ac:dyDescent="0.25">
      <c r="M84" s="351"/>
      <c r="N84" s="352"/>
      <c r="O84" s="341"/>
      <c r="P84" s="341"/>
      <c r="Q84" s="33"/>
      <c r="R84" s="26"/>
      <c r="AT84" s="111">
        <v>3</v>
      </c>
      <c r="AU84" s="64" t="s">
        <v>269</v>
      </c>
      <c r="AV84" s="64" t="str">
        <f t="shared" si="13"/>
        <v>3 - Esterco de ovinos</v>
      </c>
      <c r="AW84" s="111">
        <v>3</v>
      </c>
    </row>
    <row r="85" spans="13:49" ht="20.2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T85" s="111">
        <v>4</v>
      </c>
      <c r="AU85" s="64" t="s">
        <v>269</v>
      </c>
      <c r="AV85" s="64" t="str">
        <f t="shared" si="13"/>
        <v>4 - Esterco de ovinos</v>
      </c>
      <c r="AW85" s="111">
        <v>4</v>
      </c>
    </row>
    <row r="86" spans="13:49" ht="20.2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T86" s="111">
        <v>0</v>
      </c>
      <c r="AU86" s="64" t="s">
        <v>270</v>
      </c>
      <c r="AV86" s="64" t="str">
        <f t="shared" si="13"/>
        <v>0 - Lodo de esgosto</v>
      </c>
      <c r="AW86" s="111">
        <v>3</v>
      </c>
    </row>
    <row r="87" spans="13:49" ht="20.25" customHeight="1" x14ac:dyDescent="0.25">
      <c r="M87" s="351"/>
      <c r="N87" s="352"/>
      <c r="O87" s="104"/>
      <c r="P87" s="104"/>
      <c r="Q87" s="10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11">
        <v>1</v>
      </c>
      <c r="AU87" s="64" t="s">
        <v>270</v>
      </c>
      <c r="AV87" s="64" t="str">
        <f t="shared" si="13"/>
        <v>1 - Lodo de esgosto</v>
      </c>
      <c r="AW87" s="11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11">
        <v>2</v>
      </c>
      <c r="AU88" s="64" t="s">
        <v>270</v>
      </c>
      <c r="AV88" s="64" t="str">
        <f t="shared" si="13"/>
        <v>2 - Lodo de esgosto</v>
      </c>
      <c r="AW88" s="11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11">
        <v>3</v>
      </c>
      <c r="AU89" s="64" t="s">
        <v>270</v>
      </c>
      <c r="AV89" s="64" t="str">
        <f t="shared" si="13"/>
        <v>3 - Lodo de esgosto</v>
      </c>
      <c r="AW89" s="111">
        <v>3</v>
      </c>
    </row>
    <row r="90" spans="13:49" ht="20.25" customHeight="1" x14ac:dyDescent="0.25">
      <c r="M90" s="351"/>
      <c r="N90" s="352"/>
      <c r="O90" s="341" t="s">
        <v>95</v>
      </c>
      <c r="P90" s="341"/>
      <c r="Q90" s="33">
        <v>0.5</v>
      </c>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11">
        <v>4</v>
      </c>
      <c r="AU90" s="64" t="s">
        <v>270</v>
      </c>
      <c r="AV90" s="64" t="str">
        <f t="shared" si="13"/>
        <v>4 - Lodo de esgosto</v>
      </c>
      <c r="AW90" s="111">
        <v>4</v>
      </c>
    </row>
    <row r="91" spans="13:49" ht="20.25" customHeight="1" x14ac:dyDescent="0.25">
      <c r="M91" s="351"/>
      <c r="N91" s="352"/>
      <c r="O91" s="341" t="s">
        <v>192</v>
      </c>
      <c r="P91" s="341"/>
      <c r="Q91" s="33">
        <v>0.5</v>
      </c>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11">
        <v>0</v>
      </c>
      <c r="AU91" s="64" t="s">
        <v>271</v>
      </c>
      <c r="AV91" s="64" t="str">
        <f t="shared" si="13"/>
        <v>0 - Compostos orgânicos</v>
      </c>
      <c r="AW91" s="11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11">
        <v>1</v>
      </c>
      <c r="AU92" s="64" t="s">
        <v>271</v>
      </c>
      <c r="AV92" s="64" t="str">
        <f t="shared" si="13"/>
        <v>1 - Compostos orgânicos</v>
      </c>
      <c r="AW92" s="111">
        <v>1</v>
      </c>
    </row>
    <row r="93" spans="13:49" ht="20.25" customHeight="1" x14ac:dyDescent="0.25">
      <c r="M93" s="105"/>
      <c r="N93" s="104"/>
      <c r="O93" s="104"/>
      <c r="P93" s="104"/>
      <c r="Q93" s="10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11">
        <v>2</v>
      </c>
      <c r="AU93" s="64" t="s">
        <v>271</v>
      </c>
      <c r="AV93" s="64" t="str">
        <f t="shared" si="13"/>
        <v>2 - Compostos orgânicos</v>
      </c>
      <c r="AW93" s="111">
        <v>2</v>
      </c>
    </row>
    <row r="94" spans="13:49" ht="20.25" customHeight="1" x14ac:dyDescent="0.25">
      <c r="M94" s="105"/>
      <c r="N94" s="10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11">
        <v>3</v>
      </c>
      <c r="AU94" s="64" t="s">
        <v>271</v>
      </c>
      <c r="AV94" s="64" t="str">
        <f t="shared" si="13"/>
        <v>3 - Compostos orgânicos</v>
      </c>
      <c r="AW94" s="111">
        <v>3</v>
      </c>
    </row>
    <row r="95" spans="13:49" ht="20.25" customHeight="1" thickBot="1" x14ac:dyDescent="0.3">
      <c r="M95" s="75"/>
      <c r="N95" s="117"/>
      <c r="O95" s="117"/>
      <c r="P95" s="117"/>
      <c r="Q95" s="117"/>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11">
        <v>4</v>
      </c>
      <c r="AU95" s="64" t="s">
        <v>271</v>
      </c>
      <c r="AV95" s="64" t="str">
        <f t="shared" si="13"/>
        <v>4 - Compostos orgânicos</v>
      </c>
      <c r="AW95" s="111">
        <v>4</v>
      </c>
    </row>
    <row r="96" spans="13:49" ht="20.25" customHeight="1" thickBot="1" x14ac:dyDescent="0.3"/>
    <row r="97" spans="1:41" ht="20.25" customHeight="1" x14ac:dyDescent="0.25">
      <c r="A97" s="59"/>
      <c r="M97" s="72"/>
      <c r="N97" s="118"/>
      <c r="O97" s="118"/>
      <c r="P97" s="118"/>
      <c r="Q97" s="118"/>
      <c r="R97" s="74"/>
    </row>
    <row r="98" spans="1:41" ht="20.2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22"/>
      <c r="M99" s="351" t="s">
        <v>243</v>
      </c>
      <c r="N99" s="361"/>
      <c r="O99" s="45">
        <f>$AC$30</f>
        <v>70</v>
      </c>
      <c r="P99" s="45">
        <f>$AC$31</f>
        <v>40</v>
      </c>
      <c r="Q99" s="45">
        <f>$AC$32</f>
        <v>120</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row>
    <row r="100" spans="1:41" ht="20.25" customHeight="1" x14ac:dyDescent="0.25">
      <c r="A100" s="104"/>
      <c r="M100" s="351" t="s">
        <v>251</v>
      </c>
      <c r="N100" s="361"/>
      <c r="O100" s="2">
        <f>AS21</f>
        <v>0</v>
      </c>
      <c r="P100" s="2">
        <f>AT21</f>
        <v>0</v>
      </c>
      <c r="Q100" s="2">
        <f>AU21</f>
        <v>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t="s">
        <v>301</v>
      </c>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t="s">
        <v>238</v>
      </c>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t="s">
        <v>96</v>
      </c>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t="s">
        <v>97</v>
      </c>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05" t="s">
        <v>243</v>
      </c>
      <c r="N114" s="45">
        <f>AS26</f>
        <v>1.2</v>
      </c>
      <c r="O114" s="45">
        <f>AT26</f>
        <v>1.2</v>
      </c>
      <c r="P114" s="45">
        <f>AU26</f>
        <v>3.5999999999999996</v>
      </c>
      <c r="Q114" s="45">
        <f>AV26</f>
        <v>3.5999999999999996</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05" t="s">
        <v>251</v>
      </c>
      <c r="N115" s="2">
        <f>AW45</f>
        <v>0</v>
      </c>
      <c r="O115" s="2">
        <f>AX45</f>
        <v>0</v>
      </c>
      <c r="P115" s="2">
        <f>AY45</f>
        <v>0</v>
      </c>
      <c r="Q115" s="2">
        <f>AZ45</f>
        <v>0</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20.2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$AE$31:$AE$33</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T46" sqref="T46"/>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f>$AC$30</f>
        <v>264</v>
      </c>
      <c r="AT5" s="18" t="e">
        <f>$AC$31</f>
        <v>#N/A</v>
      </c>
      <c r="AU5" s="18" t="e">
        <f>$AC$32</f>
        <v>#N/A</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f>IF(AJ9="Baixo",AL9,0)</f>
        <v>0.6</v>
      </c>
      <c r="AL9" s="340">
        <f>(AM9*1000)/$E$18</f>
        <v>0.6</v>
      </c>
      <c r="AM9" s="338">
        <v>1</v>
      </c>
      <c r="AO9" s="10"/>
      <c r="AP9" s="10"/>
      <c r="AQ9" s="10"/>
      <c r="AR9" s="10"/>
      <c r="AS9" s="48">
        <f>AS5-(SUM(AS6:AS8))</f>
        <v>264</v>
      </c>
      <c r="AT9" s="48" t="e">
        <f>AT5-(SUM(AT6:AT8))</f>
        <v>#N/A</v>
      </c>
      <c r="AU9" s="48" t="e">
        <f>AU5-(SUM(AU6:AU8))</f>
        <v>#N/A</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f>AS9</f>
        <v>264</v>
      </c>
      <c r="AT11" s="18" t="e">
        <f t="shared" ref="AT11:AU11" si="0">AT9</f>
        <v>#N/A</v>
      </c>
      <c r="AU11" s="18" t="e">
        <f t="shared" si="0"/>
        <v>#N/A</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f>IF(AJ12="Baixo",AL12,0)</f>
        <v>0.3</v>
      </c>
      <c r="AL12" s="340">
        <f>(AM12*1000)/$E$18</f>
        <v>0.3</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f>IF(AJ15="Baixo",AL15,0)</f>
        <v>0.6</v>
      </c>
      <c r="AL15" s="340">
        <f>(AM15*1000)/$E$18</f>
        <v>0.6</v>
      </c>
      <c r="AM15" s="338">
        <v>1</v>
      </c>
      <c r="AO15" s="10"/>
      <c r="AP15" s="10"/>
      <c r="AQ15" s="10"/>
      <c r="AR15" s="10"/>
      <c r="AS15" s="48">
        <f>AS11-(SUM(AS12:AS14))</f>
        <v>264</v>
      </c>
      <c r="AT15" s="48" t="e">
        <f>AT11-(SUM(AT12:AT14))</f>
        <v>#N/A</v>
      </c>
      <c r="AU15" s="48" t="e">
        <f>AU11-(SUM(AU12:AU14))</f>
        <v>#N/A</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264</v>
      </c>
      <c r="AT17" s="18" t="e">
        <f t="shared" ref="AT17:AU17" si="1">AT15</f>
        <v>#N/A</v>
      </c>
      <c r="AU17" s="18" t="e">
        <f t="shared" si="1"/>
        <v>#N/A</v>
      </c>
      <c r="AV17" s="364"/>
      <c r="AW17" s="10"/>
      <c r="AX17" s="10"/>
      <c r="AY17" s="10"/>
      <c r="AZ17" s="10"/>
      <c r="BA17" s="10"/>
      <c r="BB17" s="10"/>
    </row>
    <row r="18" spans="2:54" ht="19.5" customHeight="1" x14ac:dyDescent="0.25">
      <c r="B18" s="339" t="s">
        <v>123</v>
      </c>
      <c r="C18" s="339"/>
      <c r="D18" s="339"/>
      <c r="E18" s="94">
        <f>IFERROR(IF(ISERR(P35),Q35,IF(ISERR(Q35),P35)),"-")</f>
        <v>1666.6666666666667</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f>IF(AJ18="Baixo",AL18,0)</f>
        <v>3</v>
      </c>
      <c r="AL18" s="340">
        <f>(AM18*1000)/$E$18</f>
        <v>3</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264</v>
      </c>
      <c r="AT21" s="48" t="e">
        <f t="shared" ref="AT21:AU21" si="2">AT17-(SUM(AT18:AT20))</f>
        <v>#N/A</v>
      </c>
      <c r="AU21" s="48" t="e">
        <f t="shared" si="2"/>
        <v>#N/A</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U24" s="344" t="s">
        <v>297</v>
      </c>
      <c r="V24" s="345"/>
      <c r="W24" s="345"/>
      <c r="X24" s="345"/>
      <c r="Y24" s="345"/>
      <c r="Z24" s="346"/>
      <c r="AO24" s="10"/>
      <c r="AP24" s="10"/>
      <c r="AQ24" s="10"/>
      <c r="AR24" s="10"/>
      <c r="AS24" s="48">
        <f>AS26-(SUM(AS27:AS36))</f>
        <v>0.6</v>
      </c>
      <c r="AT24" s="48">
        <f t="shared" ref="AT24:AV24" si="3">AT26-(SUM(AT27:AT36))</f>
        <v>0.3</v>
      </c>
      <c r="AU24" s="48">
        <f t="shared" si="3"/>
        <v>0.6</v>
      </c>
      <c r="AV24" s="48">
        <f t="shared" si="3"/>
        <v>3</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U25" s="109" t="s">
        <v>281</v>
      </c>
      <c r="V25" s="109" t="s">
        <v>298</v>
      </c>
      <c r="W25" s="109" t="s">
        <v>75</v>
      </c>
      <c r="X25" s="109" t="s">
        <v>71</v>
      </c>
      <c r="Y25" s="109" t="s">
        <v>299</v>
      </c>
      <c r="Z25" s="109" t="s">
        <v>300</v>
      </c>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111" t="s">
        <v>50</v>
      </c>
      <c r="V26" s="111">
        <v>130000</v>
      </c>
      <c r="W26" s="111" t="s">
        <v>68</v>
      </c>
      <c r="X26" s="111" t="str">
        <f>CONCATENATE(U26," - ",W26)</f>
        <v>&lt; 20 - baixo</v>
      </c>
      <c r="Y26" s="111">
        <v>60000</v>
      </c>
      <c r="Z26" s="111">
        <v>230000</v>
      </c>
      <c r="AO26" s="10"/>
      <c r="AP26" s="414"/>
      <c r="AQ26" s="414"/>
      <c r="AR26" s="414"/>
      <c r="AS26" s="4">
        <f>AK9</f>
        <v>0.6</v>
      </c>
      <c r="AT26" s="4">
        <f>AK12</f>
        <v>0.3</v>
      </c>
      <c r="AU26" s="4">
        <f>AK15</f>
        <v>0.6</v>
      </c>
      <c r="AV26" s="4">
        <f>AK18</f>
        <v>3</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11" t="s">
        <v>50</v>
      </c>
      <c r="V27" s="111">
        <v>130000</v>
      </c>
      <c r="W27" s="111" t="s">
        <v>69</v>
      </c>
      <c r="X27" s="111" t="str">
        <f t="shared" ref="X27:X43" si="4">CONCATENATE(U27," - ",W27)</f>
        <v>&lt; 20 - medio</v>
      </c>
      <c r="Y27" s="111">
        <v>40000</v>
      </c>
      <c r="Z27" s="111">
        <v>190000</v>
      </c>
      <c r="AO27" s="10"/>
      <c r="AP27" s="334" t="s">
        <v>242</v>
      </c>
      <c r="AQ27" s="334" t="str">
        <f>B29</f>
        <v>-</v>
      </c>
      <c r="AR27" s="334"/>
      <c r="AS27" s="18">
        <f t="shared" ref="AS27:AS36" si="5">IFERROR(VLOOKUP(AQ27,$V$100:$AL$179,11,0)*0.01*VLOOKUP(AQ27,$B$27:$J$47,9,0),0)</f>
        <v>0</v>
      </c>
      <c r="AT27" s="18">
        <f t="shared" ref="AT27:AT36" si="6">IFERROR(VLOOKUP(AQ27,$V$100:$AL$179,12,0)*0.01*VLOOKUP(AQ27,$B$27:$J$47,9,0),0)</f>
        <v>0</v>
      </c>
      <c r="AU27" s="18">
        <f t="shared" ref="AU27:AU36" si="7">IFERROR(VLOOKUP(AQ27,$V$100:$AL$179,13,0)*0.01*VLOOKUP(AQ27,$B$27:$J$47,9,0),0)</f>
        <v>0</v>
      </c>
      <c r="AV27" s="18">
        <f t="shared" ref="AV27:AV36" si="8">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50</v>
      </c>
      <c r="V28" s="111">
        <v>130000</v>
      </c>
      <c r="W28" s="111" t="s">
        <v>70</v>
      </c>
      <c r="X28" s="111" t="str">
        <f t="shared" si="4"/>
        <v>&lt; 20 - adequado</v>
      </c>
      <c r="Y28" s="111">
        <v>20000</v>
      </c>
      <c r="Z28" s="111">
        <v>150000</v>
      </c>
      <c r="AE28" s="111" t="s">
        <v>63</v>
      </c>
      <c r="AG28" s="109" t="s">
        <v>63</v>
      </c>
      <c r="AI28" s="30" t="s">
        <v>63</v>
      </c>
      <c r="AK28" s="30" t="s">
        <v>63</v>
      </c>
      <c r="AO28" s="10"/>
      <c r="AP28" s="334"/>
      <c r="AQ28" s="334" t="str">
        <f t="shared" ref="AQ28:AQ36" si="9">B41</f>
        <v>-</v>
      </c>
      <c r="AR28" s="334"/>
      <c r="AS28" s="18">
        <f t="shared" si="5"/>
        <v>0</v>
      </c>
      <c r="AT28" s="18">
        <f t="shared" si="6"/>
        <v>0</v>
      </c>
      <c r="AU28" s="18">
        <f t="shared" si="7"/>
        <v>0</v>
      </c>
      <c r="AV28" s="18">
        <f t="shared" si="8"/>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279</v>
      </c>
      <c r="V29" s="111">
        <v>160000</v>
      </c>
      <c r="W29" s="111" t="s">
        <v>68</v>
      </c>
      <c r="X29" s="111" t="str">
        <f t="shared" si="4"/>
        <v>20,1 - 30 - baixo</v>
      </c>
      <c r="Y29" s="111">
        <v>80000</v>
      </c>
      <c r="Z29" s="111">
        <v>290000</v>
      </c>
      <c r="AB29" s="413" t="s">
        <v>65</v>
      </c>
      <c r="AC29" s="413"/>
      <c r="AE29" s="111" t="s">
        <v>281</v>
      </c>
      <c r="AG29" s="109" t="s">
        <v>174</v>
      </c>
      <c r="AI29" s="30"/>
      <c r="AK29" s="109" t="s">
        <v>267</v>
      </c>
      <c r="AO29" s="10"/>
      <c r="AP29" s="334"/>
      <c r="AQ29" s="334" t="str">
        <f t="shared" si="9"/>
        <v>-</v>
      </c>
      <c r="AR29" s="334"/>
      <c r="AS29" s="18">
        <f t="shared" si="5"/>
        <v>0</v>
      </c>
      <c r="AT29" s="18">
        <f t="shared" si="6"/>
        <v>0</v>
      </c>
      <c r="AU29" s="18">
        <f t="shared" si="7"/>
        <v>0</v>
      </c>
      <c r="AV29" s="18">
        <f t="shared" si="8"/>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279</v>
      </c>
      <c r="V30" s="111">
        <v>160000</v>
      </c>
      <c r="W30" s="111" t="s">
        <v>69</v>
      </c>
      <c r="X30" s="111" t="str">
        <f t="shared" si="4"/>
        <v>20,1 - 30 - medio</v>
      </c>
      <c r="Y30" s="111">
        <v>50000</v>
      </c>
      <c r="Z30" s="111">
        <v>240000</v>
      </c>
      <c r="AB30" s="121" t="s">
        <v>33</v>
      </c>
      <c r="AC30" s="121">
        <f>VLOOKUP($P$39,$U$26:$V$43,2,0)/$E$18</f>
        <v>264</v>
      </c>
      <c r="AE30" s="111" t="s">
        <v>34</v>
      </c>
      <c r="AG30" s="109" t="s">
        <v>175</v>
      </c>
      <c r="AI30" s="30">
        <v>0</v>
      </c>
      <c r="AK30" s="109" t="s">
        <v>274</v>
      </c>
      <c r="AO30" s="10"/>
      <c r="AP30" s="334"/>
      <c r="AQ30" s="334" t="str">
        <f t="shared" si="9"/>
        <v>-</v>
      </c>
      <c r="AR30" s="334"/>
      <c r="AS30" s="18">
        <f t="shared" si="5"/>
        <v>0</v>
      </c>
      <c r="AT30" s="18">
        <f t="shared" si="6"/>
        <v>0</v>
      </c>
      <c r="AU30" s="18">
        <f t="shared" si="7"/>
        <v>0</v>
      </c>
      <c r="AV30" s="18">
        <f t="shared" si="8"/>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279</v>
      </c>
      <c r="V31" s="111">
        <v>160000</v>
      </c>
      <c r="W31" s="111" t="s">
        <v>70</v>
      </c>
      <c r="X31" s="111" t="str">
        <f t="shared" si="4"/>
        <v>20,1 - 30 - adequado</v>
      </c>
      <c r="Y31" s="111">
        <v>30000</v>
      </c>
      <c r="Z31" s="111">
        <v>190000</v>
      </c>
      <c r="AB31" s="121" t="s">
        <v>66</v>
      </c>
      <c r="AC31" s="121" t="e">
        <f>VLOOKUP(AB36,X26:Z43,2,0)/$E$18</f>
        <v>#N/A</v>
      </c>
      <c r="AE31" s="111" t="s">
        <v>50</v>
      </c>
      <c r="AG31" s="31">
        <f>10000/((($O$32/2)+($P$32/2))*$Q$32)</f>
        <v>1666.6666666666667</v>
      </c>
      <c r="AI31" s="30">
        <v>0.1</v>
      </c>
      <c r="AK31" s="109" t="s">
        <v>148</v>
      </c>
      <c r="AO31" s="10"/>
      <c r="AP31" s="334"/>
      <c r="AQ31" s="334" t="str">
        <f t="shared" si="9"/>
        <v>-</v>
      </c>
      <c r="AR31" s="334"/>
      <c r="AS31" s="18">
        <f t="shared" si="5"/>
        <v>0</v>
      </c>
      <c r="AT31" s="18">
        <f t="shared" si="6"/>
        <v>0</v>
      </c>
      <c r="AU31" s="18">
        <f t="shared" si="7"/>
        <v>0</v>
      </c>
      <c r="AV31" s="18">
        <f t="shared" si="8"/>
        <v>0</v>
      </c>
      <c r="AW31" s="10"/>
      <c r="AX31" s="10"/>
      <c r="AY31" s="10"/>
      <c r="AZ31" s="10"/>
      <c r="BA31" s="10"/>
      <c r="BB31" s="10"/>
    </row>
    <row r="32" spans="2:54" ht="19.5" customHeight="1" x14ac:dyDescent="0.25">
      <c r="B32" s="439"/>
      <c r="C32" s="439"/>
      <c r="D32" s="439"/>
      <c r="E32" s="439"/>
      <c r="F32" s="439"/>
      <c r="G32" s="439"/>
      <c r="H32" s="439"/>
      <c r="I32" s="439"/>
      <c r="J32" s="65"/>
      <c r="M32" s="351"/>
      <c r="N32" s="361"/>
      <c r="O32" s="8">
        <v>4</v>
      </c>
      <c r="P32" s="8">
        <v>2</v>
      </c>
      <c r="Q32" s="8">
        <v>2</v>
      </c>
      <c r="R32" s="26"/>
      <c r="U32" s="111" t="s">
        <v>303</v>
      </c>
      <c r="V32" s="111">
        <v>230000</v>
      </c>
      <c r="W32" s="111" t="s">
        <v>68</v>
      </c>
      <c r="X32" s="111" t="str">
        <f t="shared" si="4"/>
        <v>30,1 - 40 - baixo</v>
      </c>
      <c r="Y32" s="111">
        <v>110000</v>
      </c>
      <c r="Z32" s="111">
        <v>410000</v>
      </c>
      <c r="AB32" s="121" t="s">
        <v>67</v>
      </c>
      <c r="AC32" s="121" t="e">
        <f>VLOOKUP($AB$39,X26:Z43,3,0)/$E$18</f>
        <v>#N/A</v>
      </c>
      <c r="AE32" s="111" t="s">
        <v>279</v>
      </c>
      <c r="AI32" s="30">
        <v>0.2</v>
      </c>
      <c r="AK32" s="109" t="s">
        <v>273</v>
      </c>
      <c r="AO32" s="10"/>
      <c r="AP32" s="334"/>
      <c r="AQ32" s="334" t="str">
        <f t="shared" si="9"/>
        <v>-</v>
      </c>
      <c r="AR32" s="334"/>
      <c r="AS32" s="18">
        <f t="shared" si="5"/>
        <v>0</v>
      </c>
      <c r="AT32" s="18">
        <f t="shared" si="6"/>
        <v>0</v>
      </c>
      <c r="AU32" s="18">
        <f t="shared" si="7"/>
        <v>0</v>
      </c>
      <c r="AV32" s="18">
        <f t="shared" si="8"/>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303</v>
      </c>
      <c r="V33" s="111">
        <v>230000</v>
      </c>
      <c r="W33" s="111" t="s">
        <v>69</v>
      </c>
      <c r="X33" s="111" t="str">
        <f t="shared" si="4"/>
        <v>30,1 - 40 - medio</v>
      </c>
      <c r="Y33" s="111">
        <v>70000</v>
      </c>
      <c r="Z33" s="111">
        <v>340000</v>
      </c>
      <c r="AE33" s="111" t="s">
        <v>303</v>
      </c>
      <c r="AI33" s="30">
        <v>0.3</v>
      </c>
      <c r="AK33" s="109" t="s">
        <v>273</v>
      </c>
      <c r="AO33" s="10"/>
      <c r="AP33" s="334"/>
      <c r="AQ33" s="334" t="str">
        <f t="shared" si="9"/>
        <v>-</v>
      </c>
      <c r="AR33" s="334"/>
      <c r="AS33" s="18">
        <f t="shared" si="5"/>
        <v>0</v>
      </c>
      <c r="AT33" s="18">
        <f t="shared" si="6"/>
        <v>0</v>
      </c>
      <c r="AU33" s="18">
        <f t="shared" si="7"/>
        <v>0</v>
      </c>
      <c r="AV33" s="18">
        <f t="shared" si="8"/>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303</v>
      </c>
      <c r="V34" s="111">
        <v>230000</v>
      </c>
      <c r="W34" s="111" t="s">
        <v>70</v>
      </c>
      <c r="X34" s="111" t="str">
        <f t="shared" si="4"/>
        <v>30,1 - 40 - adequado</v>
      </c>
      <c r="Y34" s="111">
        <v>40000</v>
      </c>
      <c r="Z34" s="111">
        <v>270000</v>
      </c>
      <c r="AE34" s="111" t="s">
        <v>305</v>
      </c>
      <c r="AI34" s="30">
        <v>0.4</v>
      </c>
      <c r="AK34" s="109" t="s">
        <v>273</v>
      </c>
      <c r="AO34" s="10"/>
      <c r="AP34" s="334"/>
      <c r="AQ34" s="334" t="str">
        <f t="shared" si="9"/>
        <v>-</v>
      </c>
      <c r="AR34" s="334"/>
      <c r="AS34" s="18">
        <f t="shared" si="5"/>
        <v>0</v>
      </c>
      <c r="AT34" s="18">
        <f t="shared" si="6"/>
        <v>0</v>
      </c>
      <c r="AU34" s="18">
        <f t="shared" si="7"/>
        <v>0</v>
      </c>
      <c r="AV34" s="18">
        <f t="shared" si="8"/>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f>10000/((($O$32/2)+($P$32/2))*$Q$32)</f>
        <v>1666.6666666666667</v>
      </c>
      <c r="R35" s="77"/>
      <c r="U35" s="111" t="s">
        <v>305</v>
      </c>
      <c r="V35" s="111">
        <v>300000</v>
      </c>
      <c r="W35" s="111" t="s">
        <v>68</v>
      </c>
      <c r="X35" s="111" t="str">
        <f t="shared" si="4"/>
        <v>40,1 - 50 - baixo</v>
      </c>
      <c r="Y35" s="111">
        <v>140000</v>
      </c>
      <c r="Z35" s="111">
        <v>520000</v>
      </c>
      <c r="AB35" s="340" t="s">
        <v>72</v>
      </c>
      <c r="AC35" s="340"/>
      <c r="AE35" s="111" t="s">
        <v>319</v>
      </c>
      <c r="AI35" s="30">
        <v>0.5</v>
      </c>
      <c r="AK35" s="109" t="s">
        <v>269</v>
      </c>
      <c r="AO35" s="10"/>
      <c r="AP35" s="334"/>
      <c r="AQ35" s="334" t="str">
        <f t="shared" si="9"/>
        <v>-</v>
      </c>
      <c r="AR35" s="334"/>
      <c r="AS35" s="18">
        <f t="shared" si="5"/>
        <v>0</v>
      </c>
      <c r="AT35" s="18">
        <f t="shared" si="6"/>
        <v>0</v>
      </c>
      <c r="AU35" s="18">
        <f t="shared" si="7"/>
        <v>0</v>
      </c>
      <c r="AV35" s="18">
        <f t="shared" si="8"/>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305</v>
      </c>
      <c r="V36" s="111">
        <v>300000</v>
      </c>
      <c r="W36" s="111" t="s">
        <v>69</v>
      </c>
      <c r="X36" s="111" t="str">
        <f t="shared" si="4"/>
        <v>40,1 - 50 - medio</v>
      </c>
      <c r="Y36" s="111">
        <v>90000</v>
      </c>
      <c r="Z36" s="111">
        <v>430000</v>
      </c>
      <c r="AB36" s="340" t="str">
        <f>CONCATENATE($P$39," - ",$AD$8)</f>
        <v>&gt; 60 - baixo</v>
      </c>
      <c r="AC36" s="340"/>
      <c r="AE36" s="111" t="s">
        <v>38</v>
      </c>
      <c r="AI36" s="30">
        <v>0.6</v>
      </c>
      <c r="AK36" s="109" t="s">
        <v>270</v>
      </c>
      <c r="AO36" s="10"/>
      <c r="AP36" s="334"/>
      <c r="AQ36" s="334" t="str">
        <f t="shared" si="9"/>
        <v>-</v>
      </c>
      <c r="AR36" s="334"/>
      <c r="AS36" s="18">
        <f t="shared" si="5"/>
        <v>0</v>
      </c>
      <c r="AT36" s="18">
        <f t="shared" si="6"/>
        <v>0</v>
      </c>
      <c r="AU36" s="18">
        <f t="shared" si="7"/>
        <v>0</v>
      </c>
      <c r="AV36" s="18">
        <f t="shared" si="8"/>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305</v>
      </c>
      <c r="V37" s="111">
        <v>300000</v>
      </c>
      <c r="W37" s="111" t="s">
        <v>70</v>
      </c>
      <c r="X37" s="111" t="str">
        <f t="shared" si="4"/>
        <v>40,1 - 50 - adequado</v>
      </c>
      <c r="Y37" s="111">
        <v>50000</v>
      </c>
      <c r="Z37" s="111">
        <v>340000</v>
      </c>
      <c r="AI37" s="30">
        <v>0.7</v>
      </c>
      <c r="AK37" s="109" t="s">
        <v>271</v>
      </c>
      <c r="AO37" s="49"/>
      <c r="AP37" s="49"/>
      <c r="AQ37" s="49"/>
      <c r="AR37" s="49"/>
      <c r="AS37" s="48">
        <f>IF(AS24&gt;0,AS24,0)</f>
        <v>0.6</v>
      </c>
      <c r="AT37" s="48">
        <f>IF(AT24&gt;0,AT24,0)</f>
        <v>0.3</v>
      </c>
      <c r="AU37" s="48">
        <f>IF(AU24&gt;0,AU24,0)</f>
        <v>0.6</v>
      </c>
      <c r="AV37" s="48">
        <f>IF(AV24&gt;0,AV24,0)</f>
        <v>3</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319</v>
      </c>
      <c r="V38" s="111">
        <v>370000</v>
      </c>
      <c r="W38" s="111" t="s">
        <v>68</v>
      </c>
      <c r="X38" s="111" t="str">
        <f t="shared" si="4"/>
        <v>50,1 - 60 - baixo</v>
      </c>
      <c r="Y38" s="111">
        <v>170000</v>
      </c>
      <c r="Z38" s="111">
        <v>620000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38</v>
      </c>
      <c r="Q39" s="341"/>
      <c r="R39" s="26"/>
      <c r="U39" s="111" t="s">
        <v>319</v>
      </c>
      <c r="V39" s="111">
        <v>370000</v>
      </c>
      <c r="W39" s="111" t="s">
        <v>69</v>
      </c>
      <c r="X39" s="111" t="str">
        <f t="shared" si="4"/>
        <v>50,1 - 60 - medio</v>
      </c>
      <c r="Y39" s="111">
        <v>110000</v>
      </c>
      <c r="Z39" s="111">
        <v>520000</v>
      </c>
      <c r="AB39" s="340" t="str">
        <f>CONCATENATE($P$39," - ",$AD$22)</f>
        <v>&gt; 60 -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U40" s="111" t="s">
        <v>319</v>
      </c>
      <c r="V40" s="111">
        <v>370000</v>
      </c>
      <c r="W40" s="111" t="s">
        <v>70</v>
      </c>
      <c r="X40" s="111" t="str">
        <f t="shared" si="4"/>
        <v>50,1 - 60 - adequado</v>
      </c>
      <c r="Y40" s="111">
        <v>60000</v>
      </c>
      <c r="Z40" s="111">
        <v>420000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38</v>
      </c>
      <c r="V41" s="111">
        <v>440000</v>
      </c>
      <c r="W41" s="111" t="s">
        <v>320</v>
      </c>
      <c r="X41" s="111" t="str">
        <f t="shared" si="4"/>
        <v xml:space="preserve">&gt; 60 - baixo </v>
      </c>
      <c r="Y41" s="111">
        <v>200000</v>
      </c>
      <c r="Z41" s="111">
        <v>740000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U42" s="111" t="s">
        <v>38</v>
      </c>
      <c r="V42" s="111">
        <v>440000</v>
      </c>
      <c r="W42" s="111" t="s">
        <v>322</v>
      </c>
      <c r="X42" s="111" t="str">
        <f t="shared" si="4"/>
        <v>&gt; 60 - médio</v>
      </c>
      <c r="Y42" s="111">
        <v>130000</v>
      </c>
      <c r="Z42" s="111">
        <v>620000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U43" s="111" t="s">
        <v>38</v>
      </c>
      <c r="V43" s="111">
        <v>440000</v>
      </c>
      <c r="W43" s="111" t="s">
        <v>321</v>
      </c>
      <c r="X43" s="111" t="str">
        <f t="shared" si="4"/>
        <v>&gt; 60 - alto</v>
      </c>
      <c r="Y43" s="111">
        <v>70000</v>
      </c>
      <c r="Z43" s="111">
        <v>480000</v>
      </c>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f>AS37-(SUM(AW40:AW44))</f>
        <v>0.6</v>
      </c>
      <c r="AX45" s="48">
        <f>AT37-(SUM(AX40:AX44))</f>
        <v>0.3</v>
      </c>
      <c r="AY45" s="48">
        <f>AU37-(SUM(AY40:AY44))</f>
        <v>0.6</v>
      </c>
      <c r="AZ45" s="48">
        <f>AV37-(SUM(AZ40:AZ44))</f>
        <v>3</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f>$AC$30</f>
        <v>264</v>
      </c>
      <c r="P99" s="45" t="e">
        <f>$AC$31</f>
        <v>#N/A</v>
      </c>
      <c r="Q99" s="45" t="e">
        <f>$AC$32</f>
        <v>#N/A</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f>AS21</f>
        <v>264</v>
      </c>
      <c r="P100" s="2" t="e">
        <f>AT21</f>
        <v>#N/A</v>
      </c>
      <c r="Q100" s="2" t="e">
        <f>AU21</f>
        <v>#N/A</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f>AS26</f>
        <v>0.6</v>
      </c>
      <c r="O114" s="45">
        <f>AT26</f>
        <v>0.3</v>
      </c>
      <c r="P114" s="45">
        <f>AU26</f>
        <v>0.6</v>
      </c>
      <c r="Q114" s="45">
        <f>AV26</f>
        <v>3</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f>AW45</f>
        <v>0.6</v>
      </c>
      <c r="O115" s="2">
        <f>AX45</f>
        <v>0.3</v>
      </c>
      <c r="P115" s="2">
        <f>AY45</f>
        <v>0.6</v>
      </c>
      <c r="Q115" s="2">
        <f>AZ45</f>
        <v>3</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O88:Q88"/>
    <mergeCell ref="O89:Q89"/>
    <mergeCell ref="O90:P90"/>
    <mergeCell ref="O91:P91"/>
    <mergeCell ref="O92:P92"/>
    <mergeCell ref="M98:N98"/>
    <mergeCell ref="U98:U99"/>
    <mergeCell ref="V98:V9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W98:W99"/>
    <mergeCell ref="X98:AO98"/>
    <mergeCell ref="M99:N99"/>
    <mergeCell ref="U87:U95"/>
    <mergeCell ref="O94:Q94"/>
    <mergeCell ref="O83:P83"/>
    <mergeCell ref="O84:P84"/>
    <mergeCell ref="U85:U86"/>
    <mergeCell ref="O72:Q72"/>
    <mergeCell ref="O73:Q73"/>
    <mergeCell ref="U73:U82"/>
    <mergeCell ref="O74:P74"/>
    <mergeCell ref="V85:V86"/>
    <mergeCell ref="W85:W86"/>
    <mergeCell ref="X85:AE85"/>
    <mergeCell ref="O86:Q86"/>
    <mergeCell ref="O75:P75"/>
    <mergeCell ref="O76:P76"/>
    <mergeCell ref="O78:Q78"/>
    <mergeCell ref="O80:Q80"/>
    <mergeCell ref="O81:Q81"/>
    <mergeCell ref="O82:P82"/>
    <mergeCell ref="U71:U72"/>
    <mergeCell ref="V71:V72"/>
    <mergeCell ref="B67:E67"/>
    <mergeCell ref="F67:I67"/>
    <mergeCell ref="AQ57:AR57"/>
    <mergeCell ref="B58:C58"/>
    <mergeCell ref="E58:I58"/>
    <mergeCell ref="AQ58:AR58"/>
    <mergeCell ref="B59:C59"/>
    <mergeCell ref="E59:I59"/>
    <mergeCell ref="O68:Q68"/>
    <mergeCell ref="B64:E66"/>
    <mergeCell ref="F64:I66"/>
    <mergeCell ref="O66:Q67"/>
    <mergeCell ref="W71:W72"/>
    <mergeCell ref="X71:Z71"/>
    <mergeCell ref="M72:N92"/>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AM18:AM20"/>
    <mergeCell ref="AQ18:AR18"/>
    <mergeCell ref="AQ19:AR19"/>
    <mergeCell ref="B20:E20"/>
    <mergeCell ref="V20:X20"/>
    <mergeCell ref="AQ20:AR20"/>
    <mergeCell ref="U24:Z24"/>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$AE$31:$AE$36</formula1>
    </dataValidation>
    <dataValidation type="list" allowBlank="1" showInputMessage="1" showErrorMessage="1" sqref="O68 O176 N159 O174">
      <formula1>$AG$29:$AG$30</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U51" sqref="U51"/>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73"/>
      <c r="O3" s="73"/>
      <c r="P3" s="73"/>
      <c r="Q3" s="73"/>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81" t="s">
        <v>0</v>
      </c>
      <c r="R4" s="26"/>
      <c r="U4" s="343"/>
      <c r="V4" s="343"/>
      <c r="W4" s="343"/>
      <c r="X4" s="343"/>
      <c r="Y4" s="340"/>
      <c r="Z4" s="340"/>
      <c r="AA4" s="340"/>
      <c r="AB4" s="340"/>
      <c r="AC4" s="340"/>
      <c r="AD4" s="340"/>
      <c r="AO4" s="10"/>
      <c r="AP4" s="334" t="s">
        <v>239</v>
      </c>
      <c r="AQ4" s="334" t="s">
        <v>240</v>
      </c>
      <c r="AR4" s="334"/>
      <c r="AS4" s="71" t="s">
        <v>33</v>
      </c>
      <c r="AT4" s="71" t="s">
        <v>205</v>
      </c>
      <c r="AU4" s="71"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78" t="s">
        <v>1</v>
      </c>
      <c r="P5" s="8"/>
      <c r="Q5" s="78" t="s">
        <v>2</v>
      </c>
      <c r="R5" s="26"/>
      <c r="U5" s="343"/>
      <c r="V5" s="343"/>
      <c r="W5" s="343"/>
      <c r="X5" s="343"/>
      <c r="Y5" s="340"/>
      <c r="Z5" s="340"/>
      <c r="AA5" s="340"/>
      <c r="AB5" s="340"/>
      <c r="AC5" s="340"/>
      <c r="AD5" s="340"/>
      <c r="AO5" s="10"/>
      <c r="AP5" s="334"/>
      <c r="AQ5" s="334"/>
      <c r="AR5" s="334"/>
      <c r="AS5" s="18">
        <f>$AC$30</f>
        <v>40</v>
      </c>
      <c r="AT5" s="18">
        <f>$AC$31</f>
        <v>100</v>
      </c>
      <c r="AU5" s="18">
        <f>$AC$32</f>
        <v>70</v>
      </c>
      <c r="AV5" s="364"/>
      <c r="AW5" s="10"/>
      <c r="AX5" s="10"/>
      <c r="AY5" s="10"/>
      <c r="AZ5" s="10"/>
      <c r="BA5" s="10"/>
      <c r="BB5" s="10"/>
    </row>
    <row r="6" spans="1:54" ht="20.25" customHeight="1" x14ac:dyDescent="0.25">
      <c r="B6" s="90"/>
      <c r="C6" s="90"/>
      <c r="D6" s="90"/>
      <c r="E6" s="90"/>
      <c r="F6" s="90"/>
      <c r="G6" s="90"/>
      <c r="H6" s="90"/>
      <c r="I6" s="90"/>
      <c r="M6" s="351"/>
      <c r="N6" s="361"/>
      <c r="O6" s="78" t="s">
        <v>3</v>
      </c>
      <c r="P6" s="9"/>
      <c r="Q6" s="78" t="s">
        <v>55</v>
      </c>
      <c r="R6" s="26"/>
      <c r="U6" s="78" t="s">
        <v>29</v>
      </c>
      <c r="V6" s="340" t="s">
        <v>51</v>
      </c>
      <c r="W6" s="340"/>
      <c r="X6" s="340"/>
      <c r="Y6" s="340"/>
      <c r="Z6" s="340"/>
      <c r="AA6" s="340"/>
      <c r="AB6" s="340"/>
      <c r="AC6" s="340"/>
      <c r="AD6" s="340"/>
      <c r="AO6" s="10"/>
      <c r="AP6" s="71">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78" t="s">
        <v>4</v>
      </c>
      <c r="P7" s="8"/>
      <c r="Q7" s="78" t="s">
        <v>55</v>
      </c>
      <c r="R7" s="26"/>
      <c r="U7" s="78" t="s">
        <v>23</v>
      </c>
      <c r="V7" s="78" t="s">
        <v>25</v>
      </c>
      <c r="W7" s="78" t="s">
        <v>26</v>
      </c>
      <c r="X7" s="78" t="s">
        <v>31</v>
      </c>
      <c r="Y7" s="78" t="s">
        <v>53</v>
      </c>
      <c r="Z7" s="340" t="s">
        <v>54</v>
      </c>
      <c r="AA7" s="340"/>
      <c r="AB7" s="340"/>
      <c r="AC7" s="78" t="s">
        <v>57</v>
      </c>
      <c r="AD7" s="78" t="s">
        <v>58</v>
      </c>
      <c r="AF7" s="335" t="s">
        <v>228</v>
      </c>
      <c r="AG7" s="335"/>
      <c r="AH7" s="335"/>
      <c r="AI7" s="335"/>
      <c r="AJ7" s="335"/>
      <c r="AK7" s="335"/>
      <c r="AL7" s="335"/>
      <c r="AM7" s="335"/>
      <c r="AO7" s="10"/>
      <c r="AP7" s="71">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78" t="s">
        <v>5</v>
      </c>
      <c r="P8" s="9"/>
      <c r="Q8" s="102" t="s">
        <v>55</v>
      </c>
      <c r="R8" s="26"/>
      <c r="U8" s="78" t="s">
        <v>37</v>
      </c>
      <c r="V8" s="78" t="s">
        <v>39</v>
      </c>
      <c r="W8" s="78" t="s">
        <v>30</v>
      </c>
      <c r="X8" s="78" t="s">
        <v>43</v>
      </c>
      <c r="Y8" s="78" t="str">
        <f>IF($P$21&lt;=15.99,"correto","erro")</f>
        <v>correto</v>
      </c>
      <c r="Z8" s="78" t="str">
        <f>IF($P$13&lt;=12,"baixo","erro")</f>
        <v>baixo</v>
      </c>
      <c r="AA8" s="78" t="str">
        <f>IF(AND($P$13&gt;=12.01,$P$13&lt;=18),"medio","erro")</f>
        <v>erro</v>
      </c>
      <c r="AB8" s="78" t="str">
        <f>IF($P$13&gt;18,"adequado","erro")</f>
        <v>erro</v>
      </c>
      <c r="AC8" s="78" t="str">
        <f>IF(Z8="baixo","baixo",IF(AA8="medio","medio",IF(AB8="adequado","adequado",0)))</f>
        <v>baixo</v>
      </c>
      <c r="AD8" s="340" t="str">
        <f>VLOOKUP("correto",Y8:AC11,5,0)</f>
        <v>baixo</v>
      </c>
      <c r="AF8" s="78" t="s">
        <v>231</v>
      </c>
      <c r="AG8" s="335" t="s">
        <v>229</v>
      </c>
      <c r="AH8" s="335"/>
      <c r="AI8" s="340" t="s">
        <v>230</v>
      </c>
      <c r="AJ8" s="340"/>
      <c r="AK8" s="78" t="s">
        <v>58</v>
      </c>
      <c r="AL8" s="78" t="s">
        <v>244</v>
      </c>
      <c r="AM8" s="78" t="s">
        <v>247</v>
      </c>
      <c r="AO8" s="10"/>
      <c r="AP8" s="71">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78" t="s">
        <v>6</v>
      </c>
      <c r="P9" s="8"/>
      <c r="Q9" s="78" t="s">
        <v>55</v>
      </c>
      <c r="R9" s="26"/>
      <c r="U9" s="78" t="s">
        <v>27</v>
      </c>
      <c r="V9" s="78" t="s">
        <v>40</v>
      </c>
      <c r="W9" s="78" t="s">
        <v>44</v>
      </c>
      <c r="X9" s="78" t="s">
        <v>47</v>
      </c>
      <c r="Y9" s="78" t="str">
        <f>IF(AND($P$21&gt;15.99,P21&lt;34.99),"correto","erro")</f>
        <v>erro</v>
      </c>
      <c r="Z9" s="78" t="str">
        <f>IF($P$13&lt;=10,"baixo","erro")</f>
        <v>baixo</v>
      </c>
      <c r="AA9" s="78" t="str">
        <f>IF(AND($P$13&gt;=10.01,$P$13&lt;=15),"medio","erro")</f>
        <v>erro</v>
      </c>
      <c r="AB9" s="78" t="str">
        <f>IF($P$13&gt;15,"adequado","erro")</f>
        <v>erro</v>
      </c>
      <c r="AC9" s="78" t="str">
        <f>IF(Z9="baixo","baixo",IF(AA9="medio","medio",IF(AB9="adequado","adequado",0)))</f>
        <v>baixo</v>
      </c>
      <c r="AD9" s="340"/>
      <c r="AF9" s="335" t="s">
        <v>227</v>
      </c>
      <c r="AG9" s="88" t="s">
        <v>25</v>
      </c>
      <c r="AH9" s="88" t="s">
        <v>223</v>
      </c>
      <c r="AI9" s="78"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40</v>
      </c>
      <c r="AT9" s="48">
        <f>AT5-(SUM(AT6:AT8))</f>
        <v>100</v>
      </c>
      <c r="AU9" s="48">
        <f>AU5-(SUM(AU6:AU8))</f>
        <v>70</v>
      </c>
      <c r="AV9" s="48"/>
      <c r="AW9" s="10"/>
      <c r="AX9" s="10"/>
      <c r="AY9" s="10"/>
      <c r="AZ9" s="10"/>
      <c r="BA9" s="10"/>
      <c r="BB9" s="10"/>
    </row>
    <row r="10" spans="1:54" ht="20.25" customHeight="1" x14ac:dyDescent="0.25">
      <c r="B10" s="90"/>
      <c r="C10" s="90"/>
      <c r="D10" s="90"/>
      <c r="E10" s="90"/>
      <c r="F10" s="90"/>
      <c r="G10" s="90"/>
      <c r="H10" s="90"/>
      <c r="I10" s="90"/>
      <c r="M10" s="351"/>
      <c r="N10" s="361"/>
      <c r="O10" s="78" t="s">
        <v>7</v>
      </c>
      <c r="P10" s="9"/>
      <c r="Q10" s="78" t="s">
        <v>55</v>
      </c>
      <c r="R10" s="26"/>
      <c r="U10" s="78" t="s">
        <v>28</v>
      </c>
      <c r="V10" s="78" t="s">
        <v>41</v>
      </c>
      <c r="W10" s="78" t="s">
        <v>45</v>
      </c>
      <c r="X10" s="78" t="s">
        <v>48</v>
      </c>
      <c r="Y10" s="78" t="str">
        <f>IF(AND($P$21&gt;34.99,P21&lt;59.99),"correto","erro")</f>
        <v>erro</v>
      </c>
      <c r="Z10" s="78" t="str">
        <f>IF($P$13&lt;=5,"baixo","erro")</f>
        <v>baixo</v>
      </c>
      <c r="AA10" s="78" t="str">
        <f>IF(AND($P$13&gt;=5.01,$P$13&lt;=8),"medio","erro")</f>
        <v>erro</v>
      </c>
      <c r="AB10" s="78" t="str">
        <f>IF($P$13&gt;8,"adequado","erro")</f>
        <v>erro</v>
      </c>
      <c r="AC10" s="78" t="str">
        <f>IF(Z10="baixo","baixo",IF(AA10="medio","medio",IF(AB10="adequado","adequado",0)))</f>
        <v>baixo</v>
      </c>
      <c r="AD10" s="340"/>
      <c r="AF10" s="335"/>
      <c r="AG10" s="88" t="s">
        <v>26</v>
      </c>
      <c r="AH10" s="88" t="s">
        <v>219</v>
      </c>
      <c r="AI10" s="78" t="str">
        <f>IF(AND($P$14&gt;=0.201,$P$14&lt;=0.5),"medio","erro")</f>
        <v>erro</v>
      </c>
      <c r="AJ10" s="340"/>
      <c r="AK10" s="340"/>
      <c r="AL10" s="340"/>
      <c r="AM10" s="338"/>
      <c r="AO10" s="10"/>
      <c r="AP10" s="334" t="s">
        <v>239</v>
      </c>
      <c r="AQ10" s="334" t="s">
        <v>240</v>
      </c>
      <c r="AR10" s="334"/>
      <c r="AS10" s="71" t="s">
        <v>33</v>
      </c>
      <c r="AT10" s="71" t="s">
        <v>205</v>
      </c>
      <c r="AU10" s="71" t="s">
        <v>206</v>
      </c>
      <c r="AV10" s="363" t="s">
        <v>241</v>
      </c>
      <c r="AW10" s="10" t="s">
        <v>291</v>
      </c>
      <c r="AX10" s="10"/>
      <c r="AY10" s="10"/>
      <c r="AZ10" s="10"/>
      <c r="BA10" s="10"/>
      <c r="BB10" s="10"/>
    </row>
    <row r="11" spans="1:54" ht="20.25" customHeight="1" x14ac:dyDescent="0.25">
      <c r="B11" s="91" t="s">
        <v>109</v>
      </c>
      <c r="C11" s="323"/>
      <c r="D11" s="323"/>
      <c r="E11" s="323"/>
      <c r="F11" s="323"/>
      <c r="G11" s="323"/>
      <c r="H11" s="323"/>
      <c r="I11" s="324"/>
      <c r="M11" s="351"/>
      <c r="N11" s="361"/>
      <c r="O11" s="78" t="s">
        <v>8</v>
      </c>
      <c r="P11" s="8"/>
      <c r="Q11" s="78" t="s">
        <v>55</v>
      </c>
      <c r="R11" s="26"/>
      <c r="U11" s="78" t="s">
        <v>38</v>
      </c>
      <c r="V11" s="78" t="s">
        <v>42</v>
      </c>
      <c r="W11" s="78" t="s">
        <v>46</v>
      </c>
      <c r="X11" s="78" t="s">
        <v>49</v>
      </c>
      <c r="Y11" s="78" t="str">
        <f>IF($P$21&gt;59.99,"correto","erro")</f>
        <v>erro</v>
      </c>
      <c r="Z11" s="78" t="str">
        <f>IF($P$13&lt;=3,"baixo","erro")</f>
        <v>baixo</v>
      </c>
      <c r="AA11" s="78" t="str">
        <f>IF(AND($P$13&gt;=3.01,$P$13&lt;=6),"medio","erro")</f>
        <v>erro</v>
      </c>
      <c r="AB11" s="78" t="str">
        <f>IF($P$13&gt;6,"adequado","erro")</f>
        <v>erro</v>
      </c>
      <c r="AC11" s="78" t="str">
        <f>IF(Z11="baixo","baixo",IF(AA11="medio","medio",IF(AB11="adequado","adequado",0)))</f>
        <v>baixo</v>
      </c>
      <c r="AD11" s="340"/>
      <c r="AF11" s="335"/>
      <c r="AG11" s="88" t="s">
        <v>215</v>
      </c>
      <c r="AH11" s="88" t="s">
        <v>214</v>
      </c>
      <c r="AI11" s="78" t="str">
        <f>IF($P$14&gt;0.5,"adequado","erro")</f>
        <v>erro</v>
      </c>
      <c r="AJ11" s="340"/>
      <c r="AK11" s="340"/>
      <c r="AL11" s="340"/>
      <c r="AM11" s="338"/>
      <c r="AO11" s="10"/>
      <c r="AP11" s="334"/>
      <c r="AQ11" s="334"/>
      <c r="AR11" s="334"/>
      <c r="AS11" s="18">
        <f>AS9</f>
        <v>40</v>
      </c>
      <c r="AT11" s="18">
        <f t="shared" ref="AT11:AU11" si="0">AT9</f>
        <v>100</v>
      </c>
      <c r="AU11" s="18">
        <f t="shared" si="0"/>
        <v>70</v>
      </c>
      <c r="AV11" s="364"/>
      <c r="AW11" s="10"/>
      <c r="AX11" s="10"/>
      <c r="AY11" s="10"/>
      <c r="AZ11" s="10"/>
      <c r="BA11" s="10"/>
      <c r="BB11" s="10"/>
    </row>
    <row r="12" spans="1:54" ht="20.25" customHeight="1" x14ac:dyDescent="0.25">
      <c r="B12" s="92" t="s">
        <v>110</v>
      </c>
      <c r="C12" s="322"/>
      <c r="D12" s="323"/>
      <c r="E12" s="323"/>
      <c r="F12" s="323"/>
      <c r="G12" s="323"/>
      <c r="H12" s="323"/>
      <c r="I12" s="324"/>
      <c r="M12" s="351"/>
      <c r="N12" s="361"/>
      <c r="O12" s="78" t="s">
        <v>9</v>
      </c>
      <c r="P12" s="9"/>
      <c r="Q12" s="78" t="s">
        <v>10</v>
      </c>
      <c r="R12" s="26"/>
      <c r="AF12" s="335" t="s">
        <v>226</v>
      </c>
      <c r="AG12" s="88" t="s">
        <v>25</v>
      </c>
      <c r="AH12" s="88" t="s">
        <v>222</v>
      </c>
      <c r="AI12" s="78" t="str">
        <f>IF($P$16&lt;=0.4,"baixo","erro")</f>
        <v>baixo</v>
      </c>
      <c r="AJ12" s="340" t="str">
        <f>IF($AI$12="baixo","baixo",IF($AI$13="medio","medio",IF($AI$14="adequado","adequado",0)))</f>
        <v>baixo</v>
      </c>
      <c r="AK12" s="340" t="e">
        <f>IF(AJ12="Baixo",AL12,0)</f>
        <v>#VALUE!</v>
      </c>
      <c r="AL12" s="340" t="e">
        <f>(AM12*1000)/$E$18</f>
        <v>#VALUE!</v>
      </c>
      <c r="AM12" s="338">
        <v>2</v>
      </c>
      <c r="AO12" s="10"/>
      <c r="AP12" s="71">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92" t="s">
        <v>111</v>
      </c>
      <c r="C13" s="322"/>
      <c r="D13" s="323"/>
      <c r="E13" s="323"/>
      <c r="F13" s="323"/>
      <c r="G13" s="323"/>
      <c r="H13" s="323"/>
      <c r="I13" s="324"/>
      <c r="M13" s="351"/>
      <c r="N13" s="361"/>
      <c r="O13" s="78" t="s">
        <v>11</v>
      </c>
      <c r="P13" s="8"/>
      <c r="Q13" s="78" t="s">
        <v>12</v>
      </c>
      <c r="R13" s="26"/>
      <c r="AF13" s="335"/>
      <c r="AG13" s="88" t="s">
        <v>26</v>
      </c>
      <c r="AH13" s="88" t="s">
        <v>218</v>
      </c>
      <c r="AI13" s="78" t="str">
        <f>IF(AND($P$16&gt;=0.401,$P$16&lt;=0.8),"medio","erro")</f>
        <v>erro</v>
      </c>
      <c r="AJ13" s="340"/>
      <c r="AK13" s="340"/>
      <c r="AL13" s="340"/>
      <c r="AM13" s="338"/>
      <c r="AO13" s="10"/>
      <c r="AP13" s="71">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92" t="s">
        <v>112</v>
      </c>
      <c r="C14" s="322"/>
      <c r="D14" s="323"/>
      <c r="E14" s="323"/>
      <c r="F14" s="323"/>
      <c r="G14" s="324"/>
      <c r="H14" s="91" t="s">
        <v>113</v>
      </c>
      <c r="I14" s="93">
        <f ca="1">TODAY()</f>
        <v>44005</v>
      </c>
      <c r="M14" s="351"/>
      <c r="N14" s="361"/>
      <c r="O14" s="78" t="s">
        <v>13</v>
      </c>
      <c r="P14" s="9"/>
      <c r="Q14" s="78" t="s">
        <v>12</v>
      </c>
      <c r="R14" s="26"/>
      <c r="AF14" s="335"/>
      <c r="AG14" s="88" t="s">
        <v>215</v>
      </c>
      <c r="AH14" s="88" t="s">
        <v>213</v>
      </c>
      <c r="AI14" s="78" t="str">
        <f>IF($P$16&gt;0.8,"adequado","erro")</f>
        <v>erro</v>
      </c>
      <c r="AJ14" s="340"/>
      <c r="AK14" s="340"/>
      <c r="AL14" s="340"/>
      <c r="AM14" s="338"/>
      <c r="AO14" s="10"/>
      <c r="AP14" s="71">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78" t="s">
        <v>14</v>
      </c>
      <c r="P15" s="8"/>
      <c r="Q15" s="78" t="s">
        <v>12</v>
      </c>
      <c r="R15" s="26"/>
      <c r="AF15" s="335" t="s">
        <v>225</v>
      </c>
      <c r="AG15" s="88" t="s">
        <v>25</v>
      </c>
      <c r="AH15" s="88" t="s">
        <v>221</v>
      </c>
      <c r="AI15" s="78"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40</v>
      </c>
      <c r="AT15" s="48">
        <f>AT11-(SUM(AT12:AT14))</f>
        <v>100</v>
      </c>
      <c r="AU15" s="48">
        <f>AU11-(SUM(AU12:AU14))</f>
        <v>70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78" t="s">
        <v>15</v>
      </c>
      <c r="P16" s="9"/>
      <c r="Q16" s="78" t="s">
        <v>12</v>
      </c>
      <c r="R16" s="26"/>
      <c r="AF16" s="335"/>
      <c r="AG16" s="88" t="s">
        <v>26</v>
      </c>
      <c r="AH16" s="88" t="s">
        <v>217</v>
      </c>
      <c r="AI16" s="78" t="str">
        <f>IF(AND($P$18&gt;=1.901,$P$18&lt;=5),"medio","erro")</f>
        <v>erro</v>
      </c>
      <c r="AJ16" s="340"/>
      <c r="AK16" s="340"/>
      <c r="AL16" s="340"/>
      <c r="AM16" s="338"/>
      <c r="AO16" s="10"/>
      <c r="AP16" s="334" t="s">
        <v>239</v>
      </c>
      <c r="AQ16" s="334" t="s">
        <v>240</v>
      </c>
      <c r="AR16" s="334"/>
      <c r="AS16" s="71" t="s">
        <v>33</v>
      </c>
      <c r="AT16" s="71" t="s">
        <v>205</v>
      </c>
      <c r="AU16" s="71"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78" t="s">
        <v>16</v>
      </c>
      <c r="P17" s="8"/>
      <c r="Q17" s="78" t="s">
        <v>12</v>
      </c>
      <c r="R17" s="26"/>
      <c r="U17" s="343" t="s">
        <v>60</v>
      </c>
      <c r="V17" s="343"/>
      <c r="W17" s="343"/>
      <c r="X17" s="343"/>
      <c r="Y17" s="340" t="s">
        <v>59</v>
      </c>
      <c r="Z17" s="340"/>
      <c r="AA17" s="340"/>
      <c r="AB17" s="340"/>
      <c r="AC17" s="340"/>
      <c r="AD17" s="340"/>
      <c r="AF17" s="335"/>
      <c r="AG17" s="88" t="s">
        <v>215</v>
      </c>
      <c r="AH17" s="88" t="s">
        <v>212</v>
      </c>
      <c r="AI17" s="78" t="str">
        <f>IF($P$18&gt;5,"adequado","erro")</f>
        <v>erro</v>
      </c>
      <c r="AJ17" s="340"/>
      <c r="AK17" s="340"/>
      <c r="AL17" s="340"/>
      <c r="AM17" s="338"/>
      <c r="AO17" s="10"/>
      <c r="AP17" s="334"/>
      <c r="AQ17" s="334"/>
      <c r="AR17" s="334"/>
      <c r="AS17" s="18">
        <f>AS15</f>
        <v>40</v>
      </c>
      <c r="AT17" s="18">
        <f t="shared" ref="AT17:AU17" si="1">AT15</f>
        <v>100</v>
      </c>
      <c r="AU17" s="18">
        <f t="shared" si="1"/>
        <v>70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91">
        <f>O34</f>
        <v>0</v>
      </c>
      <c r="M18" s="351"/>
      <c r="N18" s="361"/>
      <c r="O18" s="78" t="s">
        <v>17</v>
      </c>
      <c r="P18" s="9"/>
      <c r="Q18" s="78" t="s">
        <v>12</v>
      </c>
      <c r="R18" s="26"/>
      <c r="U18" s="343"/>
      <c r="V18" s="343"/>
      <c r="W18" s="343"/>
      <c r="X18" s="343"/>
      <c r="Y18" s="340"/>
      <c r="Z18" s="340"/>
      <c r="AA18" s="340"/>
      <c r="AB18" s="340"/>
      <c r="AC18" s="340"/>
      <c r="AD18" s="340"/>
      <c r="AF18" s="335" t="s">
        <v>224</v>
      </c>
      <c r="AG18" s="88" t="s">
        <v>25</v>
      </c>
      <c r="AH18" s="88" t="s">
        <v>220</v>
      </c>
      <c r="AI18" s="78" t="str">
        <f>IF($P$19&lt;=1,"baixo","erro")</f>
        <v>baixo</v>
      </c>
      <c r="AJ18" s="340" t="str">
        <f>IF($AI$18="baixo","baixo",IF($AI$19="medio","medio",IF($AI$20="adequado","adequado",0)))</f>
        <v>baixo</v>
      </c>
      <c r="AK18" s="340" t="e">
        <f>IF(AJ18="Baixo",AL18,0)</f>
        <v>#VALUE!</v>
      </c>
      <c r="AL18" s="340" t="e">
        <f>(AM18*1000)/$E$18</f>
        <v>#VALUE!</v>
      </c>
      <c r="AM18" s="338">
        <v>6</v>
      </c>
      <c r="AO18" s="10"/>
      <c r="AP18" s="71">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78" t="s">
        <v>18</v>
      </c>
      <c r="P19" s="8"/>
      <c r="Q19" s="78" t="s">
        <v>12</v>
      </c>
      <c r="R19" s="26"/>
      <c r="S19" s="20"/>
      <c r="U19" s="343"/>
      <c r="V19" s="343"/>
      <c r="W19" s="343"/>
      <c r="X19" s="343"/>
      <c r="Y19" s="340"/>
      <c r="Z19" s="340"/>
      <c r="AA19" s="340"/>
      <c r="AB19" s="340"/>
      <c r="AC19" s="340"/>
      <c r="AD19" s="340"/>
      <c r="AF19" s="335"/>
      <c r="AG19" s="88" t="s">
        <v>26</v>
      </c>
      <c r="AH19" s="88" t="s">
        <v>216</v>
      </c>
      <c r="AI19" s="78" t="str">
        <f>IF(AND($P$19&gt;=1.01,$P$19&lt;=1.6),"medio","erro")</f>
        <v>erro</v>
      </c>
      <c r="AJ19" s="340"/>
      <c r="AK19" s="340"/>
      <c r="AL19" s="340"/>
      <c r="AM19" s="338"/>
      <c r="AO19" s="10"/>
      <c r="AP19" s="71">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78" t="s">
        <v>19</v>
      </c>
      <c r="P20" s="9"/>
      <c r="Q20" s="102" t="s">
        <v>23</v>
      </c>
      <c r="R20" s="26"/>
      <c r="U20" s="78" t="s">
        <v>29</v>
      </c>
      <c r="V20" s="340" t="s">
        <v>74</v>
      </c>
      <c r="W20" s="340"/>
      <c r="X20" s="340"/>
      <c r="Y20" s="340"/>
      <c r="Z20" s="340"/>
      <c r="AA20" s="340"/>
      <c r="AB20" s="340"/>
      <c r="AC20" s="340"/>
      <c r="AD20" s="340"/>
      <c r="AF20" s="335"/>
      <c r="AG20" s="88" t="s">
        <v>215</v>
      </c>
      <c r="AH20" s="88" t="s">
        <v>211</v>
      </c>
      <c r="AI20" s="78" t="str">
        <f>IF($P$19&gt;1.6,"adequado","erro")</f>
        <v>erro</v>
      </c>
      <c r="AJ20" s="340"/>
      <c r="AK20" s="340"/>
      <c r="AL20" s="340"/>
      <c r="AM20" s="338"/>
      <c r="AO20" s="10"/>
      <c r="AP20" s="71">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78" t="s">
        <v>52</v>
      </c>
      <c r="P21" s="8"/>
      <c r="Q21" s="102" t="s">
        <v>23</v>
      </c>
      <c r="R21" s="26"/>
      <c r="S21" s="20"/>
      <c r="U21" s="78" t="s">
        <v>23</v>
      </c>
      <c r="V21" s="78" t="s">
        <v>25</v>
      </c>
      <c r="W21" s="78" t="s">
        <v>26</v>
      </c>
      <c r="X21" s="78" t="s">
        <v>31</v>
      </c>
      <c r="Y21" s="78" t="s">
        <v>53</v>
      </c>
      <c r="Z21" s="340" t="s">
        <v>62</v>
      </c>
      <c r="AA21" s="340"/>
      <c r="AB21" s="340"/>
      <c r="AC21" s="78" t="s">
        <v>57</v>
      </c>
      <c r="AD21" s="78" t="s">
        <v>58</v>
      </c>
      <c r="AO21" s="10"/>
      <c r="AP21" s="10"/>
      <c r="AQ21" s="10"/>
      <c r="AR21" s="10"/>
      <c r="AS21" s="48">
        <f>AS17-(SUM(AS18:AS20))</f>
        <v>40</v>
      </c>
      <c r="AT21" s="48">
        <f t="shared" ref="AT21:AU21" si="2">AT17-(SUM(AT18:AT20))</f>
        <v>100</v>
      </c>
      <c r="AU21" s="48">
        <f t="shared" si="2"/>
        <v>70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78" t="s">
        <v>20</v>
      </c>
      <c r="P22" s="9"/>
      <c r="Q22" s="102" t="s">
        <v>23</v>
      </c>
      <c r="R22" s="26"/>
      <c r="U22" s="78" t="s">
        <v>50</v>
      </c>
      <c r="V22" s="78" t="s">
        <v>255</v>
      </c>
      <c r="W22" s="78" t="s">
        <v>257</v>
      </c>
      <c r="X22" s="78" t="s">
        <v>258</v>
      </c>
      <c r="Y22" s="78" t="str">
        <f>IF($P$21&lt;=20,"correto","erro")</f>
        <v>correto</v>
      </c>
      <c r="Z22" s="78" t="str">
        <f>IF($P$8&lt;=0.04,"baixo","erro")</f>
        <v>baixo</v>
      </c>
      <c r="AA22" s="78" t="str">
        <f>IF(AND($P$8&gt;=0.041,$P$8&lt;=0.1),"medio","erro")</f>
        <v>erro</v>
      </c>
      <c r="AB22" s="78" t="str">
        <f>IF($P$8&gt;0.101,"adequado","erro")</f>
        <v>erro</v>
      </c>
      <c r="AC22" s="78"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78" t="s">
        <v>21</v>
      </c>
      <c r="P23" s="8"/>
      <c r="Q23" s="78" t="s">
        <v>10</v>
      </c>
      <c r="R23" s="26"/>
      <c r="U23" s="78" t="s">
        <v>61</v>
      </c>
      <c r="V23" s="78" t="s">
        <v>256</v>
      </c>
      <c r="W23" s="78" t="s">
        <v>259</v>
      </c>
      <c r="X23" s="78" t="s">
        <v>260</v>
      </c>
      <c r="Y23" s="78" t="str">
        <f>IF($P$21&gt;20,"correto","erro")</f>
        <v>erro</v>
      </c>
      <c r="Z23" s="78" t="str">
        <f>IF($P$8&lt;=0.06,"baixo","erro")</f>
        <v>baixo</v>
      </c>
      <c r="AA23" s="78" t="str">
        <f>IF(AND($P$8&gt;=0.061,$P$8&lt;=0.2),"medio","erro")</f>
        <v>erro</v>
      </c>
      <c r="AB23" s="78" t="str">
        <f>IF($P$8&gt;0.201,"adequado","erro")</f>
        <v>erro</v>
      </c>
      <c r="AC23" s="78"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78" t="s">
        <v>22</v>
      </c>
      <c r="P24" s="2" t="e">
        <f>100*(P6+P7+P8+P9)/P25</f>
        <v>#DIV/0!</v>
      </c>
      <c r="Q24" s="78"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78" t="s">
        <v>24</v>
      </c>
      <c r="P25" s="1">
        <f>(P6+P7+P8+P9+P11)</f>
        <v>0</v>
      </c>
      <c r="Q25" s="78" t="s">
        <v>55</v>
      </c>
      <c r="R25" s="26"/>
      <c r="AO25" s="10"/>
      <c r="AP25" s="414" t="s">
        <v>239</v>
      </c>
      <c r="AQ25" s="414" t="s">
        <v>240</v>
      </c>
      <c r="AR25" s="414"/>
      <c r="AS25" s="83" t="s">
        <v>84</v>
      </c>
      <c r="AT25" s="83" t="s">
        <v>87</v>
      </c>
      <c r="AU25" s="83" t="s">
        <v>85</v>
      </c>
      <c r="AV25" s="83"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76"/>
      <c r="O26" s="76"/>
      <c r="P26" s="76"/>
      <c r="Q26" s="76"/>
      <c r="R26" s="77"/>
      <c r="U26" s="344" t="s">
        <v>107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78" t="s">
        <v>32</v>
      </c>
      <c r="V27" s="78" t="s">
        <v>64</v>
      </c>
      <c r="W27" s="78" t="s">
        <v>75</v>
      </c>
      <c r="X27" s="78" t="s">
        <v>71</v>
      </c>
      <c r="Y27" s="78" t="s">
        <v>36</v>
      </c>
      <c r="Z27" s="78"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73"/>
      <c r="O28" s="73"/>
      <c r="P28" s="73"/>
      <c r="Q28" s="73"/>
      <c r="R28" s="74"/>
      <c r="U28" s="89">
        <v>0</v>
      </c>
      <c r="V28" s="89">
        <v>50</v>
      </c>
      <c r="W28" s="89" t="s">
        <v>68</v>
      </c>
      <c r="X28" s="89" t="str">
        <f>CONCATENATE(U28," - ",W28)</f>
        <v>0 - baixo</v>
      </c>
      <c r="Y28" s="89">
        <v>10</v>
      </c>
      <c r="Z28" s="89">
        <v>10</v>
      </c>
      <c r="AE28" s="78" t="s">
        <v>63</v>
      </c>
      <c r="AG28" s="78"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89">
        <v>0</v>
      </c>
      <c r="V29" s="89">
        <v>50</v>
      </c>
      <c r="W29" s="89" t="s">
        <v>69</v>
      </c>
      <c r="X29" s="89" t="str">
        <f t="shared" ref="X29:X42" si="9">CONCATENATE(U29," - ",W29)</f>
        <v>0 - medio</v>
      </c>
      <c r="Y29" s="89">
        <v>10</v>
      </c>
      <c r="Z29" s="89">
        <v>10</v>
      </c>
      <c r="AB29" s="413" t="s">
        <v>65</v>
      </c>
      <c r="AC29" s="413"/>
      <c r="AE29" s="78" t="s">
        <v>32</v>
      </c>
      <c r="AG29" s="78" t="s">
        <v>174</v>
      </c>
      <c r="AI29" s="30"/>
      <c r="AK29" s="78"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89">
        <v>0</v>
      </c>
      <c r="V30" s="89">
        <v>50</v>
      </c>
      <c r="W30" s="89" t="s">
        <v>70</v>
      </c>
      <c r="X30" s="89" t="str">
        <f t="shared" si="9"/>
        <v>0 - adequado</v>
      </c>
      <c r="Y30" s="89">
        <v>10</v>
      </c>
      <c r="Z30" s="89">
        <v>10</v>
      </c>
      <c r="AB30" s="84" t="s">
        <v>33</v>
      </c>
      <c r="AC30" s="84">
        <f>VLOOKUP($P$39,$U$28:$V$42,2,0)</f>
        <v>40</v>
      </c>
      <c r="AE30" s="78" t="s">
        <v>34</v>
      </c>
      <c r="AG30" s="78" t="s">
        <v>175</v>
      </c>
      <c r="AI30" s="30">
        <v>0</v>
      </c>
      <c r="AK30" s="78"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89">
        <v>1</v>
      </c>
      <c r="V31" s="89">
        <v>40</v>
      </c>
      <c r="W31" s="89" t="s">
        <v>68</v>
      </c>
      <c r="X31" s="89" t="str">
        <f t="shared" si="9"/>
        <v>1 - baixo</v>
      </c>
      <c r="Y31" s="89">
        <v>100</v>
      </c>
      <c r="Z31" s="89">
        <v>70</v>
      </c>
      <c r="AB31" s="84" t="s">
        <v>66</v>
      </c>
      <c r="AC31" s="84">
        <f>VLOOKUP(AB36,X28:Z42,2,0)</f>
        <v>100</v>
      </c>
      <c r="AE31" s="78">
        <v>0</v>
      </c>
      <c r="AG31" s="31" t="e">
        <f>10000/((($O$32/2)+($P$32/2))*$Q$32)</f>
        <v>#DIV/0!</v>
      </c>
      <c r="AI31" s="30">
        <v>0.1</v>
      </c>
      <c r="AK31" s="78"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89">
        <v>1</v>
      </c>
      <c r="V32" s="89">
        <v>40</v>
      </c>
      <c r="W32" s="89" t="s">
        <v>69</v>
      </c>
      <c r="X32" s="89" t="str">
        <f t="shared" si="9"/>
        <v>1 - medio</v>
      </c>
      <c r="Y32" s="89">
        <v>70</v>
      </c>
      <c r="Z32" s="89">
        <v>45</v>
      </c>
      <c r="AB32" s="84" t="s">
        <v>67</v>
      </c>
      <c r="AC32" s="84">
        <f>VLOOKUP($AB$39,X28:Z42,3,0)</f>
        <v>70</v>
      </c>
      <c r="AE32" s="78">
        <v>1</v>
      </c>
      <c r="AI32" s="30">
        <v>0.2</v>
      </c>
      <c r="AK32" s="78"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89">
        <v>1</v>
      </c>
      <c r="V33" s="89">
        <v>40</v>
      </c>
      <c r="W33" s="89" t="s">
        <v>70</v>
      </c>
      <c r="X33" s="89" t="str">
        <f t="shared" si="9"/>
        <v>1 - adequado</v>
      </c>
      <c r="Y33" s="89">
        <v>35</v>
      </c>
      <c r="Z33" s="89">
        <v>20</v>
      </c>
      <c r="AE33" s="78">
        <v>2</v>
      </c>
      <c r="AI33" s="30">
        <v>0.3</v>
      </c>
      <c r="AK33" s="78"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89">
        <v>2</v>
      </c>
      <c r="V34" s="89">
        <v>100</v>
      </c>
      <c r="W34" s="89" t="s">
        <v>68</v>
      </c>
      <c r="X34" s="89" t="str">
        <f t="shared" si="9"/>
        <v>2 - baixo</v>
      </c>
      <c r="Y34" s="89">
        <v>175</v>
      </c>
      <c r="Z34" s="89">
        <v>110</v>
      </c>
      <c r="AE34" s="78">
        <v>3</v>
      </c>
      <c r="AI34" s="30">
        <v>0.4</v>
      </c>
      <c r="AK34" s="78"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76"/>
      <c r="O35" s="76"/>
      <c r="P35" s="32" t="e">
        <f>10000/($O$30*$Q$30)</f>
        <v>#DIV/0!</v>
      </c>
      <c r="Q35" s="32" t="e">
        <f>10000/((($O$32/2)+($P$32/2))*$Q$32)</f>
        <v>#DIV/0!</v>
      </c>
      <c r="R35" s="77"/>
      <c r="U35" s="89">
        <v>2</v>
      </c>
      <c r="V35" s="89">
        <v>100</v>
      </c>
      <c r="W35" s="89" t="s">
        <v>69</v>
      </c>
      <c r="X35" s="89" t="str">
        <f t="shared" si="9"/>
        <v>2 - medio</v>
      </c>
      <c r="Y35" s="89">
        <v>120</v>
      </c>
      <c r="Z35" s="89">
        <v>75</v>
      </c>
      <c r="AB35" s="340" t="s">
        <v>72</v>
      </c>
      <c r="AC35" s="340"/>
      <c r="AE35" s="78">
        <v>4</v>
      </c>
      <c r="AI35" s="30">
        <v>0.5</v>
      </c>
      <c r="AK35" s="78"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89">
        <v>2</v>
      </c>
      <c r="V36" s="89">
        <v>100</v>
      </c>
      <c r="W36" s="89" t="s">
        <v>70</v>
      </c>
      <c r="X36" s="89" t="str">
        <f t="shared" si="9"/>
        <v>2 - adequado</v>
      </c>
      <c r="Y36" s="89">
        <v>60</v>
      </c>
      <c r="Z36" s="89">
        <v>35</v>
      </c>
      <c r="AB36" s="340" t="str">
        <f>CONCATENATE($P$39," - ",$AD$8)</f>
        <v>1 - baixo</v>
      </c>
      <c r="AC36" s="340"/>
      <c r="AI36" s="30">
        <v>0.6</v>
      </c>
      <c r="AK36" s="78"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73"/>
      <c r="O37" s="73"/>
      <c r="P37" s="73"/>
      <c r="Q37" s="73"/>
      <c r="R37" s="74"/>
      <c r="U37" s="89">
        <v>3</v>
      </c>
      <c r="V37" s="89">
        <v>200</v>
      </c>
      <c r="W37" s="89" t="s">
        <v>68</v>
      </c>
      <c r="X37" s="89" t="str">
        <f t="shared" si="9"/>
        <v>3 - baixo</v>
      </c>
      <c r="Y37" s="89">
        <v>245</v>
      </c>
      <c r="Z37" s="89">
        <v>160</v>
      </c>
      <c r="AI37" s="30">
        <v>0.7</v>
      </c>
      <c r="AK37" s="78"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89">
        <v>3</v>
      </c>
      <c r="V38" s="89">
        <v>200</v>
      </c>
      <c r="W38" s="89" t="s">
        <v>69</v>
      </c>
      <c r="X38" s="89" t="str">
        <f t="shared" si="9"/>
        <v>3 - medio</v>
      </c>
      <c r="Y38" s="89">
        <v>160</v>
      </c>
      <c r="Z38" s="89">
        <v>105</v>
      </c>
      <c r="AB38" s="340" t="s">
        <v>73</v>
      </c>
      <c r="AC38" s="340"/>
      <c r="AI38" s="30">
        <v>0.8</v>
      </c>
      <c r="AK38" s="78"/>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78" t="s">
        <v>167</v>
      </c>
      <c r="P39" s="341">
        <v>1</v>
      </c>
      <c r="Q39" s="341"/>
      <c r="R39" s="26"/>
      <c r="U39" s="89">
        <v>3</v>
      </c>
      <c r="V39" s="89">
        <v>200</v>
      </c>
      <c r="W39" s="89" t="s">
        <v>70</v>
      </c>
      <c r="X39" s="89" t="str">
        <f t="shared" si="9"/>
        <v>3 - adequado</v>
      </c>
      <c r="Y39" s="89">
        <v>80</v>
      </c>
      <c r="Z39" s="89">
        <v>50</v>
      </c>
      <c r="AB39" s="340" t="str">
        <f>CONCATENATE($P$39," - ",$AD$22)</f>
        <v>1 - baixo</v>
      </c>
      <c r="AC39" s="340"/>
      <c r="AI39" s="30">
        <v>0.9</v>
      </c>
      <c r="AO39" s="10"/>
      <c r="AP39" s="334" t="s">
        <v>242</v>
      </c>
      <c r="AQ39" s="334"/>
      <c r="AR39" s="71" t="s">
        <v>84</v>
      </c>
      <c r="AS39" s="71" t="s">
        <v>87</v>
      </c>
      <c r="AT39" s="71" t="s">
        <v>85</v>
      </c>
      <c r="AU39" s="71" t="s">
        <v>86</v>
      </c>
      <c r="AV39" s="71" t="s">
        <v>207</v>
      </c>
      <c r="AW39" s="71" t="s">
        <v>84</v>
      </c>
      <c r="AX39" s="71" t="s">
        <v>87</v>
      </c>
      <c r="AY39" s="71" t="s">
        <v>85</v>
      </c>
      <c r="AZ39" s="71"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79"/>
      <c r="P40" s="79"/>
      <c r="Q40" s="79"/>
      <c r="R40" s="26"/>
      <c r="U40" s="89">
        <v>4</v>
      </c>
      <c r="V40" s="89">
        <v>340</v>
      </c>
      <c r="W40" s="89" t="s">
        <v>68</v>
      </c>
      <c r="X40" s="89" t="str">
        <f t="shared" si="9"/>
        <v>4 - baixo</v>
      </c>
      <c r="Y40" s="89">
        <v>315</v>
      </c>
      <c r="Z40" s="89">
        <v>200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U41" s="89">
        <v>4</v>
      </c>
      <c r="V41" s="89">
        <v>340</v>
      </c>
      <c r="W41" s="89" t="s">
        <v>69</v>
      </c>
      <c r="X41" s="89" t="str">
        <f t="shared" si="9"/>
        <v>4 - medio</v>
      </c>
      <c r="Y41" s="89">
        <v>210</v>
      </c>
      <c r="Z41" s="89">
        <v>150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79"/>
      <c r="BD41" s="79"/>
      <c r="BE41" s="79"/>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U42" s="89">
        <v>4</v>
      </c>
      <c r="V42" s="89">
        <v>340</v>
      </c>
      <c r="W42" s="89" t="s">
        <v>70</v>
      </c>
      <c r="X42" s="89" t="str">
        <f t="shared" si="9"/>
        <v>4 - adequado</v>
      </c>
      <c r="Y42" s="89">
        <v>105</v>
      </c>
      <c r="Z42" s="89">
        <v>75</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76"/>
      <c r="O43" s="76"/>
      <c r="P43" s="76"/>
      <c r="Q43" s="76"/>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73"/>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89"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78"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78"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78"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78"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76"/>
      <c r="O51" s="76"/>
      <c r="P51" s="76"/>
      <c r="Q51" s="76"/>
      <c r="R51" s="77"/>
      <c r="U51" s="78" t="s">
        <v>254</v>
      </c>
      <c r="V51" s="2">
        <f>V48*$Q$47</f>
        <v>0</v>
      </c>
      <c r="AT51" s="89">
        <v>0</v>
      </c>
      <c r="AU51" s="64" t="s">
        <v>267</v>
      </c>
      <c r="AV51" s="64" t="str">
        <f>CONCATENATE(AT51," - ",AU51)</f>
        <v>0 - Composto de lixo (COL)</v>
      </c>
      <c r="AW51" s="89">
        <v>15</v>
      </c>
    </row>
    <row r="52" spans="2:50" ht="20.25" customHeight="1" thickBot="1" x14ac:dyDescent="0.3">
      <c r="B52" s="391"/>
      <c r="C52" s="391"/>
      <c r="D52" s="391"/>
      <c r="E52" s="391"/>
      <c r="F52" s="391"/>
      <c r="G52" s="391"/>
      <c r="H52" s="391"/>
      <c r="I52" s="391"/>
      <c r="AT52" s="89">
        <v>1</v>
      </c>
      <c r="AU52" s="64" t="s">
        <v>267</v>
      </c>
      <c r="AV52" s="64" t="str">
        <f t="shared" ref="AV52:AV95" si="13">CONCATENATE(AT52," - ",AU52)</f>
        <v>1 - Composto de lixo (COL)</v>
      </c>
      <c r="AW52" s="89">
        <v>5</v>
      </c>
    </row>
    <row r="53" spans="2:50" ht="20.25" customHeight="1" thickBot="1" x14ac:dyDescent="0.3">
      <c r="B53" s="392"/>
      <c r="C53" s="392"/>
      <c r="D53" s="392"/>
      <c r="E53" s="392"/>
      <c r="F53" s="392"/>
      <c r="G53" s="392"/>
      <c r="H53" s="392"/>
      <c r="I53" s="392"/>
      <c r="M53" s="72"/>
      <c r="N53" s="73"/>
      <c r="O53" s="73"/>
      <c r="P53" s="73"/>
      <c r="Q53" s="73"/>
      <c r="R53" s="74"/>
      <c r="AP53" s="38"/>
      <c r="AQ53" s="38"/>
      <c r="AS53" s="38"/>
      <c r="AT53" s="89">
        <v>2</v>
      </c>
      <c r="AU53" s="64" t="s">
        <v>267</v>
      </c>
      <c r="AV53" s="64" t="str">
        <f t="shared" si="13"/>
        <v>2 - Composto de lixo (COL)</v>
      </c>
      <c r="AW53" s="89">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89">
        <v>3</v>
      </c>
      <c r="AU54" s="64" t="s">
        <v>267</v>
      </c>
      <c r="AV54" s="64" t="str">
        <f t="shared" si="13"/>
        <v>3 - Composto de lixo (COL)</v>
      </c>
      <c r="AW54" s="89">
        <v>15</v>
      </c>
    </row>
    <row r="55" spans="2:50" ht="20.2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86" t="s">
        <v>98</v>
      </c>
      <c r="Y55" s="86" t="s">
        <v>99</v>
      </c>
      <c r="Z55" s="86" t="s">
        <v>100</v>
      </c>
      <c r="AA55" s="86" t="s">
        <v>180</v>
      </c>
      <c r="AP55" s="365"/>
      <c r="AQ55" s="365"/>
      <c r="AS55" s="365"/>
      <c r="AT55" s="89">
        <v>4</v>
      </c>
      <c r="AU55" s="64" t="s">
        <v>267</v>
      </c>
      <c r="AV55" s="64" t="str">
        <f t="shared" si="13"/>
        <v>4 - Composto de lixo (COL)</v>
      </c>
      <c r="AW55" s="89">
        <v>20</v>
      </c>
    </row>
    <row r="56" spans="2:50" ht="20.2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79"/>
      <c r="AQ56" s="79"/>
      <c r="AS56" s="79"/>
      <c r="AT56" s="89">
        <v>0</v>
      </c>
      <c r="AU56" s="64" t="s">
        <v>274</v>
      </c>
      <c r="AV56" s="64" t="str">
        <f t="shared" si="13"/>
        <v>0 - Cama de frango corte</v>
      </c>
      <c r="AW56" s="89">
        <v>3</v>
      </c>
      <c r="AX56" s="79"/>
    </row>
    <row r="57" spans="2:50" ht="20.25" customHeight="1" x14ac:dyDescent="0.25">
      <c r="B57" s="372" t="str">
        <f>IF(AP42&gt;0,AP42,"-")</f>
        <v>-</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79"/>
      <c r="AQ57" s="341" t="s">
        <v>275</v>
      </c>
      <c r="AR57" s="341"/>
      <c r="AS57" s="79"/>
      <c r="AT57" s="89">
        <v>1</v>
      </c>
      <c r="AU57" s="64" t="s">
        <v>274</v>
      </c>
      <c r="AV57" s="64" t="str">
        <f t="shared" si="13"/>
        <v>1 - Cama de frango corte</v>
      </c>
      <c r="AW57" s="89">
        <v>1</v>
      </c>
    </row>
    <row r="58" spans="2:50" ht="20.25" customHeight="1" x14ac:dyDescent="0.25">
      <c r="B58" s="372" t="str">
        <f>IF(AP43&gt;0,AP43,"-")</f>
        <v>-</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79"/>
      <c r="AQ58" s="341" t="str">
        <f>CONCATENATE($P$39," - ",$O$42)</f>
        <v xml:space="preserve">1 - </v>
      </c>
      <c r="AR58" s="341"/>
      <c r="AS58" s="79"/>
      <c r="AT58" s="89">
        <v>2</v>
      </c>
      <c r="AU58" s="64" t="s">
        <v>274</v>
      </c>
      <c r="AV58" s="64" t="str">
        <f t="shared" si="13"/>
        <v>2 - Cama de frango corte</v>
      </c>
      <c r="AW58" s="89">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79"/>
      <c r="AQ59" s="338">
        <f>IFERROR(VLOOKUP(AQ58,AV51:AW95,2,0),0)</f>
        <v>0</v>
      </c>
      <c r="AR59" s="338"/>
      <c r="AS59" s="79"/>
      <c r="AT59" s="89">
        <v>3</v>
      </c>
      <c r="AU59" s="64" t="s">
        <v>274</v>
      </c>
      <c r="AV59" s="64" t="str">
        <f t="shared" si="13"/>
        <v>3 - Cama de frango corte</v>
      </c>
      <c r="AW59" s="89">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79"/>
      <c r="AQ60" s="79"/>
      <c r="AS60" s="79"/>
      <c r="AT60" s="89">
        <v>4</v>
      </c>
      <c r="AU60" s="64" t="s">
        <v>274</v>
      </c>
      <c r="AV60" s="64" t="str">
        <f t="shared" si="13"/>
        <v>4 - Cama de frango corte</v>
      </c>
      <c r="AW60" s="89">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79"/>
      <c r="AQ61" s="79"/>
      <c r="AS61" s="79"/>
      <c r="AT61" s="89">
        <v>0</v>
      </c>
      <c r="AU61" s="64" t="s">
        <v>148</v>
      </c>
      <c r="AV61" s="64" t="str">
        <f t="shared" si="13"/>
        <v>0 - Esterco de galinha</v>
      </c>
      <c r="AW61" s="89">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89">
        <v>1</v>
      </c>
      <c r="AU62" s="64" t="s">
        <v>148</v>
      </c>
      <c r="AV62" s="64" t="str">
        <f t="shared" si="13"/>
        <v>1 - Esterco de galinha</v>
      </c>
      <c r="AW62" s="89">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89">
        <v>2</v>
      </c>
      <c r="AU63" s="64" t="s">
        <v>148</v>
      </c>
      <c r="AV63" s="64" t="str">
        <f t="shared" si="13"/>
        <v>2 - Esterco de galinha</v>
      </c>
      <c r="AW63" s="89">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89">
        <v>3</v>
      </c>
      <c r="AU64" s="64" t="s">
        <v>148</v>
      </c>
      <c r="AV64" s="64" t="str">
        <f t="shared" si="13"/>
        <v>3 - Esterco de galinha</v>
      </c>
      <c r="AW64" s="89">
        <v>3</v>
      </c>
    </row>
    <row r="65" spans="2:49" ht="20.25" customHeight="1" x14ac:dyDescent="0.25">
      <c r="B65" s="309"/>
      <c r="C65" s="310"/>
      <c r="D65" s="310"/>
      <c r="E65" s="311"/>
      <c r="F65" s="309"/>
      <c r="G65" s="310"/>
      <c r="H65" s="310"/>
      <c r="I65" s="311"/>
      <c r="M65" s="351"/>
      <c r="N65" s="352"/>
      <c r="O65" s="79"/>
      <c r="P65" s="79"/>
      <c r="Q65" s="79"/>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89">
        <v>4</v>
      </c>
      <c r="AU65" s="64" t="s">
        <v>148</v>
      </c>
      <c r="AV65" s="64" t="str">
        <f t="shared" si="13"/>
        <v>4 - Esterco de galinha</v>
      </c>
      <c r="AW65" s="89">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89">
        <v>0</v>
      </c>
      <c r="AU66" s="64" t="s">
        <v>273</v>
      </c>
      <c r="AV66" s="64" t="str">
        <f t="shared" si="13"/>
        <v>0 - Esterco Bovino curtido</v>
      </c>
      <c r="AW66" s="89">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89">
        <v>1</v>
      </c>
      <c r="AU67" s="64" t="s">
        <v>273</v>
      </c>
      <c r="AV67" s="64" t="str">
        <f t="shared" si="13"/>
        <v>1 - Esterco Bovino curtido</v>
      </c>
      <c r="AW67" s="89">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89">
        <v>2</v>
      </c>
      <c r="AU68" s="64" t="s">
        <v>273</v>
      </c>
      <c r="AV68" s="64" t="str">
        <f t="shared" si="13"/>
        <v>2 - Esterco Bovino curtido</v>
      </c>
      <c r="AW68" s="89">
        <v>10</v>
      </c>
    </row>
    <row r="69" spans="2:49" ht="20.25" customHeight="1" thickBot="1" x14ac:dyDescent="0.3">
      <c r="M69" s="75"/>
      <c r="N69" s="76"/>
      <c r="O69" s="76"/>
      <c r="P69" s="76"/>
      <c r="Q69" s="76"/>
      <c r="R69" s="77"/>
      <c r="AT69" s="89">
        <v>3</v>
      </c>
      <c r="AU69" s="64" t="s">
        <v>273</v>
      </c>
      <c r="AV69" s="64" t="str">
        <f t="shared" si="13"/>
        <v>3 - Esterco Bovino curtido</v>
      </c>
      <c r="AW69" s="89">
        <v>15</v>
      </c>
    </row>
    <row r="70" spans="2:49" ht="20.25" customHeight="1" thickBot="1" x14ac:dyDescent="0.3">
      <c r="AT70" s="89">
        <v>4</v>
      </c>
      <c r="AU70" s="64" t="s">
        <v>273</v>
      </c>
      <c r="AV70" s="64" t="str">
        <f t="shared" si="13"/>
        <v>4 - Esterco Bovino curtido</v>
      </c>
      <c r="AW70" s="89">
        <v>20</v>
      </c>
    </row>
    <row r="71" spans="2:49" ht="20.25" customHeight="1" x14ac:dyDescent="0.25">
      <c r="M71" s="72"/>
      <c r="N71" s="73"/>
      <c r="O71" s="73"/>
      <c r="P71" s="73"/>
      <c r="Q71" s="73"/>
      <c r="R71" s="74"/>
      <c r="U71" s="371" t="s">
        <v>125</v>
      </c>
      <c r="V71" s="371" t="s">
        <v>76</v>
      </c>
      <c r="W71" s="371" t="s">
        <v>77</v>
      </c>
      <c r="X71" s="371" t="s">
        <v>265</v>
      </c>
      <c r="Y71" s="371"/>
      <c r="Z71" s="371"/>
      <c r="AT71" s="89">
        <v>0</v>
      </c>
      <c r="AU71" s="64" t="s">
        <v>273</v>
      </c>
      <c r="AV71" s="64" t="str">
        <f t="shared" si="13"/>
        <v>0 - Esterco Bovino curtido</v>
      </c>
      <c r="AW71" s="89">
        <v>15</v>
      </c>
    </row>
    <row r="72" spans="2:49" ht="20.25" customHeight="1" x14ac:dyDescent="0.25">
      <c r="M72" s="351" t="s">
        <v>198</v>
      </c>
      <c r="N72" s="352"/>
      <c r="O72" s="400" t="s">
        <v>233</v>
      </c>
      <c r="P72" s="401"/>
      <c r="Q72" s="402"/>
      <c r="R72" s="26"/>
      <c r="U72" s="371"/>
      <c r="V72" s="371"/>
      <c r="W72" s="371"/>
      <c r="X72" s="70" t="s">
        <v>81</v>
      </c>
      <c r="Y72" s="70" t="s">
        <v>82</v>
      </c>
      <c r="Z72" s="70" t="s">
        <v>83</v>
      </c>
      <c r="AT72" s="89">
        <v>1</v>
      </c>
      <c r="AU72" s="64" t="s">
        <v>266</v>
      </c>
      <c r="AV72" s="64" t="str">
        <f t="shared" si="13"/>
        <v>1 - Esterco de equino</v>
      </c>
      <c r="AW72" s="89">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89">
        <v>2</v>
      </c>
      <c r="AU73" s="64" t="s">
        <v>266</v>
      </c>
      <c r="AV73" s="64" t="str">
        <f t="shared" si="13"/>
        <v>2 - Esterco de equino</v>
      </c>
      <c r="AW73" s="89">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89">
        <v>3</v>
      </c>
      <c r="AU74" s="64" t="s">
        <v>266</v>
      </c>
      <c r="AV74" s="64" t="str">
        <f t="shared" si="13"/>
        <v>3 - Esterco de equino</v>
      </c>
      <c r="AW74" s="89">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89">
        <v>4</v>
      </c>
      <c r="AU75" s="64" t="s">
        <v>266</v>
      </c>
      <c r="AV75" s="64" t="str">
        <f t="shared" si="13"/>
        <v>4 - Esterco de equino</v>
      </c>
      <c r="AW75" s="89">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89">
        <v>0</v>
      </c>
      <c r="AU76" s="64" t="s">
        <v>273</v>
      </c>
      <c r="AV76" s="64" t="str">
        <f t="shared" si="13"/>
        <v>0 - Esterco Bovino curtido</v>
      </c>
      <c r="AW76" s="89">
        <v>3</v>
      </c>
    </row>
    <row r="77" spans="2:49" ht="20.25" customHeight="1" x14ac:dyDescent="0.25">
      <c r="M77" s="351"/>
      <c r="N77" s="352"/>
      <c r="O77" s="79"/>
      <c r="P77" s="79"/>
      <c r="Q77" s="79"/>
      <c r="R77" s="26"/>
      <c r="U77" s="411"/>
      <c r="V77" s="37" t="str">
        <f>'Adubos e corretivos'!C108</f>
        <v>Nutrigesso Nutrion</v>
      </c>
      <c r="W77" s="37">
        <f>'Adubos e corretivos'!D108</f>
        <v>0</v>
      </c>
      <c r="X77" s="37">
        <f>'Adubos e corretivos'!E108</f>
        <v>13</v>
      </c>
      <c r="Y77" s="37">
        <f>'Adubos e corretivos'!F108</f>
        <v>0</v>
      </c>
      <c r="Z77" s="37">
        <f>'Adubos e corretivos'!G108</f>
        <v>16</v>
      </c>
      <c r="AT77" s="89">
        <v>1</v>
      </c>
      <c r="AU77" s="64" t="s">
        <v>268</v>
      </c>
      <c r="AV77" s="64" t="str">
        <f t="shared" si="13"/>
        <v>1 - Esterco de suínos</v>
      </c>
      <c r="AW77" s="89">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89">
        <v>2</v>
      </c>
      <c r="AU78" s="64" t="s">
        <v>268</v>
      </c>
      <c r="AV78" s="64" t="str">
        <f t="shared" si="13"/>
        <v>2 - Esterco de suínos</v>
      </c>
      <c r="AW78" s="89">
        <v>2</v>
      </c>
    </row>
    <row r="79" spans="2:49" ht="20.25" customHeight="1" x14ac:dyDescent="0.25">
      <c r="M79" s="351"/>
      <c r="N79" s="352"/>
      <c r="O79" s="79"/>
      <c r="P79" s="79"/>
      <c r="Q79" s="79"/>
      <c r="R79" s="26"/>
      <c r="U79" s="411"/>
      <c r="V79" s="37">
        <f>'Adubos e corretivos'!C110</f>
        <v>0</v>
      </c>
      <c r="W79" s="37">
        <f>'Adubos e corretivos'!D110</f>
        <v>0</v>
      </c>
      <c r="X79" s="37">
        <f>'Adubos e corretivos'!E110</f>
        <v>0</v>
      </c>
      <c r="Y79" s="37">
        <f>'Adubos e corretivos'!F110</f>
        <v>0</v>
      </c>
      <c r="Z79" s="37">
        <f>'Adubos e corretivos'!G110</f>
        <v>0</v>
      </c>
      <c r="AT79" s="89">
        <v>3</v>
      </c>
      <c r="AU79" s="64" t="s">
        <v>268</v>
      </c>
      <c r="AV79" s="64" t="str">
        <f t="shared" si="13"/>
        <v>3 - Esterco de suínos</v>
      </c>
      <c r="AW79" s="89">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89">
        <v>4</v>
      </c>
      <c r="AU80" s="64" t="s">
        <v>268</v>
      </c>
      <c r="AV80" s="64" t="str">
        <f t="shared" si="13"/>
        <v>4 - Esterco de suínos</v>
      </c>
      <c r="AW80" s="89">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89">
        <v>0</v>
      </c>
      <c r="AU81" s="64" t="s">
        <v>269</v>
      </c>
      <c r="AV81" s="64" t="str">
        <f t="shared" si="13"/>
        <v>0 - Esterco de ovinos</v>
      </c>
      <c r="AW81" s="89">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89">
        <v>1</v>
      </c>
      <c r="AU82" s="64" t="s">
        <v>269</v>
      </c>
      <c r="AV82" s="64" t="str">
        <f t="shared" si="13"/>
        <v>1 - Esterco de ovinos</v>
      </c>
      <c r="AW82" s="89">
        <v>1</v>
      </c>
    </row>
    <row r="83" spans="13:49" ht="20.25" customHeight="1" x14ac:dyDescent="0.25">
      <c r="M83" s="351"/>
      <c r="N83" s="352"/>
      <c r="O83" s="341"/>
      <c r="P83" s="341"/>
      <c r="Q83" s="33"/>
      <c r="R83" s="26"/>
      <c r="AT83" s="89">
        <v>2</v>
      </c>
      <c r="AU83" s="64" t="s">
        <v>269</v>
      </c>
      <c r="AV83" s="64" t="str">
        <f t="shared" si="13"/>
        <v>2 - Esterco de ovinos</v>
      </c>
      <c r="AW83" s="89">
        <v>2</v>
      </c>
    </row>
    <row r="84" spans="13:49" ht="20.25" customHeight="1" x14ac:dyDescent="0.25">
      <c r="M84" s="351"/>
      <c r="N84" s="352"/>
      <c r="O84" s="341"/>
      <c r="P84" s="341"/>
      <c r="Q84" s="33"/>
      <c r="R84" s="26"/>
      <c r="AT84" s="89">
        <v>3</v>
      </c>
      <c r="AU84" s="64" t="s">
        <v>269</v>
      </c>
      <c r="AV84" s="64" t="str">
        <f t="shared" si="13"/>
        <v>3 - Esterco de ovinos</v>
      </c>
      <c r="AW84" s="89">
        <v>3</v>
      </c>
    </row>
    <row r="85" spans="13:49" ht="20.25" customHeight="1" x14ac:dyDescent="0.25">
      <c r="M85" s="351"/>
      <c r="N85" s="352"/>
      <c r="O85" s="79"/>
      <c r="P85" s="79"/>
      <c r="Q85" s="79"/>
      <c r="R85" s="26"/>
      <c r="U85" s="370" t="s">
        <v>125</v>
      </c>
      <c r="V85" s="370" t="s">
        <v>76</v>
      </c>
      <c r="W85" s="370" t="s">
        <v>77</v>
      </c>
      <c r="X85" s="370" t="s">
        <v>78</v>
      </c>
      <c r="Y85" s="370"/>
      <c r="Z85" s="370"/>
      <c r="AA85" s="370"/>
      <c r="AB85" s="370"/>
      <c r="AC85" s="370"/>
      <c r="AD85" s="370"/>
      <c r="AE85" s="370"/>
      <c r="AT85" s="89">
        <v>4</v>
      </c>
      <c r="AU85" s="64" t="s">
        <v>269</v>
      </c>
      <c r="AV85" s="64" t="str">
        <f t="shared" si="13"/>
        <v>4 - Esterco de ovinos</v>
      </c>
      <c r="AW85" s="89">
        <v>4</v>
      </c>
    </row>
    <row r="86" spans="13:49" ht="20.25" customHeight="1" x14ac:dyDescent="0.25">
      <c r="M86" s="351"/>
      <c r="N86" s="352"/>
      <c r="O86" s="352" t="s">
        <v>245</v>
      </c>
      <c r="P86" s="352"/>
      <c r="Q86" s="352"/>
      <c r="R86" s="26"/>
      <c r="U86" s="370"/>
      <c r="V86" s="370"/>
      <c r="W86" s="370"/>
      <c r="X86" s="87" t="s">
        <v>106</v>
      </c>
      <c r="Y86" s="87" t="s">
        <v>79</v>
      </c>
      <c r="Z86" s="87" t="s">
        <v>66</v>
      </c>
      <c r="AA86" s="87" t="s">
        <v>80</v>
      </c>
      <c r="AB86" s="87" t="s">
        <v>67</v>
      </c>
      <c r="AC86" s="87" t="s">
        <v>176</v>
      </c>
      <c r="AD86" s="87" t="s">
        <v>177</v>
      </c>
      <c r="AE86" s="87" t="s">
        <v>190</v>
      </c>
      <c r="AT86" s="89">
        <v>0</v>
      </c>
      <c r="AU86" s="64" t="s">
        <v>270</v>
      </c>
      <c r="AV86" s="64" t="str">
        <f t="shared" si="13"/>
        <v>0 - Lodo de esgosto</v>
      </c>
      <c r="AW86" s="89">
        <v>3</v>
      </c>
    </row>
    <row r="87" spans="13:49" ht="20.25" customHeight="1" x14ac:dyDescent="0.25">
      <c r="M87" s="351"/>
      <c r="N87" s="352"/>
      <c r="O87" s="79"/>
      <c r="P87" s="79"/>
      <c r="Q87" s="79"/>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89">
        <v>1</v>
      </c>
      <c r="AU87" s="64" t="s">
        <v>270</v>
      </c>
      <c r="AV87" s="64" t="str">
        <f t="shared" si="13"/>
        <v>1 - Lodo de esgosto</v>
      </c>
      <c r="AW87" s="89">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89">
        <v>2</v>
      </c>
      <c r="AU88" s="64" t="s">
        <v>270</v>
      </c>
      <c r="AV88" s="64" t="str">
        <f t="shared" si="13"/>
        <v>2 - Lodo de esgosto</v>
      </c>
      <c r="AW88" s="89">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89">
        <v>3</v>
      </c>
      <c r="AU89" s="64" t="s">
        <v>270</v>
      </c>
      <c r="AV89" s="64" t="str">
        <f t="shared" si="13"/>
        <v>3 - Lodo de esgosto</v>
      </c>
      <c r="AW89" s="89">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89">
        <v>4</v>
      </c>
      <c r="AU90" s="64" t="s">
        <v>270</v>
      </c>
      <c r="AV90" s="64" t="str">
        <f t="shared" si="13"/>
        <v>4 - Lodo de esgosto</v>
      </c>
      <c r="AW90" s="89">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89">
        <v>0</v>
      </c>
      <c r="AU91" s="64" t="s">
        <v>271</v>
      </c>
      <c r="AV91" s="64" t="str">
        <f t="shared" si="13"/>
        <v>0 - Compostos orgânicos</v>
      </c>
      <c r="AW91" s="89">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89">
        <v>1</v>
      </c>
      <c r="AU92" s="64" t="s">
        <v>271</v>
      </c>
      <c r="AV92" s="64" t="str">
        <f t="shared" si="13"/>
        <v>1 - Compostos orgânicos</v>
      </c>
      <c r="AW92" s="89">
        <v>1</v>
      </c>
    </row>
    <row r="93" spans="13:49" ht="20.25" customHeight="1" x14ac:dyDescent="0.25">
      <c r="M93" s="80"/>
      <c r="N93" s="79"/>
      <c r="O93" s="79"/>
      <c r="P93" s="79"/>
      <c r="Q93" s="79"/>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89">
        <v>2</v>
      </c>
      <c r="AU93" s="64" t="s">
        <v>271</v>
      </c>
      <c r="AV93" s="64" t="str">
        <f t="shared" si="13"/>
        <v>2 - Compostos orgânicos</v>
      </c>
      <c r="AW93" s="89">
        <v>2</v>
      </c>
    </row>
    <row r="94" spans="13:49" ht="20.25" customHeight="1" x14ac:dyDescent="0.25">
      <c r="M94" s="80"/>
      <c r="N94" s="79"/>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89">
        <v>3</v>
      </c>
      <c r="AU94" s="64" t="s">
        <v>271</v>
      </c>
      <c r="AV94" s="64" t="str">
        <f t="shared" si="13"/>
        <v>3 - Compostos orgânicos</v>
      </c>
      <c r="AW94" s="89">
        <v>3</v>
      </c>
    </row>
    <row r="95" spans="13:49" ht="20.25" customHeight="1" thickBot="1" x14ac:dyDescent="0.3">
      <c r="M95" s="75"/>
      <c r="N95" s="76"/>
      <c r="O95" s="76"/>
      <c r="P95" s="76"/>
      <c r="Q95" s="76"/>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89">
        <v>4</v>
      </c>
      <c r="AU95" s="64" t="s">
        <v>271</v>
      </c>
      <c r="AV95" s="64" t="str">
        <f t="shared" si="13"/>
        <v>4 - Compostos orgânicos</v>
      </c>
      <c r="AW95" s="89">
        <v>4</v>
      </c>
    </row>
    <row r="96" spans="13:49" ht="20.25" customHeight="1" thickBot="1" x14ac:dyDescent="0.3"/>
    <row r="97" spans="1:41" ht="20.25" customHeight="1" x14ac:dyDescent="0.25">
      <c r="A97" s="59"/>
      <c r="M97" s="72"/>
      <c r="N97" s="73"/>
      <c r="O97" s="73"/>
      <c r="P97" s="73"/>
      <c r="Q97" s="73"/>
      <c r="R97" s="74"/>
    </row>
    <row r="98" spans="1:41" ht="20.25" customHeight="1" x14ac:dyDescent="0.25">
      <c r="A98" s="69"/>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69"/>
      <c r="M99" s="351" t="s">
        <v>243</v>
      </c>
      <c r="N99" s="361"/>
      <c r="O99" s="45">
        <f>$AC$30</f>
        <v>40</v>
      </c>
      <c r="P99" s="45">
        <f>$AC$31</f>
        <v>100</v>
      </c>
      <c r="Q99" s="45">
        <f>$AC$32</f>
        <v>70</v>
      </c>
      <c r="R99" s="26"/>
      <c r="U99" s="409"/>
      <c r="V99" s="409"/>
      <c r="W99" s="409"/>
      <c r="X99" s="82" t="s">
        <v>33</v>
      </c>
      <c r="Y99" s="82" t="s">
        <v>79</v>
      </c>
      <c r="Z99" s="82" t="s">
        <v>66</v>
      </c>
      <c r="AA99" s="82" t="s">
        <v>80</v>
      </c>
      <c r="AB99" s="82" t="s">
        <v>67</v>
      </c>
      <c r="AC99" s="82" t="s">
        <v>81</v>
      </c>
      <c r="AD99" s="82" t="s">
        <v>82</v>
      </c>
      <c r="AE99" s="82" t="s">
        <v>83</v>
      </c>
      <c r="AF99" s="82" t="s">
        <v>84</v>
      </c>
      <c r="AG99" s="82" t="s">
        <v>85</v>
      </c>
      <c r="AH99" s="82" t="s">
        <v>86</v>
      </c>
      <c r="AI99" s="82" t="s">
        <v>87</v>
      </c>
      <c r="AJ99" s="82" t="s">
        <v>88</v>
      </c>
      <c r="AK99" s="82" t="s">
        <v>89</v>
      </c>
      <c r="AL99" s="82" t="s">
        <v>106</v>
      </c>
      <c r="AM99" s="82" t="s">
        <v>90</v>
      </c>
      <c r="AN99" s="82" t="s">
        <v>91</v>
      </c>
      <c r="AO99" s="82" t="s">
        <v>92</v>
      </c>
    </row>
    <row r="100" spans="1:41" ht="20.25" customHeight="1" x14ac:dyDescent="0.25">
      <c r="A100" s="79"/>
      <c r="M100" s="351" t="s">
        <v>251</v>
      </c>
      <c r="N100" s="361"/>
      <c r="O100" s="2">
        <f>AS21</f>
        <v>40</v>
      </c>
      <c r="P100" s="2">
        <f>AT21</f>
        <v>100</v>
      </c>
      <c r="Q100" s="2">
        <f>AU21</f>
        <v>70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79"/>
      <c r="B101" s="43"/>
      <c r="C101" s="43"/>
      <c r="M101" s="75"/>
      <c r="N101" s="76"/>
      <c r="O101" s="76"/>
      <c r="P101" s="76"/>
      <c r="Q101" s="76"/>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79"/>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73"/>
      <c r="O103" s="73"/>
      <c r="P103" s="73"/>
      <c r="Q103" s="73"/>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76"/>
      <c r="O110" s="76"/>
      <c r="P110" s="76"/>
      <c r="Q110" s="76"/>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73"/>
      <c r="O112" s="73"/>
      <c r="P112" s="73"/>
      <c r="Q112" s="73"/>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80"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80"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80"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79"/>
      <c r="D116" s="38"/>
      <c r="M116" s="75"/>
      <c r="N116" s="76"/>
      <c r="O116" s="76"/>
      <c r="P116" s="76"/>
      <c r="Q116" s="76"/>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79"/>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79"/>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79"/>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79"/>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79"/>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79"/>
      <c r="D122" s="79"/>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79"/>
      <c r="D123" s="79"/>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79"/>
      <c r="D124" s="79"/>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79"/>
      <c r="L154" s="79"/>
      <c r="M154" s="79"/>
      <c r="N154" s="79"/>
      <c r="O154" s="79"/>
      <c r="P154" s="79"/>
      <c r="Q154" s="79"/>
      <c r="R154" s="79"/>
      <c r="S154" s="79"/>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79"/>
      <c r="L155" s="79"/>
      <c r="M155" s="79"/>
      <c r="N155" s="79"/>
      <c r="O155" s="79"/>
      <c r="P155" s="79"/>
      <c r="Q155" s="79"/>
      <c r="R155" s="79"/>
      <c r="S155" s="79"/>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79"/>
      <c r="L156" s="79"/>
      <c r="M156" s="79"/>
      <c r="N156" s="79"/>
      <c r="O156" s="79"/>
      <c r="P156" s="79"/>
      <c r="Q156" s="79"/>
      <c r="R156" s="79"/>
      <c r="S156" s="79"/>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79"/>
      <c r="L157" s="79"/>
      <c r="M157" s="79"/>
      <c r="N157" s="79"/>
      <c r="O157" s="79"/>
      <c r="P157" s="79"/>
      <c r="Q157" s="79"/>
      <c r="R157" s="79"/>
      <c r="S157" s="79"/>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79"/>
      <c r="L158" s="79"/>
      <c r="M158" s="79"/>
      <c r="N158" s="415"/>
      <c r="O158" s="415"/>
      <c r="P158" s="415"/>
      <c r="Q158" s="79"/>
      <c r="R158" s="79"/>
      <c r="S158" s="79"/>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79"/>
      <c r="L159" s="79"/>
      <c r="M159" s="79"/>
      <c r="N159" s="352"/>
      <c r="O159" s="352"/>
      <c r="P159" s="352"/>
      <c r="Q159" s="79"/>
      <c r="R159" s="79"/>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79"/>
      <c r="L160" s="79"/>
      <c r="M160" s="79"/>
      <c r="N160" s="79"/>
      <c r="O160" s="79"/>
      <c r="P160" s="79"/>
      <c r="Q160" s="79"/>
      <c r="R160" s="79"/>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79"/>
      <c r="L161" s="79"/>
      <c r="M161" s="79"/>
      <c r="N161" s="79"/>
      <c r="O161" s="79"/>
      <c r="P161" s="79"/>
      <c r="Q161" s="79"/>
      <c r="R161" s="79"/>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79"/>
      <c r="L162" s="79"/>
      <c r="M162" s="79"/>
      <c r="N162" s="79"/>
      <c r="O162" s="79"/>
      <c r="P162" s="79"/>
      <c r="Q162" s="79"/>
      <c r="R162" s="79"/>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79"/>
      <c r="L163" s="79"/>
      <c r="M163" s="79"/>
      <c r="N163" s="79"/>
      <c r="O163" s="79"/>
      <c r="P163" s="79"/>
      <c r="Q163" s="79"/>
      <c r="R163" s="79"/>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79"/>
      <c r="L164" s="79"/>
      <c r="M164" s="79"/>
      <c r="N164" s="79"/>
      <c r="O164" s="79"/>
      <c r="P164" s="79"/>
      <c r="Q164" s="79"/>
      <c r="R164" s="79"/>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79"/>
      <c r="L165" s="79"/>
      <c r="M165" s="79"/>
      <c r="N165" s="79"/>
      <c r="O165" s="79"/>
      <c r="P165" s="79"/>
      <c r="Q165" s="79"/>
      <c r="R165" s="79"/>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79"/>
      <c r="L166" s="79"/>
      <c r="M166" s="79"/>
      <c r="N166" s="79"/>
      <c r="O166" s="79"/>
      <c r="P166" s="79"/>
      <c r="Q166" s="79"/>
      <c r="R166" s="79"/>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79"/>
      <c r="L167" s="79"/>
      <c r="M167" s="79"/>
      <c r="N167" s="79"/>
      <c r="O167" s="79"/>
      <c r="P167" s="79"/>
      <c r="Q167" s="79"/>
      <c r="R167" s="79"/>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79"/>
      <c r="L168" s="79"/>
      <c r="M168" s="79"/>
      <c r="N168" s="79"/>
      <c r="O168" s="79"/>
      <c r="P168" s="79"/>
      <c r="Q168" s="79"/>
      <c r="R168" s="79"/>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79"/>
      <c r="L169" s="79"/>
      <c r="M169" s="79"/>
      <c r="N169" s="79"/>
      <c r="O169" s="79"/>
      <c r="P169" s="79"/>
      <c r="Q169" s="79"/>
      <c r="R169" s="79"/>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79"/>
    </row>
    <row r="170" spans="11:44" ht="20.25" customHeight="1" x14ac:dyDescent="0.25">
      <c r="K170" s="79"/>
      <c r="L170" s="79"/>
      <c r="M170" s="79"/>
      <c r="N170" s="79"/>
      <c r="O170" s="79"/>
      <c r="P170" s="79"/>
      <c r="Q170" s="79"/>
      <c r="R170" s="79"/>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79"/>
      <c r="L171" s="79"/>
      <c r="M171" s="79"/>
      <c r="N171" s="79"/>
      <c r="O171" s="79"/>
      <c r="P171" s="79"/>
      <c r="Q171" s="79"/>
      <c r="R171" s="79"/>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79"/>
      <c r="L172" s="79"/>
      <c r="M172" s="79"/>
      <c r="N172" s="79"/>
      <c r="O172" s="85"/>
      <c r="P172" s="85"/>
      <c r="Q172" s="85"/>
      <c r="R172" s="79"/>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79"/>
      <c r="L173" s="79"/>
      <c r="M173" s="79"/>
      <c r="N173" s="79"/>
      <c r="O173" s="85"/>
      <c r="P173" s="85"/>
      <c r="Q173" s="85"/>
      <c r="R173" s="79"/>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79"/>
      <c r="L174" s="79"/>
      <c r="M174" s="79"/>
      <c r="N174" s="79"/>
      <c r="O174" s="79"/>
      <c r="P174" s="79"/>
      <c r="Q174" s="79"/>
      <c r="R174" s="79"/>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79"/>
      <c r="L175" s="79"/>
      <c r="M175" s="79"/>
      <c r="N175" s="79"/>
      <c r="O175" s="85"/>
      <c r="P175" s="85"/>
      <c r="Q175" s="85"/>
      <c r="R175" s="79"/>
      <c r="S175" s="79"/>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79"/>
      <c r="L176" s="79"/>
      <c r="M176" s="79"/>
      <c r="N176" s="79"/>
      <c r="O176" s="79"/>
      <c r="P176" s="79"/>
      <c r="Q176" s="79"/>
      <c r="R176" s="79"/>
      <c r="S176" s="79"/>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79"/>
      <c r="L177" s="79"/>
      <c r="M177" s="79"/>
      <c r="N177" s="79"/>
      <c r="O177" s="79"/>
      <c r="P177" s="79"/>
      <c r="Q177" s="79"/>
      <c r="R177" s="79"/>
      <c r="S177" s="79"/>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79"/>
      <c r="L178" s="79"/>
      <c r="M178" s="79"/>
      <c r="N178" s="79"/>
      <c r="O178" s="79"/>
      <c r="P178" s="79"/>
      <c r="Q178" s="79"/>
      <c r="R178" s="79"/>
      <c r="S178" s="79"/>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79"/>
      <c r="L179" s="79"/>
      <c r="M179" s="79"/>
      <c r="N179" s="79"/>
      <c r="O179" s="79"/>
      <c r="P179" s="79"/>
      <c r="Q179" s="79"/>
      <c r="R179" s="79"/>
      <c r="S179" s="79"/>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 ref="B9:I9"/>
    <mergeCell ref="AF9:AF11"/>
    <mergeCell ref="AJ9:AJ11"/>
    <mergeCell ref="AK9:AK11"/>
    <mergeCell ref="AL9:AL11"/>
    <mergeCell ref="AM9:AM11"/>
    <mergeCell ref="AP10:AP11"/>
    <mergeCell ref="AQ10:AR11"/>
    <mergeCell ref="AV10:AV11"/>
    <mergeCell ref="C11:I11"/>
    <mergeCell ref="C12:I12"/>
    <mergeCell ref="AF12:AF14"/>
    <mergeCell ref="AJ12:AJ14"/>
    <mergeCell ref="AK12:AK14"/>
    <mergeCell ref="AL12:AL14"/>
    <mergeCell ref="AM12:AM14"/>
    <mergeCell ref="AQ12:AR12"/>
    <mergeCell ref="C13:I13"/>
    <mergeCell ref="AQ13:AR13"/>
    <mergeCell ref="C14:G14"/>
    <mergeCell ref="AQ14:AR14"/>
    <mergeCell ref="B16:I16"/>
    <mergeCell ref="AP16:AP17"/>
    <mergeCell ref="AQ16:AR17"/>
    <mergeCell ref="AV16:AV17"/>
    <mergeCell ref="U17:X19"/>
    <mergeCell ref="Y17:AD20"/>
    <mergeCell ref="B18:D18"/>
    <mergeCell ref="F18:H18"/>
    <mergeCell ref="AF18:AF20"/>
    <mergeCell ref="AJ18:AJ20"/>
    <mergeCell ref="AK18:AK20"/>
    <mergeCell ref="AL18:AL20"/>
    <mergeCell ref="AD22:AD23"/>
    <mergeCell ref="AP25:AP26"/>
    <mergeCell ref="AQ25:AR26"/>
    <mergeCell ref="B26:I26"/>
    <mergeCell ref="U26:Z26"/>
    <mergeCell ref="AM18:AM20"/>
    <mergeCell ref="AQ18:AR18"/>
    <mergeCell ref="AQ19:AR19"/>
    <mergeCell ref="B20:E20"/>
    <mergeCell ref="V20:X20"/>
    <mergeCell ref="AQ20:AR20"/>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43:C43"/>
    <mergeCell ref="E43:I43"/>
    <mergeCell ref="AP43:AQ43"/>
    <mergeCell ref="E40:I40"/>
    <mergeCell ref="AP40:AQ40"/>
    <mergeCell ref="B41:C41"/>
    <mergeCell ref="E41:I41"/>
    <mergeCell ref="O41:Q41"/>
    <mergeCell ref="AP41:AQ41"/>
    <mergeCell ref="B44:C44"/>
    <mergeCell ref="E44:I44"/>
    <mergeCell ref="M44:R44"/>
    <mergeCell ref="AP44:AQ44"/>
    <mergeCell ref="B45:C45"/>
    <mergeCell ref="E45:I45"/>
    <mergeCell ref="O45:Q46"/>
    <mergeCell ref="U45:V45"/>
    <mergeCell ref="X45:Z45"/>
    <mergeCell ref="B46:C46"/>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B67:E67"/>
    <mergeCell ref="F67:I67"/>
    <mergeCell ref="AQ57:AR57"/>
    <mergeCell ref="B58:C58"/>
    <mergeCell ref="E58:I58"/>
    <mergeCell ref="AQ58:AR58"/>
    <mergeCell ref="B59:C59"/>
    <mergeCell ref="E59:I59"/>
    <mergeCell ref="AQ59:AR59"/>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M98:N98"/>
    <mergeCell ref="U98:U99"/>
    <mergeCell ref="V98:V99"/>
    <mergeCell ref="W98:W99"/>
    <mergeCell ref="X98:AO98"/>
    <mergeCell ref="M99:N99"/>
    <mergeCell ref="U87:U95"/>
    <mergeCell ref="O88:Q88"/>
    <mergeCell ref="O89:Q89"/>
    <mergeCell ref="O90:P90"/>
    <mergeCell ref="O91:P91"/>
    <mergeCell ref="O92:P92"/>
    <mergeCell ref="O94:Q94"/>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$AE$31:$AE$35</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T47" sqref="T47"/>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50</v>
      </c>
      <c r="V28" s="111">
        <v>70000</v>
      </c>
      <c r="W28" s="111" t="s">
        <v>68</v>
      </c>
      <c r="X28" s="111" t="str">
        <f>CONCATENATE(U28," - ",W28)</f>
        <v>&lt; 20 - baixo</v>
      </c>
      <c r="Y28" s="111">
        <v>60000</v>
      </c>
      <c r="Z28" s="111">
        <v>60000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50</v>
      </c>
      <c r="V29" s="111">
        <v>70000</v>
      </c>
      <c r="W29" s="111" t="s">
        <v>69</v>
      </c>
      <c r="X29" s="111" t="str">
        <f t="shared" ref="X29:X42" si="9">CONCATENATE(U29," - ",W29)</f>
        <v>&lt; 20 - medio</v>
      </c>
      <c r="Y29" s="111">
        <v>40000</v>
      </c>
      <c r="Z29" s="111">
        <v>40000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50</v>
      </c>
      <c r="V30" s="111">
        <v>70000</v>
      </c>
      <c r="W30" s="111" t="s">
        <v>70</v>
      </c>
      <c r="X30" s="111" t="str">
        <f t="shared" si="9"/>
        <v>&lt; 20 - adequado</v>
      </c>
      <c r="Y30" s="111">
        <v>0</v>
      </c>
      <c r="Z30" s="111">
        <v>30000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279</v>
      </c>
      <c r="V31" s="111">
        <v>100000</v>
      </c>
      <c r="W31" s="111" t="s">
        <v>68</v>
      </c>
      <c r="X31" s="111" t="str">
        <f t="shared" si="9"/>
        <v>20,1 - 30 - baixo</v>
      </c>
      <c r="Y31" s="111">
        <v>90000</v>
      </c>
      <c r="Z31" s="111">
        <v>80000</v>
      </c>
      <c r="AB31" s="121" t="s">
        <v>66</v>
      </c>
      <c r="AC31" s="121" t="e">
        <f>VLOOKUP(AB36,X28:Z42,2,0)/$E$18</f>
        <v>#VALUE!</v>
      </c>
      <c r="AE31" s="111" t="s">
        <v>50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279</v>
      </c>
      <c r="V32" s="111">
        <v>100000</v>
      </c>
      <c r="W32" s="111" t="s">
        <v>69</v>
      </c>
      <c r="X32" s="111" t="str">
        <f t="shared" si="9"/>
        <v>20,1 - 30 - medio</v>
      </c>
      <c r="Y32" s="111">
        <v>60000</v>
      </c>
      <c r="Z32" s="111">
        <v>60000</v>
      </c>
      <c r="AB32" s="121" t="s">
        <v>67</v>
      </c>
      <c r="AC32" s="121" t="e">
        <f>VLOOKUP($AB$39,X28:Z42,3,0)/$E$18</f>
        <v>#VALUE!</v>
      </c>
      <c r="AE32" s="111" t="s">
        <v>279</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279</v>
      </c>
      <c r="V33" s="111">
        <v>100000</v>
      </c>
      <c r="W33" s="111" t="s">
        <v>70</v>
      </c>
      <c r="X33" s="111" t="str">
        <f t="shared" si="9"/>
        <v>20,1 - 30 - adequado</v>
      </c>
      <c r="Y33" s="111">
        <v>10000</v>
      </c>
      <c r="Z33" s="111">
        <v>50000</v>
      </c>
      <c r="AE33" s="111" t="s">
        <v>303</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303</v>
      </c>
      <c r="V34" s="111">
        <v>140000</v>
      </c>
      <c r="W34" s="111" t="s">
        <v>68</v>
      </c>
      <c r="X34" s="111" t="str">
        <f t="shared" si="9"/>
        <v>30,1 - 40 - baixo</v>
      </c>
      <c r="Y34" s="111">
        <v>125000</v>
      </c>
      <c r="Z34" s="111">
        <v>120000</v>
      </c>
      <c r="AE34" s="111" t="s">
        <v>305</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303</v>
      </c>
      <c r="V35" s="111">
        <v>140000</v>
      </c>
      <c r="W35" s="111" t="s">
        <v>69</v>
      </c>
      <c r="X35" s="111" t="str">
        <f t="shared" si="9"/>
        <v>30,1 - 40 - medio</v>
      </c>
      <c r="Y35" s="111">
        <v>80000</v>
      </c>
      <c r="Z35" s="111">
        <v>80000</v>
      </c>
      <c r="AB35" s="340" t="s">
        <v>72</v>
      </c>
      <c r="AC35" s="340"/>
      <c r="AE35" s="111" t="s">
        <v>306</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303</v>
      </c>
      <c r="V36" s="111">
        <v>140000</v>
      </c>
      <c r="W36" s="111" t="s">
        <v>70</v>
      </c>
      <c r="X36" s="111" t="str">
        <f t="shared" si="9"/>
        <v>30,1 - 40 - adequado</v>
      </c>
      <c r="Y36" s="111">
        <v>15000</v>
      </c>
      <c r="Z36" s="111">
        <v>70000</v>
      </c>
      <c r="AB36" s="340" t="str">
        <f>CONCATENATE($P$39," - ",$AD$8)</f>
        <v>&lt; 20 -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305</v>
      </c>
      <c r="V37" s="111">
        <v>180000</v>
      </c>
      <c r="W37" s="111" t="s">
        <v>68</v>
      </c>
      <c r="X37" s="111" t="str">
        <f t="shared" si="9"/>
        <v>40,1 - 50 - baixo</v>
      </c>
      <c r="Y37" s="111">
        <v>160000</v>
      </c>
      <c r="Z37" s="111">
        <v>150000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305</v>
      </c>
      <c r="V38" s="111">
        <v>180000</v>
      </c>
      <c r="W38" s="111" t="s">
        <v>69</v>
      </c>
      <c r="X38" s="111" t="str">
        <f t="shared" si="9"/>
        <v>40,1 - 50 - medio</v>
      </c>
      <c r="Y38" s="111">
        <v>110000</v>
      </c>
      <c r="Z38" s="111">
        <v>110000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50</v>
      </c>
      <c r="Q39" s="341"/>
      <c r="R39" s="26"/>
      <c r="U39" s="111" t="s">
        <v>305</v>
      </c>
      <c r="V39" s="111">
        <v>180000</v>
      </c>
      <c r="W39" s="111" t="s">
        <v>70</v>
      </c>
      <c r="X39" s="111" t="str">
        <f t="shared" si="9"/>
        <v>40,1 - 50 - adequado</v>
      </c>
      <c r="Y39" s="111">
        <v>20000</v>
      </c>
      <c r="Z39" s="111">
        <v>85000</v>
      </c>
      <c r="AB39" s="340" t="str">
        <f>CONCATENATE($P$39," - ",$AD$22)</f>
        <v>&lt; 20 -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U40" s="111" t="s">
        <v>306</v>
      </c>
      <c r="V40" s="111">
        <v>220000</v>
      </c>
      <c r="W40" s="111" t="s">
        <v>68</v>
      </c>
      <c r="X40" s="111" t="str">
        <f t="shared" si="9"/>
        <v>&gt; 50,1  - baixo</v>
      </c>
      <c r="Y40" s="111">
        <v>200000</v>
      </c>
      <c r="Z40" s="111">
        <v>185000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306</v>
      </c>
      <c r="V41" s="111">
        <v>220000</v>
      </c>
      <c r="W41" s="111" t="s">
        <v>69</v>
      </c>
      <c r="X41" s="111" t="str">
        <f t="shared" si="9"/>
        <v>&gt; 50,1  - medio</v>
      </c>
      <c r="Y41" s="111">
        <v>130000</v>
      </c>
      <c r="Z41" s="111">
        <v>130000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U42" s="111" t="s">
        <v>306</v>
      </c>
      <c r="V42" s="111">
        <v>220000</v>
      </c>
      <c r="W42" s="111" t="s">
        <v>70</v>
      </c>
      <c r="X42" s="111" t="str">
        <f t="shared" si="9"/>
        <v>&gt; 50,1  - adequado</v>
      </c>
      <c r="Y42" s="111">
        <v>30000</v>
      </c>
      <c r="Z42" s="111">
        <v>100000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U48" sqref="U48"/>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09" t="s">
        <v>1</v>
      </c>
      <c r="P5" s="8">
        <v>5.7</v>
      </c>
      <c r="Q5" s="109" t="s">
        <v>2</v>
      </c>
      <c r="R5" s="26"/>
      <c r="U5" s="343"/>
      <c r="V5" s="343"/>
      <c r="W5" s="343"/>
      <c r="X5" s="343"/>
      <c r="Y5" s="340"/>
      <c r="Z5" s="340"/>
      <c r="AA5" s="340"/>
      <c r="AB5" s="340"/>
      <c r="AC5" s="340"/>
      <c r="AD5" s="340"/>
      <c r="AO5" s="10"/>
      <c r="AP5" s="334"/>
      <c r="AQ5" s="334"/>
      <c r="AR5" s="334"/>
      <c r="AS5" s="18">
        <f>$AC$30</f>
        <v>300</v>
      </c>
      <c r="AT5" s="18">
        <f>$AC$31</f>
        <v>100</v>
      </c>
      <c r="AU5" s="18">
        <f>$AC$32</f>
        <v>130</v>
      </c>
      <c r="AV5" s="364"/>
      <c r="AW5" s="10"/>
      <c r="AX5" s="10"/>
      <c r="AY5" s="10"/>
      <c r="AZ5" s="10"/>
      <c r="BA5" s="10"/>
      <c r="BB5" s="10"/>
    </row>
    <row r="6" spans="1:54" ht="20.25" customHeight="1" x14ac:dyDescent="0.25">
      <c r="B6" s="90"/>
      <c r="C6" s="90"/>
      <c r="D6" s="90"/>
      <c r="E6" s="90"/>
      <c r="F6" s="90"/>
      <c r="G6" s="90"/>
      <c r="H6" s="90"/>
      <c r="I6" s="90"/>
      <c r="M6" s="351"/>
      <c r="N6" s="361"/>
      <c r="O6" s="109" t="s">
        <v>3</v>
      </c>
      <c r="P6" s="9">
        <v>1.4</v>
      </c>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109" t="s">
        <v>4</v>
      </c>
      <c r="P7" s="8">
        <v>0.6</v>
      </c>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109" t="s">
        <v>5</v>
      </c>
      <c r="P8" s="9">
        <v>0.09</v>
      </c>
      <c r="Q8" s="102" t="s">
        <v>55</v>
      </c>
      <c r="R8" s="26"/>
      <c r="U8" s="109" t="s">
        <v>37</v>
      </c>
      <c r="V8" s="109" t="s">
        <v>39</v>
      </c>
      <c r="W8" s="109" t="s">
        <v>30</v>
      </c>
      <c r="X8" s="109" t="s">
        <v>43</v>
      </c>
      <c r="Y8" s="109" t="str">
        <f>IF($P$21&lt;=15.99,"correto","erro")</f>
        <v>erro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adequado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09" t="s">
        <v>6</v>
      </c>
      <c r="P9" s="8">
        <v>0.01</v>
      </c>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f>IF(AJ9="Baixo",AL9,0)</f>
        <v>4.8</v>
      </c>
      <c r="AL9" s="340">
        <f>(AM9*1000)/$E$18</f>
        <v>4.8</v>
      </c>
      <c r="AM9" s="338">
        <v>2</v>
      </c>
      <c r="AO9" s="10"/>
      <c r="AP9" s="10"/>
      <c r="AQ9" s="10"/>
      <c r="AR9" s="10"/>
      <c r="AS9" s="48">
        <f>AS5-(SUM(AS6:AS8))</f>
        <v>300</v>
      </c>
      <c r="AT9" s="48">
        <f>AT5-(SUM(AT6:AT8))</f>
        <v>100</v>
      </c>
      <c r="AU9" s="48">
        <f>AU5-(SUM(AU6:AU8))</f>
        <v>130</v>
      </c>
      <c r="AV9" s="48"/>
      <c r="AW9" s="10"/>
      <c r="AX9" s="10"/>
      <c r="AY9" s="10"/>
      <c r="AZ9" s="10"/>
      <c r="BA9" s="10"/>
      <c r="BB9" s="10"/>
    </row>
    <row r="10" spans="1:54" ht="20.25" customHeight="1" x14ac:dyDescent="0.25">
      <c r="B10" s="90"/>
      <c r="C10" s="90"/>
      <c r="D10" s="90"/>
      <c r="E10" s="90"/>
      <c r="F10" s="90"/>
      <c r="G10" s="90"/>
      <c r="H10" s="90"/>
      <c r="I10" s="90"/>
      <c r="M10" s="351"/>
      <c r="N10" s="361"/>
      <c r="O10" s="109" t="s">
        <v>7</v>
      </c>
      <c r="P10" s="9">
        <v>0.3</v>
      </c>
      <c r="Q10" s="109" t="s">
        <v>55</v>
      </c>
      <c r="R10" s="26"/>
      <c r="U10" s="109" t="s">
        <v>28</v>
      </c>
      <c r="V10" s="109" t="s">
        <v>41</v>
      </c>
      <c r="W10" s="109" t="s">
        <v>45</v>
      </c>
      <c r="X10" s="109" t="s">
        <v>48</v>
      </c>
      <c r="Y10" s="109" t="str">
        <f>IF(AND($P$21&gt;34.99,P21&lt;59.99),"correto","erro")</f>
        <v>correto</v>
      </c>
      <c r="Z10" s="109" t="str">
        <f>IF($P$13&lt;=5,"baixo","erro")</f>
        <v>erro</v>
      </c>
      <c r="AA10" s="109" t="str">
        <f>IF(AND($P$13&gt;=5.01,$P$13&lt;=8),"medio","erro")</f>
        <v>erro</v>
      </c>
      <c r="AB10" s="109" t="str">
        <f>IF($P$13&gt;8,"adequado","erro")</f>
        <v>adequado</v>
      </c>
      <c r="AC10" s="109" t="str">
        <f>IF(Z10="baixo","baixo",IF(AA10="medio","medio",IF(AB10="adequado","adequado",0)))</f>
        <v>adequado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t="s">
        <v>291</v>
      </c>
      <c r="AX10" s="10"/>
      <c r="AY10" s="10"/>
      <c r="AZ10" s="10"/>
      <c r="BA10" s="10"/>
      <c r="BB10" s="10"/>
    </row>
    <row r="11" spans="1:54" ht="20.25" customHeight="1" x14ac:dyDescent="0.25">
      <c r="B11" s="123" t="s">
        <v>109</v>
      </c>
      <c r="C11" s="323"/>
      <c r="D11" s="323"/>
      <c r="E11" s="323"/>
      <c r="F11" s="323"/>
      <c r="G11" s="323"/>
      <c r="H11" s="323"/>
      <c r="I11" s="324"/>
      <c r="M11" s="351"/>
      <c r="N11" s="361"/>
      <c r="O11" s="109" t="s">
        <v>8</v>
      </c>
      <c r="P11" s="8">
        <v>4.3</v>
      </c>
      <c r="Q11" s="109" t="s">
        <v>55</v>
      </c>
      <c r="R11" s="26"/>
      <c r="U11" s="109" t="s">
        <v>38</v>
      </c>
      <c r="V11" s="109" t="s">
        <v>42</v>
      </c>
      <c r="W11" s="109" t="s">
        <v>46</v>
      </c>
      <c r="X11" s="109" t="s">
        <v>49</v>
      </c>
      <c r="Y11" s="109" t="str">
        <f>IF($P$21&gt;59.99,"correto","erro")</f>
        <v>erro</v>
      </c>
      <c r="Z11" s="109" t="str">
        <f>IF($P$13&lt;=3,"baixo","erro")</f>
        <v>erro</v>
      </c>
      <c r="AA11" s="109" t="str">
        <f>IF(AND($P$13&gt;=3.01,$P$13&lt;=6),"medio","erro")</f>
        <v>erro</v>
      </c>
      <c r="AB11" s="109" t="str">
        <f>IF($P$13&gt;6,"adequado","erro")</f>
        <v>adequado</v>
      </c>
      <c r="AC11" s="109" t="str">
        <f>IF(Z11="baixo","baixo",IF(AA11="medio","medio",IF(AB11="adequado","adequado",0)))</f>
        <v>adequado</v>
      </c>
      <c r="AD11" s="340"/>
      <c r="AF11" s="335"/>
      <c r="AG11" s="116" t="s">
        <v>215</v>
      </c>
      <c r="AH11" s="116" t="s">
        <v>214</v>
      </c>
      <c r="AI11" s="109" t="str">
        <f>IF($P$14&gt;0.5,"adequado","erro")</f>
        <v>erro</v>
      </c>
      <c r="AJ11" s="340"/>
      <c r="AK11" s="340"/>
      <c r="AL11" s="340"/>
      <c r="AM11" s="338"/>
      <c r="AO11" s="10"/>
      <c r="AP11" s="334"/>
      <c r="AQ11" s="334"/>
      <c r="AR11" s="334"/>
      <c r="AS11" s="18">
        <f>AS9</f>
        <v>300</v>
      </c>
      <c r="AT11" s="18">
        <f t="shared" ref="AT11:AU11" si="0">AT9</f>
        <v>100</v>
      </c>
      <c r="AU11" s="18">
        <f t="shared" si="0"/>
        <v>130</v>
      </c>
      <c r="AV11" s="364"/>
      <c r="AW11" s="10"/>
      <c r="AX11" s="10"/>
      <c r="AY11" s="10"/>
      <c r="AZ11" s="10"/>
      <c r="BA11" s="10"/>
      <c r="BB11" s="10"/>
    </row>
    <row r="12" spans="1:54" ht="20.25" customHeight="1" x14ac:dyDescent="0.25">
      <c r="B12" s="119" t="s">
        <v>110</v>
      </c>
      <c r="C12" s="322"/>
      <c r="D12" s="323"/>
      <c r="E12" s="323"/>
      <c r="F12" s="323"/>
      <c r="G12" s="323"/>
      <c r="H12" s="323"/>
      <c r="I12" s="324"/>
      <c r="M12" s="351"/>
      <c r="N12" s="361"/>
      <c r="O12" s="109" t="s">
        <v>9</v>
      </c>
      <c r="P12" s="9">
        <v>19.399999999999999</v>
      </c>
      <c r="Q12" s="109" t="s">
        <v>10</v>
      </c>
      <c r="R12" s="26"/>
      <c r="AF12" s="335" t="s">
        <v>226</v>
      </c>
      <c r="AG12" s="116" t="s">
        <v>25</v>
      </c>
      <c r="AH12" s="116" t="s">
        <v>222</v>
      </c>
      <c r="AI12" s="109" t="str">
        <f>IF($P$16&lt;=0.4,"baixo","erro")</f>
        <v>baixo</v>
      </c>
      <c r="AJ12" s="340" t="str">
        <f>IF($AI$12="baixo","baixo",IF($AI$13="medio","medio",IF($AI$14="adequado","adequado",0)))</f>
        <v>baixo</v>
      </c>
      <c r="AK12" s="340">
        <f>IF(AJ12="Baixo",AL12,0)</f>
        <v>4.8</v>
      </c>
      <c r="AL12" s="340">
        <f>(AM12*1000)/$E$18</f>
        <v>4.8</v>
      </c>
      <c r="AM12" s="338">
        <v>2</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119" t="s">
        <v>111</v>
      </c>
      <c r="C13" s="322"/>
      <c r="D13" s="323"/>
      <c r="E13" s="323"/>
      <c r="F13" s="323"/>
      <c r="G13" s="323"/>
      <c r="H13" s="323"/>
      <c r="I13" s="324"/>
      <c r="M13" s="351"/>
      <c r="N13" s="361"/>
      <c r="O13" s="109" t="s">
        <v>11</v>
      </c>
      <c r="P13" s="8">
        <v>9</v>
      </c>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119" t="s">
        <v>112</v>
      </c>
      <c r="C14" s="322"/>
      <c r="D14" s="323"/>
      <c r="E14" s="323"/>
      <c r="F14" s="323"/>
      <c r="G14" s="324"/>
      <c r="H14" s="123" t="s">
        <v>113</v>
      </c>
      <c r="I14" s="93">
        <f ca="1">TODAY()</f>
        <v>44005</v>
      </c>
      <c r="M14" s="351"/>
      <c r="N14" s="361"/>
      <c r="O14" s="109" t="s">
        <v>13</v>
      </c>
      <c r="P14" s="9">
        <v>0.1</v>
      </c>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09" t="s">
        <v>14</v>
      </c>
      <c r="P15" s="8">
        <v>5.2</v>
      </c>
      <c r="Q15" s="109" t="s">
        <v>12</v>
      </c>
      <c r="R15" s="26"/>
      <c r="AF15" s="335" t="s">
        <v>225</v>
      </c>
      <c r="AG15" s="116" t="s">
        <v>25</v>
      </c>
      <c r="AH15" s="116" t="s">
        <v>221</v>
      </c>
      <c r="AI15" s="109" t="str">
        <f>IF($P$18&lt;=1.9,"baixo","erro")</f>
        <v>baixo</v>
      </c>
      <c r="AJ15" s="340" t="str">
        <f>IF($AI$15="baixo","baixo",IF($AI$16="medio","medio",IF($AI$17="adequado","adequado",0)))</f>
        <v>baixo</v>
      </c>
      <c r="AK15" s="340">
        <f>IF(AJ15="Baixo",AL15,0)</f>
        <v>14.399999999999999</v>
      </c>
      <c r="AL15" s="340">
        <f>(AM15*1000)/$E$18</f>
        <v>14.399999999999999</v>
      </c>
      <c r="AM15" s="338">
        <v>6</v>
      </c>
      <c r="AO15" s="10"/>
      <c r="AP15" s="10"/>
      <c r="AQ15" s="10"/>
      <c r="AR15" s="10"/>
      <c r="AS15" s="48">
        <f>AS11-(SUM(AS12:AS14))</f>
        <v>300</v>
      </c>
      <c r="AT15" s="48">
        <f>AT11-(SUM(AT12:AT14))</f>
        <v>100</v>
      </c>
      <c r="AU15" s="48">
        <f>AU11-(SUM(AU12:AU14))</f>
        <v>130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09" t="s">
        <v>15</v>
      </c>
      <c r="P16" s="9">
        <v>0.2</v>
      </c>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09" t="s">
        <v>16</v>
      </c>
      <c r="P17" s="8">
        <v>45.3</v>
      </c>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300</v>
      </c>
      <c r="AT17" s="18">
        <f t="shared" ref="AT17:AU17" si="1">AT15</f>
        <v>100</v>
      </c>
      <c r="AU17" s="18">
        <f t="shared" si="1"/>
        <v>130</v>
      </c>
      <c r="AV17" s="364"/>
      <c r="AW17" s="10"/>
      <c r="AX17" s="10"/>
      <c r="AY17" s="10"/>
      <c r="AZ17" s="10"/>
      <c r="BA17" s="10"/>
      <c r="BB17" s="10"/>
    </row>
    <row r="18" spans="2:54" ht="20.25" customHeight="1" x14ac:dyDescent="0.25">
      <c r="B18" s="339" t="s">
        <v>123</v>
      </c>
      <c r="C18" s="339"/>
      <c r="D18" s="339"/>
      <c r="E18" s="94">
        <f>IFERROR(IF(ISERR(P35),Q35,IF(ISERR(Q35),P35)),"-")</f>
        <v>416.66666666666669</v>
      </c>
      <c r="F18" s="339" t="s">
        <v>114</v>
      </c>
      <c r="G18" s="339"/>
      <c r="H18" s="339"/>
      <c r="I18" s="123">
        <f>O34</f>
        <v>4</v>
      </c>
      <c r="M18" s="351"/>
      <c r="N18" s="361"/>
      <c r="O18" s="109" t="s">
        <v>17</v>
      </c>
      <c r="P18" s="9">
        <v>0.9</v>
      </c>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f>IF(AJ18="Baixo",AL18,0)</f>
        <v>14.399999999999999</v>
      </c>
      <c r="AL18" s="340">
        <f>(AM18*1000)/$E$18</f>
        <v>14.399999999999999</v>
      </c>
      <c r="AM18" s="338">
        <v>6</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109" t="s">
        <v>18</v>
      </c>
      <c r="P19" s="8">
        <v>0.9</v>
      </c>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f>P24</f>
        <v>32.8125</v>
      </c>
      <c r="H20" s="95" t="s">
        <v>52</v>
      </c>
      <c r="I20" s="94">
        <f>P21</f>
        <v>47.5</v>
      </c>
      <c r="M20" s="351"/>
      <c r="N20" s="361"/>
      <c r="O20" s="109" t="s">
        <v>19</v>
      </c>
      <c r="P20" s="9">
        <v>35</v>
      </c>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5.7</v>
      </c>
      <c r="D21" s="95" t="s">
        <v>116</v>
      </c>
      <c r="E21" s="95">
        <f>P9</f>
        <v>0.01</v>
      </c>
      <c r="F21" s="95" t="s">
        <v>117</v>
      </c>
      <c r="G21" s="95">
        <f>P23</f>
        <v>10</v>
      </c>
      <c r="H21" s="95" t="s">
        <v>85</v>
      </c>
      <c r="I21" s="95">
        <f>P18</f>
        <v>0.9</v>
      </c>
      <c r="M21" s="351"/>
      <c r="N21" s="361"/>
      <c r="O21" s="109" t="s">
        <v>52</v>
      </c>
      <c r="P21" s="8">
        <v>47.5</v>
      </c>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300</v>
      </c>
      <c r="AT21" s="48">
        <f t="shared" ref="AT21:AU21" si="2">AT17-(SUM(AT18:AT20))</f>
        <v>100</v>
      </c>
      <c r="AU21" s="48">
        <f t="shared" si="2"/>
        <v>130</v>
      </c>
      <c r="AV21" s="48"/>
      <c r="AW21" s="10"/>
      <c r="AX21" s="10"/>
      <c r="AY21" s="10"/>
      <c r="AZ21" s="10"/>
      <c r="BA21" s="10"/>
      <c r="BB21" s="10"/>
    </row>
    <row r="22" spans="2:54" ht="20.25" customHeight="1" x14ac:dyDescent="0.25">
      <c r="B22" s="96" t="s">
        <v>81</v>
      </c>
      <c r="C22" s="97">
        <f>P6</f>
        <v>1.4</v>
      </c>
      <c r="D22" s="95" t="s">
        <v>79</v>
      </c>
      <c r="E22" s="95">
        <f>P13</f>
        <v>9</v>
      </c>
      <c r="F22" s="95" t="s">
        <v>84</v>
      </c>
      <c r="G22" s="95">
        <f>P14</f>
        <v>0.1</v>
      </c>
      <c r="H22" s="95" t="s">
        <v>86</v>
      </c>
      <c r="I22" s="95">
        <f>P19</f>
        <v>0.9</v>
      </c>
      <c r="M22" s="351"/>
      <c r="N22" s="361"/>
      <c r="O22" s="109" t="s">
        <v>20</v>
      </c>
      <c r="P22" s="9">
        <v>17.5</v>
      </c>
      <c r="Q22" s="102" t="s">
        <v>23</v>
      </c>
      <c r="R22" s="26"/>
      <c r="U22" s="109" t="s">
        <v>50</v>
      </c>
      <c r="V22" s="109" t="s">
        <v>255</v>
      </c>
      <c r="W22" s="109" t="s">
        <v>257</v>
      </c>
      <c r="X22" s="109" t="s">
        <v>258</v>
      </c>
      <c r="Y22" s="109" t="str">
        <f>IF($P$21&lt;=20,"correto","erro")</f>
        <v>erro</v>
      </c>
      <c r="Z22" s="109" t="str">
        <f>IF($P$8&lt;=0.04,"baixo","erro")</f>
        <v>erro</v>
      </c>
      <c r="AA22" s="109" t="str">
        <f>IF(AND($P$8&gt;=0.041,$P$8&lt;=0.1),"medio","erro")</f>
        <v>medio</v>
      </c>
      <c r="AB22" s="109" t="str">
        <f>IF($P$8&gt;0.101,"adequado","erro")</f>
        <v>erro</v>
      </c>
      <c r="AC22" s="109" t="str">
        <f>IF(Z22="baixo","baixo",IF(AA22="medio","medio",IF(AB22="adequado","adequado",0)))</f>
        <v>medio</v>
      </c>
      <c r="AD22" s="366" t="str">
        <f>VLOOKUP("correto",Y22:AC23,5,0)</f>
        <v>medio</v>
      </c>
      <c r="AO22" s="10"/>
      <c r="AP22" s="10"/>
      <c r="AQ22" s="10"/>
      <c r="AR22" s="10"/>
      <c r="AS22" s="10"/>
      <c r="AT22" s="10"/>
      <c r="AU22" s="10"/>
      <c r="AV22" s="10"/>
      <c r="AW22" s="10"/>
      <c r="AX22" s="10"/>
      <c r="AY22" s="10"/>
      <c r="AZ22" s="10"/>
      <c r="BA22" s="10"/>
      <c r="BB22" s="10"/>
    </row>
    <row r="23" spans="2:54" ht="20.25" customHeight="1" x14ac:dyDescent="0.25">
      <c r="B23" s="96" t="s">
        <v>82</v>
      </c>
      <c r="C23" s="97">
        <f>P7</f>
        <v>0.6</v>
      </c>
      <c r="D23" s="95" t="s">
        <v>118</v>
      </c>
      <c r="E23" s="95">
        <f>P11</f>
        <v>4.3</v>
      </c>
      <c r="F23" s="95" t="s">
        <v>87</v>
      </c>
      <c r="G23" s="95">
        <f>P16</f>
        <v>0.2</v>
      </c>
      <c r="H23" s="95" t="s">
        <v>83</v>
      </c>
      <c r="I23" s="95">
        <f>P15</f>
        <v>5.2</v>
      </c>
      <c r="J23" s="22"/>
      <c r="M23" s="351"/>
      <c r="N23" s="361"/>
      <c r="O23" s="109" t="s">
        <v>21</v>
      </c>
      <c r="P23" s="8">
        <v>10</v>
      </c>
      <c r="Q23" s="109" t="s">
        <v>10</v>
      </c>
      <c r="R23" s="26"/>
      <c r="U23" s="109" t="s">
        <v>61</v>
      </c>
      <c r="V23" s="109" t="s">
        <v>256</v>
      </c>
      <c r="W23" s="109" t="s">
        <v>259</v>
      </c>
      <c r="X23" s="109" t="s">
        <v>260</v>
      </c>
      <c r="Y23" s="109" t="str">
        <f>IF($P$21&gt;20,"correto","erro")</f>
        <v>correto</v>
      </c>
      <c r="Z23" s="109" t="str">
        <f>IF($P$8&lt;=0.06,"baixo","erro")</f>
        <v>erro</v>
      </c>
      <c r="AA23" s="109" t="str">
        <f>IF(AND($P$8&gt;=0.061,$P$8&lt;=0.2),"medio","erro")</f>
        <v>medio</v>
      </c>
      <c r="AB23" s="109" t="str">
        <f>IF($P$8&gt;0.201,"adequado","erro")</f>
        <v>erro</v>
      </c>
      <c r="AC23" s="109" t="str">
        <f>IF(Z23="baixo","baixo",IF(AA23="medio","medio",IF(AB23="adequado","adequado",0)))</f>
        <v>medio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0.09</v>
      </c>
      <c r="D24" s="95" t="s">
        <v>119</v>
      </c>
      <c r="E24" s="95">
        <f>P10</f>
        <v>0.3</v>
      </c>
      <c r="F24" s="95" t="s">
        <v>89</v>
      </c>
      <c r="G24" s="95">
        <f>P17</f>
        <v>45.3</v>
      </c>
      <c r="H24" s="95" t="s">
        <v>120</v>
      </c>
      <c r="I24" s="95">
        <f>P25</f>
        <v>6.3999999999999995</v>
      </c>
      <c r="J24" s="22"/>
      <c r="M24" s="351"/>
      <c r="N24" s="361"/>
      <c r="O24" s="109" t="s">
        <v>22</v>
      </c>
      <c r="P24" s="2">
        <f>100*(P6+P7+P8+P9)/P25</f>
        <v>32.8125</v>
      </c>
      <c r="Q24" s="109" t="s">
        <v>23</v>
      </c>
      <c r="R24" s="26"/>
      <c r="AO24" s="10"/>
      <c r="AP24" s="10"/>
      <c r="AQ24" s="10"/>
      <c r="AR24" s="10"/>
      <c r="AS24" s="48">
        <f>AS26-(SUM(AS27:AS36))</f>
        <v>4.8</v>
      </c>
      <c r="AT24" s="48">
        <f t="shared" ref="AT24:AV24" si="3">AT26-(SUM(AT27:AT36))</f>
        <v>4.8</v>
      </c>
      <c r="AU24" s="48">
        <f t="shared" si="3"/>
        <v>14.399999999999999</v>
      </c>
      <c r="AV24" s="48">
        <f t="shared" si="3"/>
        <v>14.399999999999999</v>
      </c>
      <c r="AW24" s="10"/>
      <c r="AX24" s="10"/>
      <c r="AY24" s="10"/>
      <c r="AZ24" s="10"/>
      <c r="BA24" s="10"/>
      <c r="BB24" s="10"/>
    </row>
    <row r="25" spans="2:54" ht="20.25" customHeight="1" thickBot="1" x14ac:dyDescent="0.3">
      <c r="B25" s="90"/>
      <c r="C25" s="90"/>
      <c r="D25" s="90"/>
      <c r="E25" s="90"/>
      <c r="F25" s="90"/>
      <c r="G25" s="90"/>
      <c r="H25" s="90"/>
      <c r="I25" s="90"/>
      <c r="J25" s="22"/>
      <c r="M25" s="351"/>
      <c r="N25" s="361"/>
      <c r="O25" s="109" t="s">
        <v>24</v>
      </c>
      <c r="P25" s="1">
        <f>(P6+P7+P8+P9+P11)</f>
        <v>6.3999999999999995</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17"/>
      <c r="O26" s="117"/>
      <c r="P26" s="117"/>
      <c r="Q26" s="117"/>
      <c r="R26" s="77"/>
      <c r="U26" s="344" t="s">
        <v>297</v>
      </c>
      <c r="V26" s="345"/>
      <c r="W26" s="345"/>
      <c r="X26" s="345"/>
      <c r="Y26" s="345"/>
      <c r="Z26" s="346"/>
      <c r="AO26" s="10"/>
      <c r="AP26" s="414"/>
      <c r="AQ26" s="414"/>
      <c r="AR26" s="414"/>
      <c r="AS26" s="4">
        <f>AK9</f>
        <v>4.8</v>
      </c>
      <c r="AT26" s="4">
        <f>AK12</f>
        <v>4.8</v>
      </c>
      <c r="AU26" s="4">
        <f>AK15</f>
        <v>14.399999999999999</v>
      </c>
      <c r="AV26" s="4">
        <f>AK18</f>
        <v>14.399999999999999</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09" t="s">
        <v>32</v>
      </c>
      <c r="V27" s="109" t="s">
        <v>64</v>
      </c>
      <c r="W27" s="109" t="s">
        <v>75</v>
      </c>
      <c r="X27" s="109" t="s">
        <v>71</v>
      </c>
      <c r="Y27" s="109" t="s">
        <v>36</v>
      </c>
      <c r="Z27" s="109"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v>0</v>
      </c>
      <c r="V28" s="111">
        <v>50</v>
      </c>
      <c r="W28" s="111" t="s">
        <v>68</v>
      </c>
      <c r="X28" s="111" t="str">
        <f>CONCATENATE(U28," - ",W28)</f>
        <v>0 - baixo</v>
      </c>
      <c r="Y28" s="111">
        <v>10</v>
      </c>
      <c r="Z28" s="111">
        <v>10</v>
      </c>
      <c r="AE28" s="109"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v>0</v>
      </c>
      <c r="V29" s="111">
        <v>50</v>
      </c>
      <c r="W29" s="111" t="s">
        <v>69</v>
      </c>
      <c r="X29" s="111" t="str">
        <f t="shared" ref="X29:X42" si="9">CONCATENATE(U29," - ",W29)</f>
        <v>0 - medio</v>
      </c>
      <c r="Y29" s="111">
        <v>10</v>
      </c>
      <c r="Z29" s="111">
        <v>10</v>
      </c>
      <c r="AB29" s="413" t="s">
        <v>65</v>
      </c>
      <c r="AC29" s="413"/>
      <c r="AE29" s="109" t="s">
        <v>32</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v>4</v>
      </c>
      <c r="P30" s="7" t="s">
        <v>186</v>
      </c>
      <c r="Q30" s="8">
        <v>6</v>
      </c>
      <c r="R30" s="26"/>
      <c r="U30" s="111">
        <v>0</v>
      </c>
      <c r="V30" s="111">
        <v>50</v>
      </c>
      <c r="W30" s="111" t="s">
        <v>70</v>
      </c>
      <c r="X30" s="111" t="str">
        <f t="shared" si="9"/>
        <v>0 - adequado</v>
      </c>
      <c r="Y30" s="111">
        <v>10</v>
      </c>
      <c r="Z30" s="111">
        <v>10</v>
      </c>
      <c r="AB30" s="121" t="s">
        <v>33</v>
      </c>
      <c r="AC30" s="121">
        <f>VLOOKUP($P$39,$U$28:$V$42,2,0)</f>
        <v>300</v>
      </c>
      <c r="AE30" s="109"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11">
        <v>1</v>
      </c>
      <c r="V31" s="111">
        <v>60</v>
      </c>
      <c r="W31" s="111" t="s">
        <v>68</v>
      </c>
      <c r="X31" s="111" t="str">
        <f t="shared" si="9"/>
        <v>1 - baixo</v>
      </c>
      <c r="Y31" s="111">
        <v>120</v>
      </c>
      <c r="Z31" s="111">
        <v>80</v>
      </c>
      <c r="AB31" s="121" t="s">
        <v>66</v>
      </c>
      <c r="AC31" s="121">
        <f>VLOOKUP(AB36,X28:Z42,2,0)</f>
        <v>100</v>
      </c>
      <c r="AE31" s="109">
        <v>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111">
        <v>1</v>
      </c>
      <c r="V32" s="111">
        <v>60</v>
      </c>
      <c r="W32" s="111" t="s">
        <v>69</v>
      </c>
      <c r="X32" s="111" t="str">
        <f t="shared" si="9"/>
        <v>1 - medio</v>
      </c>
      <c r="Y32" s="111">
        <v>80</v>
      </c>
      <c r="Z32" s="111">
        <v>50</v>
      </c>
      <c r="AB32" s="121" t="s">
        <v>67</v>
      </c>
      <c r="AC32" s="121">
        <f>VLOOKUP($AB$39,X28:Z42,3,0)</f>
        <v>130</v>
      </c>
      <c r="AE32" s="109">
        <v>1</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11">
        <v>1</v>
      </c>
      <c r="V33" s="111">
        <v>60</v>
      </c>
      <c r="W33" s="111" t="s">
        <v>70</v>
      </c>
      <c r="X33" s="111" t="str">
        <f t="shared" si="9"/>
        <v>1 - adequado</v>
      </c>
      <c r="Y33" s="111">
        <v>40</v>
      </c>
      <c r="Z33" s="111">
        <v>30</v>
      </c>
      <c r="AE33" s="109">
        <v>2</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v>4</v>
      </c>
      <c r="P34" s="341"/>
      <c r="Q34" s="341"/>
      <c r="R34" s="26"/>
      <c r="U34" s="111">
        <v>2</v>
      </c>
      <c r="V34" s="111">
        <v>120</v>
      </c>
      <c r="W34" s="111" t="s">
        <v>68</v>
      </c>
      <c r="X34" s="111" t="str">
        <f t="shared" si="9"/>
        <v>2 - baixo</v>
      </c>
      <c r="Y34" s="111">
        <v>180</v>
      </c>
      <c r="Z34" s="111">
        <v>120</v>
      </c>
      <c r="AE34" s="109">
        <v>3</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f>10000/($O$30*$Q$30)</f>
        <v>416.66666666666669</v>
      </c>
      <c r="Q35" s="32" t="e">
        <f>10000/((($O$32/2)+($P$32/2))*$Q$32)</f>
        <v>#DIV/0!</v>
      </c>
      <c r="R35" s="77"/>
      <c r="U35" s="111">
        <v>2</v>
      </c>
      <c r="V35" s="111">
        <v>120</v>
      </c>
      <c r="W35" s="111" t="s">
        <v>69</v>
      </c>
      <c r="X35" s="111" t="str">
        <f t="shared" si="9"/>
        <v>2 - medio</v>
      </c>
      <c r="Y35" s="111">
        <v>120</v>
      </c>
      <c r="Z35" s="111">
        <v>80</v>
      </c>
      <c r="AB35" s="340" t="s">
        <v>72</v>
      </c>
      <c r="AC35" s="340"/>
      <c r="AE35" s="109">
        <v>4</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v>2</v>
      </c>
      <c r="V36" s="111">
        <v>120</v>
      </c>
      <c r="W36" s="111" t="s">
        <v>70</v>
      </c>
      <c r="X36" s="111" t="str">
        <f t="shared" si="9"/>
        <v>2 - adequado</v>
      </c>
      <c r="Y36" s="111">
        <v>60</v>
      </c>
      <c r="Z36" s="111">
        <v>40</v>
      </c>
      <c r="AB36" s="340" t="str">
        <f>CONCATENATE($P$39," - ",$AD$8)</f>
        <v>4 - adequado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18"/>
      <c r="O37" s="118"/>
      <c r="P37" s="118"/>
      <c r="Q37" s="118"/>
      <c r="R37" s="74"/>
      <c r="U37" s="111">
        <v>3</v>
      </c>
      <c r="V37" s="111">
        <v>200</v>
      </c>
      <c r="W37" s="111" t="s">
        <v>68</v>
      </c>
      <c r="X37" s="111" t="str">
        <f t="shared" si="9"/>
        <v>3 - baixo</v>
      </c>
      <c r="Y37" s="111">
        <v>240</v>
      </c>
      <c r="Z37" s="111">
        <v>160</v>
      </c>
      <c r="AI37" s="30">
        <v>0.7</v>
      </c>
      <c r="AK37" s="109" t="s">
        <v>271</v>
      </c>
      <c r="AO37" s="49"/>
      <c r="AP37" s="49"/>
      <c r="AQ37" s="49"/>
      <c r="AR37" s="49"/>
      <c r="AS37" s="48">
        <f>IF(AS24&gt;0,AS24,0)</f>
        <v>4.8</v>
      </c>
      <c r="AT37" s="48">
        <f>IF(AT24&gt;0,AT24,0)</f>
        <v>4.8</v>
      </c>
      <c r="AU37" s="48">
        <f>IF(AU24&gt;0,AU24,0)</f>
        <v>14.399999999999999</v>
      </c>
      <c r="AV37" s="48">
        <f>IF(AV24&gt;0,AV24,0)</f>
        <v>14.399999999999999</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111">
        <v>3</v>
      </c>
      <c r="V38" s="111">
        <v>200</v>
      </c>
      <c r="W38" s="111" t="s">
        <v>69</v>
      </c>
      <c r="X38" s="111" t="str">
        <f t="shared" si="9"/>
        <v>3 - medio</v>
      </c>
      <c r="Y38" s="111">
        <v>160</v>
      </c>
      <c r="Z38" s="111">
        <v>110</v>
      </c>
      <c r="AB38" s="340" t="s">
        <v>73</v>
      </c>
      <c r="AC38" s="340"/>
      <c r="AI38" s="30">
        <v>0.8</v>
      </c>
      <c r="AK38" s="109"/>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109" t="s">
        <v>167</v>
      </c>
      <c r="P39" s="341">
        <v>4</v>
      </c>
      <c r="Q39" s="341"/>
      <c r="R39" s="26"/>
      <c r="U39" s="111">
        <v>3</v>
      </c>
      <c r="V39" s="111">
        <v>200</v>
      </c>
      <c r="W39" s="111" t="s">
        <v>70</v>
      </c>
      <c r="X39" s="111" t="str">
        <f t="shared" si="9"/>
        <v>3 - adequado</v>
      </c>
      <c r="Y39" s="111">
        <v>80</v>
      </c>
      <c r="Z39" s="111">
        <v>50</v>
      </c>
      <c r="AB39" s="340" t="str">
        <f>CONCATENATE($P$39," - ",$AD$22)</f>
        <v>4 - medio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104"/>
      <c r="P40" s="104"/>
      <c r="Q40" s="104"/>
      <c r="R40" s="26"/>
      <c r="U40" s="111">
        <v>4</v>
      </c>
      <c r="V40" s="111">
        <v>300</v>
      </c>
      <c r="W40" s="111" t="s">
        <v>68</v>
      </c>
      <c r="X40" s="111" t="str">
        <f t="shared" si="9"/>
        <v>4 - baixo</v>
      </c>
      <c r="Y40" s="111">
        <v>300</v>
      </c>
      <c r="Z40" s="111">
        <v>200</v>
      </c>
      <c r="AI40" s="30">
        <v>1</v>
      </c>
      <c r="AO40" s="10"/>
      <c r="AP40" s="334" t="str">
        <f>O105</f>
        <v>Ácido Bórico</v>
      </c>
      <c r="AQ40" s="334"/>
      <c r="AR40" s="18">
        <f>IFERROR($AS$37/((VLOOKUP(AP40,$V$100:$AO$179,11,0)*0.01)),0)</f>
        <v>27.428571428571423</v>
      </c>
      <c r="AS40" s="18">
        <f>IFERROR($AT$37/((VLOOKUP(AP40,$V$100:$AO$179,14,0)*0.01)),0)</f>
        <v>0</v>
      </c>
      <c r="AT40" s="18">
        <f>IFERROR($AU$37/((VLOOKUP(AP40,$V$100:$AO$179,12,0)*0.01)),0)</f>
        <v>0</v>
      </c>
      <c r="AU40" s="18">
        <f>IFERROR($AV$37/((VLOOKUP(AP40,$V$100:$AO$179,13,0)*0.01)),0)</f>
        <v>0</v>
      </c>
      <c r="AV40" s="18">
        <f>MAX(AR40:AU40)</f>
        <v>27.428571428571423</v>
      </c>
      <c r="AW40" s="18">
        <f>IFERROR(AV40*(VLOOKUP(AP40,$V$100:$AO$179,11,0)*0.01),0)</f>
        <v>4.8</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U41" s="111">
        <v>4</v>
      </c>
      <c r="V41" s="111">
        <v>300</v>
      </c>
      <c r="W41" s="111" t="s">
        <v>69</v>
      </c>
      <c r="X41" s="111" t="str">
        <f t="shared" si="9"/>
        <v>4 - medio</v>
      </c>
      <c r="Y41" s="111">
        <v>200</v>
      </c>
      <c r="Z41" s="111">
        <v>130</v>
      </c>
      <c r="AO41" s="10"/>
      <c r="AP41" s="334" t="str">
        <f>O106</f>
        <v>Sulfato de cobre</v>
      </c>
      <c r="AQ41" s="334"/>
      <c r="AR41" s="18">
        <f>IFERROR($AS$37/((VLOOKUP(AP41,$V$100:$AO$179,11,0)*0.01)),0)</f>
        <v>0</v>
      </c>
      <c r="AS41" s="18">
        <f>IFERROR($AT$37/((VLOOKUP(AP41,$V$100:$AO$179,14,0)*0.01)),0)</f>
        <v>19.2</v>
      </c>
      <c r="AT41" s="18">
        <f>IFERROR($AU$37/((VLOOKUP(AP41,$V$100:$AO$179,12,0)*0.01)),0)</f>
        <v>0</v>
      </c>
      <c r="AU41" s="18">
        <f>IFERROR($AV$37/((VLOOKUP(AP41,$V$100:$AO$179,13,0)*0.01)),0)</f>
        <v>0</v>
      </c>
      <c r="AV41" s="18">
        <f t="shared" ref="AV41:AV43" si="12">MAX(AR41:AU41)</f>
        <v>19.2</v>
      </c>
      <c r="AW41" s="18">
        <f>IFERROR(AV41*(VLOOKUP(AP41,$V$100:$AO$179,11,0)*0.01),0)</f>
        <v>0</v>
      </c>
      <c r="AX41" s="18">
        <f>IFERROR(AV41*(VLOOKUP(AP41,$V$100:$AO$179,14,0)*0.01),0)</f>
        <v>4.8</v>
      </c>
      <c r="AY41" s="18">
        <f>IFERROR(AV41*(VLOOKUP(AP41,$V$100:$AO$179,12,0)*0.01),0)</f>
        <v>0</v>
      </c>
      <c r="AZ41" s="18">
        <f>IFERROR(AV41*(VLOOKUP(AP41,$V$100:$AO$179,13,0)*0.01),0)</f>
        <v>0</v>
      </c>
      <c r="BA41" s="10"/>
      <c r="BB41" s="11"/>
      <c r="BC41" s="104"/>
      <c r="BD41" s="104"/>
      <c r="BE41" s="104"/>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U42" s="111">
        <v>4</v>
      </c>
      <c r="V42" s="111">
        <v>300</v>
      </c>
      <c r="W42" s="111" t="s">
        <v>70</v>
      </c>
      <c r="X42" s="111" t="str">
        <f t="shared" si="9"/>
        <v>4 - adequado</v>
      </c>
      <c r="Y42" s="111">
        <v>100</v>
      </c>
      <c r="Z42" s="111">
        <v>70</v>
      </c>
      <c r="AO42" s="10"/>
      <c r="AP42" s="334" t="str">
        <f>O107</f>
        <v>Sulfato de manganês</v>
      </c>
      <c r="AQ42" s="334"/>
      <c r="AR42" s="18">
        <f>IFERROR($AS$37/((VLOOKUP(AP42,$V$100:$AO$179,11,0)*0.01)),0)</f>
        <v>0</v>
      </c>
      <c r="AS42" s="18">
        <f>IFERROR($AT$37/((VLOOKUP(AP42,$V$100:$AO$179,14,0)*0.01)),0)</f>
        <v>0</v>
      </c>
      <c r="AT42" s="18">
        <f>IFERROR($AU$37/((VLOOKUP(AP42,$V$100:$AO$179,12,0)*0.01)),0)</f>
        <v>55.38461538461538</v>
      </c>
      <c r="AU42" s="18">
        <f>IFERROR($AV$37/((VLOOKUP(AP42,$V$100:$AO$179,13,0)*0.01)),0)</f>
        <v>0</v>
      </c>
      <c r="AV42" s="18">
        <f t="shared" si="12"/>
        <v>55.38461538461538</v>
      </c>
      <c r="AW42" s="18">
        <f>IFERROR(AV42*(VLOOKUP(AP42,$V$100:$AO$179,11,0)*0.01),0)</f>
        <v>0</v>
      </c>
      <c r="AX42" s="18">
        <f>IFERROR(AV42*(VLOOKUP(AP42,$V$100:$AO$179,14,0)*0.01),0)</f>
        <v>0</v>
      </c>
      <c r="AY42" s="18">
        <f>IFERROR(AV42*(VLOOKUP(AP42,$V$100:$AO$179,12,0)*0.01),0)</f>
        <v>14.399999999999999</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117"/>
      <c r="O43" s="117"/>
      <c r="P43" s="117"/>
      <c r="Q43" s="117"/>
      <c r="R43" s="77"/>
      <c r="AO43" s="10"/>
      <c r="AP43" s="334" t="str">
        <f>O108</f>
        <v>Sulfato de zinco</v>
      </c>
      <c r="AQ43" s="334"/>
      <c r="AR43" s="18">
        <f>IFERROR($AS$37/((VLOOKUP(AP43,$V$100:$AO$179,11,0)*0.01)),0)</f>
        <v>0</v>
      </c>
      <c r="AS43" s="18">
        <f>IFERROR($AT$37/((VLOOKUP(AP43,$V$100:$AO$179,14,0)*0.01)),0)</f>
        <v>0</v>
      </c>
      <c r="AT43" s="18">
        <f>IFERROR($AU$37/((VLOOKUP(AP43,$V$100:$AO$179,12,0)*0.01)),0)</f>
        <v>0</v>
      </c>
      <c r="AU43" s="18">
        <f>IFERROR($AV$37/((VLOOKUP(AP43,$V$100:$AO$179,13,0)*0.01)),0)</f>
        <v>41.142857142857132</v>
      </c>
      <c r="AV43" s="18">
        <f t="shared" si="12"/>
        <v>41.142857142857132</v>
      </c>
      <c r="AW43" s="18">
        <f>IFERROR(AV43*(VLOOKUP(AP43,$V$100:$AO$179,11,0)*0.01),0)</f>
        <v>0</v>
      </c>
      <c r="AX43" s="18">
        <f>IFERROR(AV43*(VLOOKUP(AP43,$V$100:$AO$179,14,0)*0.01),0)</f>
        <v>0</v>
      </c>
      <c r="AY43" s="18">
        <f>IFERROR(AV43*(VLOOKUP(AP43,$V$100:$AO$179,12,0)*0.01),0)</f>
        <v>0</v>
      </c>
      <c r="AZ43" s="18">
        <f>IFERROR(AV43*(VLOOKUP(AP43,$V$100:$AO$179,13,0)*0.01),0)</f>
        <v>14.399999999999997</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118"/>
      <c r="O45" s="382" t="s">
        <v>286</v>
      </c>
      <c r="P45" s="383"/>
      <c r="Q45" s="384"/>
      <c r="R45" s="74"/>
      <c r="U45" s="344" t="s">
        <v>101</v>
      </c>
      <c r="V45" s="346"/>
      <c r="X45" s="340" t="s">
        <v>188</v>
      </c>
      <c r="Y45" s="340"/>
      <c r="Z45" s="340"/>
      <c r="AO45" s="10"/>
      <c r="AP45" s="10"/>
      <c r="AQ45" s="10"/>
      <c r="AR45" s="10"/>
      <c r="AS45" s="10"/>
      <c r="AT45" s="10"/>
      <c r="AU45" s="10"/>
      <c r="AV45" s="10"/>
      <c r="AW45" s="48">
        <f>AS37-(SUM(AW40:AW44))</f>
        <v>0</v>
      </c>
      <c r="AX45" s="48">
        <f>AT37-(SUM(AX40:AX44))</f>
        <v>0</v>
      </c>
      <c r="AY45" s="48">
        <f>AU37-(SUM(AY40:AY44))</f>
        <v>0</v>
      </c>
      <c r="AZ45" s="48">
        <f>AV37-(SUM(AZ40:AZ44))</f>
        <v>0</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109"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109"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09"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117"/>
      <c r="O51" s="117"/>
      <c r="P51" s="117"/>
      <c r="Q51" s="117"/>
      <c r="R51" s="77"/>
      <c r="U51" s="109" t="s">
        <v>254</v>
      </c>
      <c r="V51" s="2">
        <f>V48*$Q$47</f>
        <v>0</v>
      </c>
      <c r="AT51" s="111">
        <v>0</v>
      </c>
      <c r="AU51" s="64" t="s">
        <v>267</v>
      </c>
      <c r="AV51" s="64" t="str">
        <f>CONCATENATE(AT51," - ",AU51)</f>
        <v>0 - Composto de lixo (COL)</v>
      </c>
      <c r="AW51" s="111">
        <v>15</v>
      </c>
    </row>
    <row r="52" spans="2:50" ht="20.25" customHeight="1" thickBot="1" x14ac:dyDescent="0.3">
      <c r="B52" s="391"/>
      <c r="C52" s="391"/>
      <c r="D52" s="391"/>
      <c r="E52" s="391"/>
      <c r="F52" s="391"/>
      <c r="G52" s="391"/>
      <c r="H52" s="391"/>
      <c r="I52" s="391"/>
      <c r="AT52" s="111">
        <v>1</v>
      </c>
      <c r="AU52" s="64" t="s">
        <v>267</v>
      </c>
      <c r="AV52" s="64" t="str">
        <f t="shared" ref="AV52:AV95" si="13">CONCATENATE(AT52," - ",AU52)</f>
        <v>1 - Composto de lixo (COL)</v>
      </c>
      <c r="AW52" s="111">
        <v>5</v>
      </c>
    </row>
    <row r="53" spans="2:50" ht="20.25" customHeight="1" thickBot="1" x14ac:dyDescent="0.3">
      <c r="B53" s="392"/>
      <c r="C53" s="392"/>
      <c r="D53" s="392"/>
      <c r="E53" s="392"/>
      <c r="F53" s="392"/>
      <c r="G53" s="392"/>
      <c r="H53" s="392"/>
      <c r="I53" s="392"/>
      <c r="M53" s="72"/>
      <c r="N53" s="118"/>
      <c r="O53" s="118"/>
      <c r="P53" s="118"/>
      <c r="Q53" s="118"/>
      <c r="R53" s="74"/>
      <c r="AP53" s="38"/>
      <c r="AQ53" s="38"/>
      <c r="AS53" s="38"/>
      <c r="AT53" s="111">
        <v>2</v>
      </c>
      <c r="AU53" s="64" t="s">
        <v>267</v>
      </c>
      <c r="AV53" s="64" t="str">
        <f t="shared" si="13"/>
        <v>2 - Composto de lixo (COL)</v>
      </c>
      <c r="AW53" s="11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11">
        <v>3</v>
      </c>
      <c r="AU54" s="64" t="s">
        <v>267</v>
      </c>
      <c r="AV54" s="64" t="str">
        <f t="shared" si="13"/>
        <v>3 - Composto de lixo (COL)</v>
      </c>
      <c r="AW54" s="111">
        <v>15</v>
      </c>
    </row>
    <row r="55" spans="2:50" ht="20.25" customHeight="1" x14ac:dyDescent="0.25">
      <c r="B55" s="372" t="str">
        <f>IF(AP40&gt;0,AP40,"-")</f>
        <v>Ácido Bórico</v>
      </c>
      <c r="C55" s="372"/>
      <c r="D55" s="100">
        <f>IF(AV40&gt;0,AV40,"-")</f>
        <v>27.428571428571423</v>
      </c>
      <c r="E55" s="310" t="str">
        <f>IF(AV40&gt;0,"gramas por planta","-")</f>
        <v>gramas por planta</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11">
        <v>4</v>
      </c>
      <c r="AU55" s="64" t="s">
        <v>267</v>
      </c>
      <c r="AV55" s="64" t="str">
        <f t="shared" si="13"/>
        <v>4 - Composto de lixo (COL)</v>
      </c>
      <c r="AW55" s="111">
        <v>20</v>
      </c>
    </row>
    <row r="56" spans="2:50" ht="20.25" customHeight="1" x14ac:dyDescent="0.25">
      <c r="B56" s="372" t="str">
        <f>IF(AP41&gt;0,AP41,"-")</f>
        <v>Sulfato de cobre</v>
      </c>
      <c r="C56" s="372"/>
      <c r="D56" s="100">
        <f>IF(AV41&gt;0,AV41,"-")</f>
        <v>19.2</v>
      </c>
      <c r="E56" s="310" t="str">
        <f>IF(AV41&gt;0,"gramas por planta","-")</f>
        <v>gramas por planta</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11">
        <v>0</v>
      </c>
      <c r="AU56" s="64" t="s">
        <v>274</v>
      </c>
      <c r="AV56" s="64" t="str">
        <f t="shared" si="13"/>
        <v>0 - Cama de frango corte</v>
      </c>
      <c r="AW56" s="111">
        <v>3</v>
      </c>
      <c r="AX56" s="104"/>
    </row>
    <row r="57" spans="2:50" ht="20.25" customHeight="1" x14ac:dyDescent="0.25">
      <c r="B57" s="372" t="str">
        <f>IF(AP42&gt;0,AP42,"-")</f>
        <v>Sulfato de manganês</v>
      </c>
      <c r="C57" s="372"/>
      <c r="D57" s="100">
        <f>IF(AV42&gt;0,AV42,"-")</f>
        <v>55.38461538461538</v>
      </c>
      <c r="E57" s="310" t="str">
        <f t="shared" ref="E57:E59" si="14">IF(AV42&gt;0,"gramas por planta","-")</f>
        <v>gramas por planta</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275</v>
      </c>
      <c r="AR57" s="341"/>
      <c r="AS57" s="104"/>
      <c r="AT57" s="111">
        <v>1</v>
      </c>
      <c r="AU57" s="64" t="s">
        <v>274</v>
      </c>
      <c r="AV57" s="64" t="str">
        <f t="shared" si="13"/>
        <v>1 - Cama de frango corte</v>
      </c>
      <c r="AW57" s="111">
        <v>1</v>
      </c>
    </row>
    <row r="58" spans="2:50" ht="20.25" customHeight="1" x14ac:dyDescent="0.25">
      <c r="B58" s="372" t="str">
        <f>IF(AP43&gt;0,AP43,"-")</f>
        <v>Sulfato de zinco</v>
      </c>
      <c r="C58" s="372"/>
      <c r="D58" s="100">
        <f>IF(AV43&gt;0,AV43,"-")</f>
        <v>41.142857142857132</v>
      </c>
      <c r="E58" s="310" t="str">
        <f t="shared" si="14"/>
        <v>gramas por planta</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t="str">
        <f>CONCATENATE($P$39," - ",$O$42)</f>
        <v xml:space="preserve">4 - </v>
      </c>
      <c r="AR58" s="341"/>
      <c r="AS58" s="104"/>
      <c r="AT58" s="111">
        <v>2</v>
      </c>
      <c r="AU58" s="64" t="s">
        <v>274</v>
      </c>
      <c r="AV58" s="64" t="str">
        <f t="shared" si="13"/>
        <v>2 - Cama de frango corte</v>
      </c>
      <c r="AW58" s="11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Q59" s="338">
        <f>IFERROR(VLOOKUP(AQ58,AV51:AW95,2,0),0)</f>
        <v>0</v>
      </c>
      <c r="AR59" s="338"/>
      <c r="AS59" s="104"/>
      <c r="AT59" s="111">
        <v>3</v>
      </c>
      <c r="AU59" s="64" t="s">
        <v>274</v>
      </c>
      <c r="AV59" s="64" t="str">
        <f t="shared" si="13"/>
        <v>3 - Cama de frango corte</v>
      </c>
      <c r="AW59" s="11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11">
        <v>4</v>
      </c>
      <c r="AU60" s="64" t="s">
        <v>274</v>
      </c>
      <c r="AV60" s="64" t="str">
        <f t="shared" si="13"/>
        <v>4 - Cama de frango corte</v>
      </c>
      <c r="AW60" s="11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11">
        <v>0</v>
      </c>
      <c r="AU61" s="64" t="s">
        <v>148</v>
      </c>
      <c r="AV61" s="64" t="str">
        <f t="shared" si="13"/>
        <v>0 - Esterco de galinha</v>
      </c>
      <c r="AW61" s="11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11">
        <v>1</v>
      </c>
      <c r="AU62" s="64" t="s">
        <v>148</v>
      </c>
      <c r="AV62" s="64" t="str">
        <f t="shared" si="13"/>
        <v>1 - Esterco de galinha</v>
      </c>
      <c r="AW62" s="11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11">
        <v>2</v>
      </c>
      <c r="AU63" s="64" t="s">
        <v>148</v>
      </c>
      <c r="AV63" s="64" t="str">
        <f t="shared" si="13"/>
        <v>2 - Esterco de galinha</v>
      </c>
      <c r="AW63" s="11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11">
        <v>3</v>
      </c>
      <c r="AU64" s="64" t="s">
        <v>148</v>
      </c>
      <c r="AV64" s="64" t="str">
        <f t="shared" si="13"/>
        <v>3 - Esterco de galinha</v>
      </c>
      <c r="AW64" s="111">
        <v>3</v>
      </c>
    </row>
    <row r="65" spans="2:49" ht="20.2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11">
        <v>4</v>
      </c>
      <c r="AU65" s="64" t="s">
        <v>148</v>
      </c>
      <c r="AV65" s="64" t="str">
        <f t="shared" si="13"/>
        <v>4 - Esterco de galinha</v>
      </c>
      <c r="AW65" s="11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11">
        <v>0</v>
      </c>
      <c r="AU66" s="64" t="s">
        <v>273</v>
      </c>
      <c r="AV66" s="64" t="str">
        <f t="shared" si="13"/>
        <v>0 - Esterco Bovino curtido</v>
      </c>
      <c r="AW66" s="11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11">
        <v>1</v>
      </c>
      <c r="AU67" s="64" t="s">
        <v>273</v>
      </c>
      <c r="AV67" s="64" t="str">
        <f t="shared" si="13"/>
        <v>1 - Esterco Bovino curtido</v>
      </c>
      <c r="AW67" s="111">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11">
        <v>2</v>
      </c>
      <c r="AU68" s="64" t="s">
        <v>273</v>
      </c>
      <c r="AV68" s="64" t="str">
        <f t="shared" si="13"/>
        <v>2 - Esterco Bovino curtido</v>
      </c>
      <c r="AW68" s="111">
        <v>10</v>
      </c>
    </row>
    <row r="69" spans="2:49" ht="20.25" customHeight="1" thickBot="1" x14ac:dyDescent="0.3">
      <c r="M69" s="75"/>
      <c r="N69" s="117"/>
      <c r="O69" s="117"/>
      <c r="P69" s="117"/>
      <c r="Q69" s="117"/>
      <c r="R69" s="77"/>
      <c r="AT69" s="111">
        <v>3</v>
      </c>
      <c r="AU69" s="64" t="s">
        <v>273</v>
      </c>
      <c r="AV69" s="64" t="str">
        <f t="shared" si="13"/>
        <v>3 - Esterco Bovino curtido</v>
      </c>
      <c r="AW69" s="111">
        <v>15</v>
      </c>
    </row>
    <row r="70" spans="2:49" ht="20.25" customHeight="1" thickBot="1" x14ac:dyDescent="0.3">
      <c r="AT70" s="111">
        <v>4</v>
      </c>
      <c r="AU70" s="64" t="s">
        <v>273</v>
      </c>
      <c r="AV70" s="64" t="str">
        <f t="shared" si="13"/>
        <v>4 - Esterco Bovino curtido</v>
      </c>
      <c r="AW70" s="111">
        <v>20</v>
      </c>
    </row>
    <row r="71" spans="2:49" ht="20.25" customHeight="1" x14ac:dyDescent="0.25">
      <c r="M71" s="72"/>
      <c r="N71" s="118"/>
      <c r="O71" s="118"/>
      <c r="P71" s="118"/>
      <c r="Q71" s="118"/>
      <c r="R71" s="74"/>
      <c r="U71" s="371" t="s">
        <v>125</v>
      </c>
      <c r="V71" s="371" t="s">
        <v>76</v>
      </c>
      <c r="W71" s="371" t="s">
        <v>77</v>
      </c>
      <c r="X71" s="371" t="s">
        <v>265</v>
      </c>
      <c r="Y71" s="371"/>
      <c r="Z71" s="371"/>
      <c r="AT71" s="111">
        <v>0</v>
      </c>
      <c r="AU71" s="64" t="s">
        <v>273</v>
      </c>
      <c r="AV71" s="64" t="str">
        <f t="shared" si="13"/>
        <v>0 - Esterco Bovino curtido</v>
      </c>
      <c r="AW71" s="111">
        <v>15</v>
      </c>
    </row>
    <row r="72" spans="2:49" ht="20.25" customHeight="1" x14ac:dyDescent="0.25">
      <c r="M72" s="351" t="s">
        <v>198</v>
      </c>
      <c r="N72" s="352"/>
      <c r="O72" s="400" t="s">
        <v>233</v>
      </c>
      <c r="P72" s="401"/>
      <c r="Q72" s="402"/>
      <c r="R72" s="26"/>
      <c r="U72" s="371"/>
      <c r="V72" s="371"/>
      <c r="W72" s="371"/>
      <c r="X72" s="114" t="s">
        <v>81</v>
      </c>
      <c r="Y72" s="114" t="s">
        <v>82</v>
      </c>
      <c r="Z72" s="114" t="s">
        <v>83</v>
      </c>
      <c r="AT72" s="111">
        <v>1</v>
      </c>
      <c r="AU72" s="64" t="s">
        <v>266</v>
      </c>
      <c r="AV72" s="64" t="str">
        <f t="shared" si="13"/>
        <v>1 - Esterco de equino</v>
      </c>
      <c r="AW72" s="11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11">
        <v>2</v>
      </c>
      <c r="AU73" s="64" t="s">
        <v>266</v>
      </c>
      <c r="AV73" s="64" t="str">
        <f t="shared" si="13"/>
        <v>2 - Esterco de equino</v>
      </c>
      <c r="AW73" s="111">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111">
        <v>3</v>
      </c>
      <c r="AU74" s="64" t="s">
        <v>266</v>
      </c>
      <c r="AV74" s="64" t="str">
        <f t="shared" si="13"/>
        <v>3 - Esterco de equino</v>
      </c>
      <c r="AW74" s="111">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111">
        <v>4</v>
      </c>
      <c r="AU75" s="64" t="s">
        <v>266</v>
      </c>
      <c r="AV75" s="64" t="str">
        <f t="shared" si="13"/>
        <v>4 - Esterco de equino</v>
      </c>
      <c r="AW75" s="11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11">
        <v>0</v>
      </c>
      <c r="AU76" s="64" t="s">
        <v>273</v>
      </c>
      <c r="AV76" s="64" t="str">
        <f t="shared" si="13"/>
        <v>0 - Esterco Bovino curtido</v>
      </c>
      <c r="AW76" s="111">
        <v>3</v>
      </c>
    </row>
    <row r="77" spans="2:49" ht="20.2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T77" s="111">
        <v>1</v>
      </c>
      <c r="AU77" s="64" t="s">
        <v>268</v>
      </c>
      <c r="AV77" s="64" t="str">
        <f t="shared" si="13"/>
        <v>1 - Esterco de suínos</v>
      </c>
      <c r="AW77" s="11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11">
        <v>2</v>
      </c>
      <c r="AU78" s="64" t="s">
        <v>268</v>
      </c>
      <c r="AV78" s="64" t="str">
        <f t="shared" si="13"/>
        <v>2 - Esterco de suínos</v>
      </c>
      <c r="AW78" s="111">
        <v>2</v>
      </c>
    </row>
    <row r="79" spans="2:49" ht="20.2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T79" s="111">
        <v>3</v>
      </c>
      <c r="AU79" s="64" t="s">
        <v>268</v>
      </c>
      <c r="AV79" s="64" t="str">
        <f t="shared" si="13"/>
        <v>3 - Esterco de suínos</v>
      </c>
      <c r="AW79" s="11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11">
        <v>4</v>
      </c>
      <c r="AU80" s="64" t="s">
        <v>268</v>
      </c>
      <c r="AV80" s="64" t="str">
        <f t="shared" si="13"/>
        <v>4 - Esterco de suínos</v>
      </c>
      <c r="AW80" s="11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11">
        <v>0</v>
      </c>
      <c r="AU81" s="64" t="s">
        <v>269</v>
      </c>
      <c r="AV81" s="64" t="str">
        <f t="shared" si="13"/>
        <v>0 - Esterco de ovinos</v>
      </c>
      <c r="AW81" s="111">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111">
        <v>1</v>
      </c>
      <c r="AU82" s="64" t="s">
        <v>269</v>
      </c>
      <c r="AV82" s="64" t="str">
        <f t="shared" si="13"/>
        <v>1 - Esterco de ovinos</v>
      </c>
      <c r="AW82" s="111">
        <v>1</v>
      </c>
    </row>
    <row r="83" spans="13:49" ht="20.25" customHeight="1" x14ac:dyDescent="0.25">
      <c r="M83" s="351"/>
      <c r="N83" s="352"/>
      <c r="O83" s="341"/>
      <c r="P83" s="341"/>
      <c r="Q83" s="33"/>
      <c r="R83" s="26"/>
      <c r="AT83" s="111">
        <v>2</v>
      </c>
      <c r="AU83" s="64" t="s">
        <v>269</v>
      </c>
      <c r="AV83" s="64" t="str">
        <f t="shared" si="13"/>
        <v>2 - Esterco de ovinos</v>
      </c>
      <c r="AW83" s="111">
        <v>2</v>
      </c>
    </row>
    <row r="84" spans="13:49" ht="20.25" customHeight="1" x14ac:dyDescent="0.25">
      <c r="M84" s="351"/>
      <c r="N84" s="352"/>
      <c r="O84" s="341"/>
      <c r="P84" s="341"/>
      <c r="Q84" s="33"/>
      <c r="R84" s="26"/>
      <c r="AT84" s="111">
        <v>3</v>
      </c>
      <c r="AU84" s="64" t="s">
        <v>269</v>
      </c>
      <c r="AV84" s="64" t="str">
        <f t="shared" si="13"/>
        <v>3 - Esterco de ovinos</v>
      </c>
      <c r="AW84" s="111">
        <v>3</v>
      </c>
    </row>
    <row r="85" spans="13:49" ht="20.2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T85" s="111">
        <v>4</v>
      </c>
      <c r="AU85" s="64" t="s">
        <v>269</v>
      </c>
      <c r="AV85" s="64" t="str">
        <f t="shared" si="13"/>
        <v>4 - Esterco de ovinos</v>
      </c>
      <c r="AW85" s="111">
        <v>4</v>
      </c>
    </row>
    <row r="86" spans="13:49" ht="20.2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T86" s="111">
        <v>0</v>
      </c>
      <c r="AU86" s="64" t="s">
        <v>270</v>
      </c>
      <c r="AV86" s="64" t="str">
        <f t="shared" si="13"/>
        <v>0 - Lodo de esgosto</v>
      </c>
      <c r="AW86" s="111">
        <v>3</v>
      </c>
    </row>
    <row r="87" spans="13:49" ht="20.25" customHeight="1" x14ac:dyDescent="0.25">
      <c r="M87" s="351"/>
      <c r="N87" s="352"/>
      <c r="O87" s="104"/>
      <c r="P87" s="104"/>
      <c r="Q87" s="10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11">
        <v>1</v>
      </c>
      <c r="AU87" s="64" t="s">
        <v>270</v>
      </c>
      <c r="AV87" s="64" t="str">
        <f t="shared" si="13"/>
        <v>1 - Lodo de esgosto</v>
      </c>
      <c r="AW87" s="11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11">
        <v>2</v>
      </c>
      <c r="AU88" s="64" t="s">
        <v>270</v>
      </c>
      <c r="AV88" s="64" t="str">
        <f t="shared" si="13"/>
        <v>2 - Lodo de esgosto</v>
      </c>
      <c r="AW88" s="11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11">
        <v>3</v>
      </c>
      <c r="AU89" s="64" t="s">
        <v>270</v>
      </c>
      <c r="AV89" s="64" t="str">
        <f t="shared" si="13"/>
        <v>3 - Lodo de esgosto</v>
      </c>
      <c r="AW89" s="111">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11">
        <v>4</v>
      </c>
      <c r="AU90" s="64" t="s">
        <v>270</v>
      </c>
      <c r="AV90" s="64" t="str">
        <f t="shared" si="13"/>
        <v>4 - Lodo de esgosto</v>
      </c>
      <c r="AW90" s="111">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11">
        <v>0</v>
      </c>
      <c r="AU91" s="64" t="s">
        <v>271</v>
      </c>
      <c r="AV91" s="64" t="str">
        <f t="shared" si="13"/>
        <v>0 - Compostos orgânicos</v>
      </c>
      <c r="AW91" s="11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11">
        <v>1</v>
      </c>
      <c r="AU92" s="64" t="s">
        <v>271</v>
      </c>
      <c r="AV92" s="64" t="str">
        <f t="shared" si="13"/>
        <v>1 - Compostos orgânicos</v>
      </c>
      <c r="AW92" s="111">
        <v>1</v>
      </c>
    </row>
    <row r="93" spans="13:49" ht="20.25" customHeight="1" x14ac:dyDescent="0.25">
      <c r="M93" s="105"/>
      <c r="N93" s="104"/>
      <c r="O93" s="104"/>
      <c r="P93" s="104"/>
      <c r="Q93" s="10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11">
        <v>2</v>
      </c>
      <c r="AU93" s="64" t="s">
        <v>271</v>
      </c>
      <c r="AV93" s="64" t="str">
        <f t="shared" si="13"/>
        <v>2 - Compostos orgânicos</v>
      </c>
      <c r="AW93" s="111">
        <v>2</v>
      </c>
    </row>
    <row r="94" spans="13:49" ht="20.25" customHeight="1" x14ac:dyDescent="0.25">
      <c r="M94" s="105"/>
      <c r="N94" s="10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11">
        <v>3</v>
      </c>
      <c r="AU94" s="64" t="s">
        <v>271</v>
      </c>
      <c r="AV94" s="64" t="str">
        <f t="shared" si="13"/>
        <v>3 - Compostos orgânicos</v>
      </c>
      <c r="AW94" s="111">
        <v>3</v>
      </c>
    </row>
    <row r="95" spans="13:49" ht="20.25" customHeight="1" thickBot="1" x14ac:dyDescent="0.3">
      <c r="M95" s="75"/>
      <c r="N95" s="117"/>
      <c r="O95" s="117"/>
      <c r="P95" s="117"/>
      <c r="Q95" s="117"/>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11">
        <v>4</v>
      </c>
      <c r="AU95" s="64" t="s">
        <v>271</v>
      </c>
      <c r="AV95" s="64" t="str">
        <f t="shared" si="13"/>
        <v>4 - Compostos orgânicos</v>
      </c>
      <c r="AW95" s="111">
        <v>4</v>
      </c>
    </row>
    <row r="96" spans="13:49" ht="20.25" customHeight="1" thickBot="1" x14ac:dyDescent="0.3"/>
    <row r="97" spans="1:41" ht="20.25" customHeight="1" x14ac:dyDescent="0.25">
      <c r="A97" s="59"/>
      <c r="M97" s="72"/>
      <c r="N97" s="118"/>
      <c r="O97" s="118"/>
      <c r="P97" s="118"/>
      <c r="Q97" s="118"/>
      <c r="R97" s="74"/>
    </row>
    <row r="98" spans="1:41" ht="20.2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22"/>
      <c r="M99" s="351" t="s">
        <v>243</v>
      </c>
      <c r="N99" s="361"/>
      <c r="O99" s="45">
        <f>$AC$30</f>
        <v>300</v>
      </c>
      <c r="P99" s="45">
        <f>$AC$31</f>
        <v>100</v>
      </c>
      <c r="Q99" s="45">
        <f>$AC$32</f>
        <v>130</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row>
    <row r="100" spans="1:41" ht="20.25" customHeight="1" x14ac:dyDescent="0.25">
      <c r="A100" s="104"/>
      <c r="M100" s="351" t="s">
        <v>251</v>
      </c>
      <c r="N100" s="361"/>
      <c r="O100" s="2">
        <f>AS21</f>
        <v>300</v>
      </c>
      <c r="P100" s="2">
        <f>AT21</f>
        <v>100</v>
      </c>
      <c r="Q100" s="2">
        <f>AU21</f>
        <v>130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t="s">
        <v>301</v>
      </c>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t="s">
        <v>238</v>
      </c>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t="s">
        <v>96</v>
      </c>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t="s">
        <v>97</v>
      </c>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05" t="s">
        <v>243</v>
      </c>
      <c r="N114" s="45">
        <f>AS26</f>
        <v>4.8</v>
      </c>
      <c r="O114" s="45">
        <f>AT26</f>
        <v>4.8</v>
      </c>
      <c r="P114" s="45">
        <f>AU26</f>
        <v>14.399999999999999</v>
      </c>
      <c r="Q114" s="45">
        <f>AV26</f>
        <v>14.399999999999999</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05" t="s">
        <v>251</v>
      </c>
      <c r="N115" s="2">
        <f>AW45</f>
        <v>0</v>
      </c>
      <c r="O115" s="2">
        <f>AX45</f>
        <v>0</v>
      </c>
      <c r="P115" s="2">
        <f>AY45</f>
        <v>0</v>
      </c>
      <c r="Q115" s="2">
        <f>AZ45</f>
        <v>0</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20.2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$AE$31:$AE$35</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4" zoomScaleNormal="54" workbookViewId="0">
      <selection activeCell="T49" sqref="T49"/>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50</v>
      </c>
      <c r="V28" s="111">
        <v>60000</v>
      </c>
      <c r="W28" s="111" t="s">
        <v>68</v>
      </c>
      <c r="X28" s="111" t="str">
        <f>CONCATENATE(U28," - ",W28)</f>
        <v>&lt; 20 - baixo</v>
      </c>
      <c r="Y28" s="111">
        <v>70000</v>
      </c>
      <c r="Z28" s="111">
        <v>70000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50</v>
      </c>
      <c r="V29" s="111">
        <v>60000</v>
      </c>
      <c r="W29" s="111" t="s">
        <v>69</v>
      </c>
      <c r="X29" s="111" t="str">
        <f t="shared" ref="X29:X42" si="9">CONCATENATE(U29," - ",W29)</f>
        <v>&lt; 20 - medio</v>
      </c>
      <c r="Y29" s="111">
        <v>50000</v>
      </c>
      <c r="Z29" s="111">
        <v>45000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50</v>
      </c>
      <c r="V30" s="111">
        <v>60000</v>
      </c>
      <c r="W30" s="111" t="s">
        <v>70</v>
      </c>
      <c r="X30" s="111" t="str">
        <f t="shared" si="9"/>
        <v>&lt; 20 - adequado</v>
      </c>
      <c r="Y30" s="111">
        <v>10000</v>
      </c>
      <c r="Z30" s="111">
        <v>30000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308</v>
      </c>
      <c r="V31" s="111">
        <v>85000</v>
      </c>
      <c r="W31" s="111" t="s">
        <v>68</v>
      </c>
      <c r="X31" s="111" t="str">
        <f t="shared" si="9"/>
        <v>20,1 - 40 - baixo</v>
      </c>
      <c r="Y31" s="111">
        <v>100000</v>
      </c>
      <c r="Z31" s="111">
        <v>100000</v>
      </c>
      <c r="AB31" s="121" t="s">
        <v>66</v>
      </c>
      <c r="AC31" s="121" t="e">
        <f>VLOOKUP(AB36,X28:Z42,2,0)/$E$18</f>
        <v>#VALUE!</v>
      </c>
      <c r="AE31" s="111" t="s">
        <v>307</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308</v>
      </c>
      <c r="V32" s="111">
        <v>85000</v>
      </c>
      <c r="W32" s="111" t="s">
        <v>69</v>
      </c>
      <c r="X32" s="111" t="str">
        <f t="shared" si="9"/>
        <v>20,1 - 40 - medio</v>
      </c>
      <c r="Y32" s="111">
        <v>70000</v>
      </c>
      <c r="Z32" s="111">
        <v>70000</v>
      </c>
      <c r="AB32" s="121" t="s">
        <v>67</v>
      </c>
      <c r="AC32" s="121" t="e">
        <f>VLOOKUP($AB$39,X28:Z42,3,0)/$E$18</f>
        <v>#VALUE!</v>
      </c>
      <c r="AE32" s="111" t="s">
        <v>308</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308</v>
      </c>
      <c r="V33" s="111">
        <v>85000</v>
      </c>
      <c r="W33" s="111" t="s">
        <v>70</v>
      </c>
      <c r="X33" s="111" t="str">
        <f t="shared" si="9"/>
        <v>20,1 - 40 - adequado</v>
      </c>
      <c r="Y33" s="111">
        <v>20000</v>
      </c>
      <c r="Z33" s="111">
        <v>50000</v>
      </c>
      <c r="AE33" s="111" t="s">
        <v>309</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309</v>
      </c>
      <c r="V34" s="111">
        <v>140000</v>
      </c>
      <c r="W34" s="111" t="s">
        <v>68</v>
      </c>
      <c r="X34" s="111" t="str">
        <f t="shared" si="9"/>
        <v>40,1 - 60 - baixo</v>
      </c>
      <c r="Y34" s="111">
        <v>180000</v>
      </c>
      <c r="Z34" s="111">
        <v>170000</v>
      </c>
      <c r="AE34" s="111" t="s">
        <v>310</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309</v>
      </c>
      <c r="V35" s="111">
        <v>140000</v>
      </c>
      <c r="W35" s="111" t="s">
        <v>69</v>
      </c>
      <c r="X35" s="111" t="str">
        <f t="shared" si="9"/>
        <v>40,1 - 60 - medio</v>
      </c>
      <c r="Y35" s="111">
        <v>120000</v>
      </c>
      <c r="Z35" s="111">
        <v>120000</v>
      </c>
      <c r="AB35" s="340" t="s">
        <v>72</v>
      </c>
      <c r="AC35" s="340"/>
      <c r="AE35" s="111" t="s">
        <v>311</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309</v>
      </c>
      <c r="V36" s="111">
        <v>140000</v>
      </c>
      <c r="W36" s="111" t="s">
        <v>70</v>
      </c>
      <c r="X36" s="111" t="str">
        <f t="shared" si="9"/>
        <v>40,1 - 60 - adequado</v>
      </c>
      <c r="Y36" s="111">
        <v>30000</v>
      </c>
      <c r="Z36" s="111">
        <v>80000</v>
      </c>
      <c r="AB36" s="340" t="str">
        <f>CONCATENATE($P$39," - ",$AD$8)</f>
        <v>20,1 - 40 -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310</v>
      </c>
      <c r="V37" s="111">
        <v>200000</v>
      </c>
      <c r="W37" s="111" t="s">
        <v>68</v>
      </c>
      <c r="X37" s="111" t="str">
        <f t="shared" si="9"/>
        <v>60,1 - 80 - baixo</v>
      </c>
      <c r="Y37" s="111">
        <v>250000</v>
      </c>
      <c r="Z37" s="111">
        <v>235000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310</v>
      </c>
      <c r="V38" s="111">
        <v>200000</v>
      </c>
      <c r="W38" s="111" t="s">
        <v>69</v>
      </c>
      <c r="X38" s="111" t="str">
        <f t="shared" si="9"/>
        <v>60,1 - 80 - medio</v>
      </c>
      <c r="Y38" s="111">
        <v>170000</v>
      </c>
      <c r="Z38" s="111">
        <v>160000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308</v>
      </c>
      <c r="Q39" s="341"/>
      <c r="R39" s="26"/>
      <c r="U39" s="111" t="s">
        <v>310</v>
      </c>
      <c r="V39" s="111">
        <v>200000</v>
      </c>
      <c r="W39" s="111" t="s">
        <v>70</v>
      </c>
      <c r="X39" s="111" t="str">
        <f t="shared" si="9"/>
        <v>60,1 - 80 - adequado</v>
      </c>
      <c r="Y39" s="111">
        <v>40000</v>
      </c>
      <c r="Z39" s="111">
        <v>110000</v>
      </c>
      <c r="AB39" s="340" t="str">
        <f>CONCATENATE($P$39," - ",$AD$22)</f>
        <v>20,1 - 40 -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Esterco Bovino curtido</v>
      </c>
      <c r="C40" s="372"/>
      <c r="D40" s="100">
        <f>IF(AQ58&gt;0,AQ58,"-")</f>
        <v>25</v>
      </c>
      <c r="E40" s="307" t="str">
        <f>IF(AQ58&gt;0,"quilos por cova ou planta","-")</f>
        <v>quilos por cova ou planta</v>
      </c>
      <c r="F40" s="307"/>
      <c r="G40" s="307"/>
      <c r="H40" s="307"/>
      <c r="I40" s="307"/>
      <c r="J40" s="66">
        <f>AV7</f>
        <v>0</v>
      </c>
      <c r="M40" s="351"/>
      <c r="N40" s="352"/>
      <c r="O40" s="104"/>
      <c r="P40" s="104"/>
      <c r="Q40" s="104"/>
      <c r="R40" s="26"/>
      <c r="U40" s="111" t="s">
        <v>311</v>
      </c>
      <c r="V40" s="111">
        <v>250000</v>
      </c>
      <c r="W40" s="111" t="s">
        <v>68</v>
      </c>
      <c r="X40" s="111" t="str">
        <f t="shared" si="9"/>
        <v>&gt; 80,1 - baixo</v>
      </c>
      <c r="Y40" s="111">
        <v>320000</v>
      </c>
      <c r="Z40" s="111">
        <v>300000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311</v>
      </c>
      <c r="V41" s="111">
        <v>250000</v>
      </c>
      <c r="W41" s="111" t="s">
        <v>69</v>
      </c>
      <c r="X41" s="111" t="str">
        <f t="shared" si="9"/>
        <v>&gt; 80,1 - medio</v>
      </c>
      <c r="Y41" s="111">
        <v>215000</v>
      </c>
      <c r="Z41" s="111">
        <v>200000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t="s">
        <v>273</v>
      </c>
      <c r="P42" s="354"/>
      <c r="Q42" s="355"/>
      <c r="R42" s="26"/>
      <c r="U42" s="111" t="s">
        <v>311</v>
      </c>
      <c r="V42" s="111">
        <v>250000</v>
      </c>
      <c r="W42" s="111" t="s">
        <v>70</v>
      </c>
      <c r="X42" s="111" t="str">
        <f t="shared" si="9"/>
        <v>&gt; 80,1 - adequado</v>
      </c>
      <c r="Y42" s="111">
        <v>50000</v>
      </c>
      <c r="Z42" s="111">
        <v>140000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25</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f>$AC$30</f>
        <v>50</v>
      </c>
      <c r="AT5" s="18">
        <f>$AC$31</f>
        <v>10</v>
      </c>
      <c r="AU5" s="18">
        <f>$AC$32</f>
        <v>10</v>
      </c>
      <c r="AV5" s="364"/>
      <c r="AW5" s="10"/>
      <c r="AX5" s="10"/>
      <c r="AY5" s="10"/>
      <c r="AZ5" s="10"/>
      <c r="BA5" s="10"/>
      <c r="BB5" s="10"/>
    </row>
    <row r="6" spans="1:54" ht="20.2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50</v>
      </c>
      <c r="AT9" s="48">
        <f>AT5-(SUM(AT6:AT8))</f>
        <v>10</v>
      </c>
      <c r="AU9" s="48">
        <f>AU5-(SUM(AU6:AU8))</f>
        <v>10</v>
      </c>
      <c r="AV9" s="48"/>
      <c r="AW9" s="10"/>
      <c r="AX9" s="10"/>
      <c r="AY9" s="10"/>
      <c r="AZ9" s="10"/>
      <c r="BA9" s="10"/>
      <c r="BB9" s="10"/>
    </row>
    <row r="10" spans="1:54" ht="20.2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t="s">
        <v>291</v>
      </c>
      <c r="AX10" s="10"/>
      <c r="AY10" s="10"/>
      <c r="AZ10" s="10"/>
      <c r="BA10" s="10"/>
      <c r="BB10" s="10"/>
    </row>
    <row r="11" spans="1:54" ht="20.2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f>AS9</f>
        <v>50</v>
      </c>
      <c r="AT11" s="18">
        <f t="shared" ref="AT11:AU11" si="0">AT9</f>
        <v>10</v>
      </c>
      <c r="AU11" s="18">
        <f t="shared" si="0"/>
        <v>10</v>
      </c>
      <c r="AV11" s="364"/>
      <c r="AW11" s="10"/>
      <c r="AX11" s="10"/>
      <c r="AY11" s="10"/>
      <c r="AZ11" s="10"/>
      <c r="BA11" s="10"/>
      <c r="BB11" s="10"/>
    </row>
    <row r="12" spans="1:54" ht="20.2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2</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50</v>
      </c>
      <c r="AT15" s="48">
        <f>AT11-(SUM(AT12:AT14))</f>
        <v>10</v>
      </c>
      <c r="AU15" s="48">
        <f>AU11-(SUM(AU12:AU14))</f>
        <v>10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50</v>
      </c>
      <c r="AT17" s="18">
        <f t="shared" ref="AT17:AU17" si="1">AT15</f>
        <v>10</v>
      </c>
      <c r="AU17" s="18">
        <f t="shared" si="1"/>
        <v>10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6</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50</v>
      </c>
      <c r="AT21" s="48">
        <f t="shared" ref="AT21:AU21" si="2">AT17-(SUM(AT18:AT20))</f>
        <v>10</v>
      </c>
      <c r="AU21" s="48">
        <f t="shared" si="2"/>
        <v>10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109" t="s">
        <v>20</v>
      </c>
      <c r="P22" s="9"/>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09" t="s">
        <v>32</v>
      </c>
      <c r="V27" s="109" t="s">
        <v>64</v>
      </c>
      <c r="W27" s="109" t="s">
        <v>75</v>
      </c>
      <c r="X27" s="109" t="s">
        <v>71</v>
      </c>
      <c r="Y27" s="109" t="s">
        <v>36</v>
      </c>
      <c r="Z27" s="109"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v>0</v>
      </c>
      <c r="V28" s="111">
        <v>50</v>
      </c>
      <c r="W28" s="111" t="s">
        <v>68</v>
      </c>
      <c r="X28" s="111" t="str">
        <f>CONCATENATE(U28," - ",W28)</f>
        <v>0 - baixo</v>
      </c>
      <c r="Y28" s="111">
        <v>10</v>
      </c>
      <c r="Z28" s="111">
        <v>10</v>
      </c>
      <c r="AE28" s="109"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v>0</v>
      </c>
      <c r="V29" s="111">
        <v>50</v>
      </c>
      <c r="W29" s="111" t="s">
        <v>69</v>
      </c>
      <c r="X29" s="111" t="str">
        <f t="shared" ref="X29:X42" si="9">CONCATENATE(U29," - ",W29)</f>
        <v>0 - medio</v>
      </c>
      <c r="Y29" s="111">
        <v>10</v>
      </c>
      <c r="Z29" s="111">
        <v>10</v>
      </c>
      <c r="AB29" s="413" t="s">
        <v>65</v>
      </c>
      <c r="AC29" s="413"/>
      <c r="AE29" s="109" t="s">
        <v>32</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v>0</v>
      </c>
      <c r="V30" s="111">
        <v>50</v>
      </c>
      <c r="W30" s="111" t="s">
        <v>70</v>
      </c>
      <c r="X30" s="111" t="str">
        <f t="shared" si="9"/>
        <v>0 - adequado</v>
      </c>
      <c r="Y30" s="111">
        <v>10</v>
      </c>
      <c r="Z30" s="111">
        <v>10</v>
      </c>
      <c r="AB30" s="121" t="s">
        <v>33</v>
      </c>
      <c r="AC30" s="121">
        <f>VLOOKUP($P$39,$U$28:$V$42,2,0)</f>
        <v>50</v>
      </c>
      <c r="AE30" s="109"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11">
        <v>1</v>
      </c>
      <c r="V31" s="111">
        <v>40</v>
      </c>
      <c r="W31" s="111" t="s">
        <v>68</v>
      </c>
      <c r="X31" s="111" t="str">
        <f t="shared" si="9"/>
        <v>1 - baixo</v>
      </c>
      <c r="Y31" s="111">
        <v>100</v>
      </c>
      <c r="Z31" s="111">
        <v>60</v>
      </c>
      <c r="AB31" s="121" t="s">
        <v>66</v>
      </c>
      <c r="AC31" s="121">
        <f>VLOOKUP(AB36,X28:Z42,2,0)</f>
        <v>10</v>
      </c>
      <c r="AE31" s="109">
        <v>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111">
        <v>1</v>
      </c>
      <c r="V32" s="111">
        <v>40</v>
      </c>
      <c r="W32" s="111" t="s">
        <v>69</v>
      </c>
      <c r="X32" s="111" t="str">
        <f t="shared" si="9"/>
        <v>1 - medio</v>
      </c>
      <c r="Y32" s="111">
        <v>60</v>
      </c>
      <c r="Z32" s="111">
        <v>40</v>
      </c>
      <c r="AB32" s="121" t="s">
        <v>67</v>
      </c>
      <c r="AC32" s="121">
        <f>VLOOKUP($AB$39,X28:Z42,3,0)</f>
        <v>10</v>
      </c>
      <c r="AE32" s="109">
        <v>1</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11">
        <v>1</v>
      </c>
      <c r="V33" s="111">
        <v>40</v>
      </c>
      <c r="W33" s="111" t="s">
        <v>70</v>
      </c>
      <c r="X33" s="111" t="str">
        <f t="shared" si="9"/>
        <v>1 - adequado</v>
      </c>
      <c r="Y33" s="111">
        <v>30</v>
      </c>
      <c r="Z33" s="111">
        <v>20</v>
      </c>
      <c r="AE33" s="109">
        <v>2</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111">
        <v>2</v>
      </c>
      <c r="V34" s="111">
        <v>100</v>
      </c>
      <c r="W34" s="111" t="s">
        <v>68</v>
      </c>
      <c r="X34" s="111" t="str">
        <f t="shared" si="9"/>
        <v>2 - baixo</v>
      </c>
      <c r="Y34" s="111">
        <v>140</v>
      </c>
      <c r="Z34" s="111">
        <v>100</v>
      </c>
      <c r="AE34" s="109">
        <v>3</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v>2</v>
      </c>
      <c r="V35" s="111">
        <v>100</v>
      </c>
      <c r="W35" s="111" t="s">
        <v>69</v>
      </c>
      <c r="X35" s="111" t="str">
        <f t="shared" si="9"/>
        <v>2 - medio</v>
      </c>
      <c r="Y35" s="111">
        <v>100</v>
      </c>
      <c r="Z35" s="111">
        <v>60</v>
      </c>
      <c r="AB35" s="340" t="s">
        <v>72</v>
      </c>
      <c r="AC35" s="340"/>
      <c r="AE35" s="109">
        <v>4</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v>2</v>
      </c>
      <c r="V36" s="111">
        <v>100</v>
      </c>
      <c r="W36" s="111" t="s">
        <v>70</v>
      </c>
      <c r="X36" s="111" t="str">
        <f t="shared" si="9"/>
        <v>2 - adequado</v>
      </c>
      <c r="Y36" s="111">
        <v>50</v>
      </c>
      <c r="Z36" s="111">
        <v>30</v>
      </c>
      <c r="AB36" s="340" t="str">
        <f>CONCATENATE($P$39," - ",$AD$8)</f>
        <v>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18"/>
      <c r="O37" s="118"/>
      <c r="P37" s="118"/>
      <c r="Q37" s="118"/>
      <c r="R37" s="74"/>
      <c r="U37" s="111">
        <v>3</v>
      </c>
      <c r="V37" s="111">
        <v>190</v>
      </c>
      <c r="W37" s="111" t="s">
        <v>68</v>
      </c>
      <c r="X37" s="111" t="str">
        <f t="shared" si="9"/>
        <v>3 - baixo</v>
      </c>
      <c r="Y37" s="111">
        <v>200</v>
      </c>
      <c r="Z37" s="111">
        <v>140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111">
        <v>3</v>
      </c>
      <c r="V38" s="111">
        <v>190</v>
      </c>
      <c r="W38" s="111" t="s">
        <v>69</v>
      </c>
      <c r="X38" s="111" t="str">
        <f t="shared" si="9"/>
        <v>3 - medio</v>
      </c>
      <c r="Y38" s="111">
        <v>140</v>
      </c>
      <c r="Z38" s="111">
        <v>90</v>
      </c>
      <c r="AB38" s="340" t="s">
        <v>73</v>
      </c>
      <c r="AC38" s="340"/>
      <c r="AI38" s="30">
        <v>0.8</v>
      </c>
      <c r="AK38" s="109"/>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109" t="s">
        <v>167</v>
      </c>
      <c r="P39" s="341">
        <v>0</v>
      </c>
      <c r="Q39" s="341"/>
      <c r="R39" s="26"/>
      <c r="U39" s="111">
        <v>3</v>
      </c>
      <c r="V39" s="111">
        <v>190</v>
      </c>
      <c r="W39" s="111" t="s">
        <v>70</v>
      </c>
      <c r="X39" s="111" t="str">
        <f t="shared" si="9"/>
        <v>3 - adequado</v>
      </c>
      <c r="Y39" s="111">
        <v>70</v>
      </c>
      <c r="Z39" s="111">
        <v>45</v>
      </c>
      <c r="AB39" s="340" t="str">
        <f>CONCATENATE($P$39," - ",$AD$22)</f>
        <v>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104"/>
      <c r="P40" s="104"/>
      <c r="Q40" s="104"/>
      <c r="R40" s="26"/>
      <c r="U40" s="111">
        <v>4</v>
      </c>
      <c r="V40" s="111">
        <v>270</v>
      </c>
      <c r="W40" s="111" t="s">
        <v>68</v>
      </c>
      <c r="X40" s="111" t="str">
        <f t="shared" si="9"/>
        <v>4 - baixo</v>
      </c>
      <c r="Y40" s="111">
        <v>240</v>
      </c>
      <c r="Z40" s="111">
        <v>160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U41" s="111">
        <v>4</v>
      </c>
      <c r="V41" s="111">
        <v>270</v>
      </c>
      <c r="W41" s="111" t="s">
        <v>69</v>
      </c>
      <c r="X41" s="111" t="str">
        <f t="shared" si="9"/>
        <v>4 - medio</v>
      </c>
      <c r="Y41" s="111">
        <v>160</v>
      </c>
      <c r="Z41" s="111">
        <v>110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U42" s="111">
        <v>4</v>
      </c>
      <c r="V42" s="111">
        <v>270</v>
      </c>
      <c r="W42" s="111" t="s">
        <v>70</v>
      </c>
      <c r="X42" s="111" t="str">
        <f t="shared" si="9"/>
        <v>4 - adequado</v>
      </c>
      <c r="Y42" s="111">
        <v>80</v>
      </c>
      <c r="Z42" s="111">
        <v>50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118"/>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11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109"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109"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09"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117"/>
      <c r="O51" s="117"/>
      <c r="P51" s="117"/>
      <c r="Q51" s="117"/>
      <c r="R51" s="77"/>
      <c r="U51" s="109" t="s">
        <v>254</v>
      </c>
      <c r="V51" s="2">
        <f>V48*$Q$47</f>
        <v>0</v>
      </c>
      <c r="AT51" s="111">
        <v>0</v>
      </c>
      <c r="AU51" s="64" t="s">
        <v>267</v>
      </c>
      <c r="AV51" s="64" t="str">
        <f>CONCATENATE(AT51," - ",AU51)</f>
        <v>0 - Composto de lixo (COL)</v>
      </c>
      <c r="AW51" s="111">
        <v>15</v>
      </c>
    </row>
    <row r="52" spans="2:50" ht="20.25" customHeight="1" thickBot="1" x14ac:dyDescent="0.3">
      <c r="B52" s="391"/>
      <c r="C52" s="391"/>
      <c r="D52" s="391"/>
      <c r="E52" s="391"/>
      <c r="F52" s="391"/>
      <c r="G52" s="391"/>
      <c r="H52" s="391"/>
      <c r="I52" s="391"/>
      <c r="AT52" s="111">
        <v>1</v>
      </c>
      <c r="AU52" s="64" t="s">
        <v>267</v>
      </c>
      <c r="AV52" s="64" t="str">
        <f t="shared" ref="AV52:AV95" si="13">CONCATENATE(AT52," - ",AU52)</f>
        <v>1 - Composto de lixo (COL)</v>
      </c>
      <c r="AW52" s="111">
        <v>5</v>
      </c>
    </row>
    <row r="53" spans="2:50" ht="20.25" customHeight="1" thickBot="1" x14ac:dyDescent="0.3">
      <c r="B53" s="392"/>
      <c r="C53" s="392"/>
      <c r="D53" s="392"/>
      <c r="E53" s="392"/>
      <c r="F53" s="392"/>
      <c r="G53" s="392"/>
      <c r="H53" s="392"/>
      <c r="I53" s="392"/>
      <c r="M53" s="72"/>
      <c r="N53" s="118"/>
      <c r="O53" s="118"/>
      <c r="P53" s="118"/>
      <c r="Q53" s="118"/>
      <c r="R53" s="74"/>
      <c r="AP53" s="38"/>
      <c r="AQ53" s="38"/>
      <c r="AS53" s="38"/>
      <c r="AT53" s="111">
        <v>2</v>
      </c>
      <c r="AU53" s="64" t="s">
        <v>267</v>
      </c>
      <c r="AV53" s="64" t="str">
        <f t="shared" si="13"/>
        <v>2 - Composto de lixo (COL)</v>
      </c>
      <c r="AW53" s="11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11">
        <v>3</v>
      </c>
      <c r="AU54" s="64" t="s">
        <v>267</v>
      </c>
      <c r="AV54" s="64" t="str">
        <f t="shared" si="13"/>
        <v>3 - Composto de lixo (COL)</v>
      </c>
      <c r="AW54" s="111">
        <v>15</v>
      </c>
    </row>
    <row r="55" spans="2:50" ht="20.2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11">
        <v>4</v>
      </c>
      <c r="AU55" s="64" t="s">
        <v>267</v>
      </c>
      <c r="AV55" s="64" t="str">
        <f t="shared" si="13"/>
        <v>4 - Composto de lixo (COL)</v>
      </c>
      <c r="AW55" s="111">
        <v>20</v>
      </c>
    </row>
    <row r="56" spans="2:50" ht="20.2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11">
        <v>0</v>
      </c>
      <c r="AU56" s="64" t="s">
        <v>274</v>
      </c>
      <c r="AV56" s="64" t="str">
        <f t="shared" si="13"/>
        <v>0 - Cama de frango corte</v>
      </c>
      <c r="AW56" s="111">
        <v>3</v>
      </c>
      <c r="AX56" s="104"/>
    </row>
    <row r="57" spans="2:50" ht="20.25" customHeight="1" x14ac:dyDescent="0.25">
      <c r="B57" s="372" t="str">
        <f>IF(AP42&gt;0,AP42,"-")</f>
        <v>-</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275</v>
      </c>
      <c r="AR57" s="341"/>
      <c r="AS57" s="104"/>
      <c r="AT57" s="111">
        <v>1</v>
      </c>
      <c r="AU57" s="64" t="s">
        <v>274</v>
      </c>
      <c r="AV57" s="64" t="str">
        <f t="shared" si="13"/>
        <v>1 - Cama de frango corte</v>
      </c>
      <c r="AW57" s="111">
        <v>1</v>
      </c>
    </row>
    <row r="58" spans="2:50" ht="20.25" customHeight="1" x14ac:dyDescent="0.25">
      <c r="B58" s="372" t="str">
        <f>IF(AP43&gt;0,AP43,"-")</f>
        <v>-</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t="str">
        <f>CONCATENATE($P$39," - ",$O$42)</f>
        <v xml:space="preserve">0 - </v>
      </c>
      <c r="AR58" s="341"/>
      <c r="AS58" s="104"/>
      <c r="AT58" s="111">
        <v>2</v>
      </c>
      <c r="AU58" s="64" t="s">
        <v>274</v>
      </c>
      <c r="AV58" s="64" t="str">
        <f t="shared" si="13"/>
        <v>2 - Cama de frango corte</v>
      </c>
      <c r="AW58" s="11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Q59" s="338">
        <f>IFERROR(VLOOKUP(AQ58,AV51:AW95,2,0),0)</f>
        <v>0</v>
      </c>
      <c r="AR59" s="338"/>
      <c r="AS59" s="104"/>
      <c r="AT59" s="111">
        <v>3</v>
      </c>
      <c r="AU59" s="64" t="s">
        <v>274</v>
      </c>
      <c r="AV59" s="64" t="str">
        <f t="shared" si="13"/>
        <v>3 - Cama de frango corte</v>
      </c>
      <c r="AW59" s="11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11">
        <v>4</v>
      </c>
      <c r="AU60" s="64" t="s">
        <v>274</v>
      </c>
      <c r="AV60" s="64" t="str">
        <f t="shared" si="13"/>
        <v>4 - Cama de frango corte</v>
      </c>
      <c r="AW60" s="11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11">
        <v>0</v>
      </c>
      <c r="AU61" s="64" t="s">
        <v>148</v>
      </c>
      <c r="AV61" s="64" t="str">
        <f t="shared" si="13"/>
        <v>0 - Esterco de galinha</v>
      </c>
      <c r="AW61" s="11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11">
        <v>1</v>
      </c>
      <c r="AU62" s="64" t="s">
        <v>148</v>
      </c>
      <c r="AV62" s="64" t="str">
        <f t="shared" si="13"/>
        <v>1 - Esterco de galinha</v>
      </c>
      <c r="AW62" s="11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11">
        <v>2</v>
      </c>
      <c r="AU63" s="64" t="s">
        <v>148</v>
      </c>
      <c r="AV63" s="64" t="str">
        <f t="shared" si="13"/>
        <v>2 - Esterco de galinha</v>
      </c>
      <c r="AW63" s="11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11">
        <v>3</v>
      </c>
      <c r="AU64" s="64" t="s">
        <v>148</v>
      </c>
      <c r="AV64" s="64" t="str">
        <f t="shared" si="13"/>
        <v>3 - Esterco de galinha</v>
      </c>
      <c r="AW64" s="111">
        <v>3</v>
      </c>
    </row>
    <row r="65" spans="2:49" ht="20.2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11">
        <v>4</v>
      </c>
      <c r="AU65" s="64" t="s">
        <v>148</v>
      </c>
      <c r="AV65" s="64" t="str">
        <f t="shared" si="13"/>
        <v>4 - Esterco de galinha</v>
      </c>
      <c r="AW65" s="11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11">
        <v>0</v>
      </c>
      <c r="AU66" s="64" t="s">
        <v>273</v>
      </c>
      <c r="AV66" s="64" t="str">
        <f t="shared" si="13"/>
        <v>0 - Esterco Bovino curtido</v>
      </c>
      <c r="AW66" s="11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11">
        <v>1</v>
      </c>
      <c r="AU67" s="64" t="s">
        <v>273</v>
      </c>
      <c r="AV67" s="64" t="str">
        <f t="shared" si="13"/>
        <v>1 - Esterco Bovino curtido</v>
      </c>
      <c r="AW67" s="111">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11">
        <v>2</v>
      </c>
      <c r="AU68" s="64" t="s">
        <v>273</v>
      </c>
      <c r="AV68" s="64" t="str">
        <f t="shared" si="13"/>
        <v>2 - Esterco Bovino curtido</v>
      </c>
      <c r="AW68" s="111">
        <v>10</v>
      </c>
    </row>
    <row r="69" spans="2:49" ht="20.25" customHeight="1" thickBot="1" x14ac:dyDescent="0.3">
      <c r="M69" s="75"/>
      <c r="N69" s="117"/>
      <c r="O69" s="117"/>
      <c r="P69" s="117"/>
      <c r="Q69" s="117"/>
      <c r="R69" s="77"/>
      <c r="AT69" s="111">
        <v>3</v>
      </c>
      <c r="AU69" s="64" t="s">
        <v>273</v>
      </c>
      <c r="AV69" s="64" t="str">
        <f t="shared" si="13"/>
        <v>3 - Esterco Bovino curtido</v>
      </c>
      <c r="AW69" s="111">
        <v>15</v>
      </c>
    </row>
    <row r="70" spans="2:49" ht="20.25" customHeight="1" thickBot="1" x14ac:dyDescent="0.3">
      <c r="AT70" s="111">
        <v>4</v>
      </c>
      <c r="AU70" s="64" t="s">
        <v>273</v>
      </c>
      <c r="AV70" s="64" t="str">
        <f t="shared" si="13"/>
        <v>4 - Esterco Bovino curtido</v>
      </c>
      <c r="AW70" s="111">
        <v>20</v>
      </c>
    </row>
    <row r="71" spans="2:49" ht="20.25" customHeight="1" x14ac:dyDescent="0.25">
      <c r="M71" s="72"/>
      <c r="N71" s="118"/>
      <c r="O71" s="118"/>
      <c r="P71" s="118"/>
      <c r="Q71" s="118"/>
      <c r="R71" s="74"/>
      <c r="U71" s="371" t="s">
        <v>125</v>
      </c>
      <c r="V71" s="371" t="s">
        <v>76</v>
      </c>
      <c r="W71" s="371" t="s">
        <v>77</v>
      </c>
      <c r="X71" s="371" t="s">
        <v>265</v>
      </c>
      <c r="Y71" s="371"/>
      <c r="Z71" s="371"/>
      <c r="AT71" s="111">
        <v>0</v>
      </c>
      <c r="AU71" s="64" t="s">
        <v>273</v>
      </c>
      <c r="AV71" s="64" t="str">
        <f t="shared" si="13"/>
        <v>0 - Esterco Bovino curtido</v>
      </c>
      <c r="AW71" s="111">
        <v>15</v>
      </c>
    </row>
    <row r="72" spans="2:49" ht="20.25" customHeight="1" x14ac:dyDescent="0.25">
      <c r="M72" s="351" t="s">
        <v>198</v>
      </c>
      <c r="N72" s="352"/>
      <c r="O72" s="400" t="s">
        <v>233</v>
      </c>
      <c r="P72" s="401"/>
      <c r="Q72" s="402"/>
      <c r="R72" s="26"/>
      <c r="U72" s="371"/>
      <c r="V72" s="371"/>
      <c r="W72" s="371"/>
      <c r="X72" s="114" t="s">
        <v>81</v>
      </c>
      <c r="Y72" s="114" t="s">
        <v>82</v>
      </c>
      <c r="Z72" s="114" t="s">
        <v>83</v>
      </c>
      <c r="AT72" s="111">
        <v>1</v>
      </c>
      <c r="AU72" s="64" t="s">
        <v>266</v>
      </c>
      <c r="AV72" s="64" t="str">
        <f t="shared" si="13"/>
        <v>1 - Esterco de equino</v>
      </c>
      <c r="AW72" s="11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11">
        <v>2</v>
      </c>
      <c r="AU73" s="64" t="s">
        <v>266</v>
      </c>
      <c r="AV73" s="64" t="str">
        <f t="shared" si="13"/>
        <v>2 - Esterco de equino</v>
      </c>
      <c r="AW73" s="111">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111">
        <v>3</v>
      </c>
      <c r="AU74" s="64" t="s">
        <v>266</v>
      </c>
      <c r="AV74" s="64" t="str">
        <f t="shared" si="13"/>
        <v>3 - Esterco de equino</v>
      </c>
      <c r="AW74" s="111">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111">
        <v>4</v>
      </c>
      <c r="AU75" s="64" t="s">
        <v>266</v>
      </c>
      <c r="AV75" s="64" t="str">
        <f t="shared" si="13"/>
        <v>4 - Esterco de equino</v>
      </c>
      <c r="AW75" s="11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11">
        <v>0</v>
      </c>
      <c r="AU76" s="64" t="s">
        <v>273</v>
      </c>
      <c r="AV76" s="64" t="str">
        <f t="shared" si="13"/>
        <v>0 - Esterco Bovino curtido</v>
      </c>
      <c r="AW76" s="111">
        <v>3</v>
      </c>
    </row>
    <row r="77" spans="2:49" ht="20.2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T77" s="111">
        <v>1</v>
      </c>
      <c r="AU77" s="64" t="s">
        <v>268</v>
      </c>
      <c r="AV77" s="64" t="str">
        <f t="shared" si="13"/>
        <v>1 - Esterco de suínos</v>
      </c>
      <c r="AW77" s="11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11">
        <v>2</v>
      </c>
      <c r="AU78" s="64" t="s">
        <v>268</v>
      </c>
      <c r="AV78" s="64" t="str">
        <f t="shared" si="13"/>
        <v>2 - Esterco de suínos</v>
      </c>
      <c r="AW78" s="111">
        <v>2</v>
      </c>
    </row>
    <row r="79" spans="2:49" ht="20.2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T79" s="111">
        <v>3</v>
      </c>
      <c r="AU79" s="64" t="s">
        <v>268</v>
      </c>
      <c r="AV79" s="64" t="str">
        <f t="shared" si="13"/>
        <v>3 - Esterco de suínos</v>
      </c>
      <c r="AW79" s="11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11">
        <v>4</v>
      </c>
      <c r="AU80" s="64" t="s">
        <v>268</v>
      </c>
      <c r="AV80" s="64" t="str">
        <f t="shared" si="13"/>
        <v>4 - Esterco de suínos</v>
      </c>
      <c r="AW80" s="11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11">
        <v>0</v>
      </c>
      <c r="AU81" s="64" t="s">
        <v>269</v>
      </c>
      <c r="AV81" s="64" t="str">
        <f t="shared" si="13"/>
        <v>0 - Esterco de ovinos</v>
      </c>
      <c r="AW81" s="111">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111">
        <v>1</v>
      </c>
      <c r="AU82" s="64" t="s">
        <v>269</v>
      </c>
      <c r="AV82" s="64" t="str">
        <f t="shared" si="13"/>
        <v>1 - Esterco de ovinos</v>
      </c>
      <c r="AW82" s="111">
        <v>1</v>
      </c>
    </row>
    <row r="83" spans="13:49" ht="20.25" customHeight="1" x14ac:dyDescent="0.25">
      <c r="M83" s="351"/>
      <c r="N83" s="352"/>
      <c r="O83" s="341"/>
      <c r="P83" s="341"/>
      <c r="Q83" s="33"/>
      <c r="R83" s="26"/>
      <c r="AT83" s="111">
        <v>2</v>
      </c>
      <c r="AU83" s="64" t="s">
        <v>269</v>
      </c>
      <c r="AV83" s="64" t="str">
        <f t="shared" si="13"/>
        <v>2 - Esterco de ovinos</v>
      </c>
      <c r="AW83" s="111">
        <v>2</v>
      </c>
    </row>
    <row r="84" spans="13:49" ht="20.25" customHeight="1" x14ac:dyDescent="0.25">
      <c r="M84" s="351"/>
      <c r="N84" s="352"/>
      <c r="O84" s="341"/>
      <c r="P84" s="341"/>
      <c r="Q84" s="33"/>
      <c r="R84" s="26"/>
      <c r="AT84" s="111">
        <v>3</v>
      </c>
      <c r="AU84" s="64" t="s">
        <v>269</v>
      </c>
      <c r="AV84" s="64" t="str">
        <f t="shared" si="13"/>
        <v>3 - Esterco de ovinos</v>
      </c>
      <c r="AW84" s="111">
        <v>3</v>
      </c>
    </row>
    <row r="85" spans="13:49" ht="20.2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T85" s="111">
        <v>4</v>
      </c>
      <c r="AU85" s="64" t="s">
        <v>269</v>
      </c>
      <c r="AV85" s="64" t="str">
        <f t="shared" si="13"/>
        <v>4 - Esterco de ovinos</v>
      </c>
      <c r="AW85" s="111">
        <v>4</v>
      </c>
    </row>
    <row r="86" spans="13:49" ht="20.2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T86" s="111">
        <v>0</v>
      </c>
      <c r="AU86" s="64" t="s">
        <v>270</v>
      </c>
      <c r="AV86" s="64" t="str">
        <f t="shared" si="13"/>
        <v>0 - Lodo de esgosto</v>
      </c>
      <c r="AW86" s="111">
        <v>3</v>
      </c>
    </row>
    <row r="87" spans="13:49" ht="20.25" customHeight="1" x14ac:dyDescent="0.25">
      <c r="M87" s="351"/>
      <c r="N87" s="352"/>
      <c r="O87" s="104"/>
      <c r="P87" s="104"/>
      <c r="Q87" s="10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11">
        <v>1</v>
      </c>
      <c r="AU87" s="64" t="s">
        <v>270</v>
      </c>
      <c r="AV87" s="64" t="str">
        <f t="shared" si="13"/>
        <v>1 - Lodo de esgosto</v>
      </c>
      <c r="AW87" s="11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11">
        <v>2</v>
      </c>
      <c r="AU88" s="64" t="s">
        <v>270</v>
      </c>
      <c r="AV88" s="64" t="str">
        <f t="shared" si="13"/>
        <v>2 - Lodo de esgosto</v>
      </c>
      <c r="AW88" s="11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11">
        <v>3</v>
      </c>
      <c r="AU89" s="64" t="s">
        <v>270</v>
      </c>
      <c r="AV89" s="64" t="str">
        <f t="shared" si="13"/>
        <v>3 - Lodo de esgosto</v>
      </c>
      <c r="AW89" s="111">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11">
        <v>4</v>
      </c>
      <c r="AU90" s="64" t="s">
        <v>270</v>
      </c>
      <c r="AV90" s="64" t="str">
        <f t="shared" si="13"/>
        <v>4 - Lodo de esgosto</v>
      </c>
      <c r="AW90" s="111">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11">
        <v>0</v>
      </c>
      <c r="AU91" s="64" t="s">
        <v>271</v>
      </c>
      <c r="AV91" s="64" t="str">
        <f t="shared" si="13"/>
        <v>0 - Compostos orgânicos</v>
      </c>
      <c r="AW91" s="11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11">
        <v>1</v>
      </c>
      <c r="AU92" s="64" t="s">
        <v>271</v>
      </c>
      <c r="AV92" s="64" t="str">
        <f t="shared" si="13"/>
        <v>1 - Compostos orgânicos</v>
      </c>
      <c r="AW92" s="111">
        <v>1</v>
      </c>
    </row>
    <row r="93" spans="13:49" ht="20.25" customHeight="1" x14ac:dyDescent="0.25">
      <c r="M93" s="105"/>
      <c r="N93" s="104"/>
      <c r="O93" s="104"/>
      <c r="P93" s="104"/>
      <c r="Q93" s="10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11">
        <v>2</v>
      </c>
      <c r="AU93" s="64" t="s">
        <v>271</v>
      </c>
      <c r="AV93" s="64" t="str">
        <f t="shared" si="13"/>
        <v>2 - Compostos orgânicos</v>
      </c>
      <c r="AW93" s="111">
        <v>2</v>
      </c>
    </row>
    <row r="94" spans="13:49" ht="20.25" customHeight="1" x14ac:dyDescent="0.25">
      <c r="M94" s="105"/>
      <c r="N94" s="10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11">
        <v>3</v>
      </c>
      <c r="AU94" s="64" t="s">
        <v>271</v>
      </c>
      <c r="AV94" s="64" t="str">
        <f t="shared" si="13"/>
        <v>3 - Compostos orgânicos</v>
      </c>
      <c r="AW94" s="111">
        <v>3</v>
      </c>
    </row>
    <row r="95" spans="13:49" ht="20.25" customHeight="1" thickBot="1" x14ac:dyDescent="0.3">
      <c r="M95" s="75"/>
      <c r="N95" s="117"/>
      <c r="O95" s="117"/>
      <c r="P95" s="117"/>
      <c r="Q95" s="117"/>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11">
        <v>4</v>
      </c>
      <c r="AU95" s="64" t="s">
        <v>271</v>
      </c>
      <c r="AV95" s="64" t="str">
        <f t="shared" si="13"/>
        <v>4 - Compostos orgânicos</v>
      </c>
      <c r="AW95" s="111">
        <v>4</v>
      </c>
    </row>
    <row r="96" spans="13:49" ht="20.25" customHeight="1" thickBot="1" x14ac:dyDescent="0.3"/>
    <row r="97" spans="1:41" ht="20.25" customHeight="1" x14ac:dyDescent="0.25">
      <c r="A97" s="59"/>
      <c r="M97" s="72"/>
      <c r="N97" s="118"/>
      <c r="O97" s="118"/>
      <c r="P97" s="118"/>
      <c r="Q97" s="118"/>
      <c r="R97" s="74"/>
    </row>
    <row r="98" spans="1:41" ht="20.2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22"/>
      <c r="M99" s="351" t="s">
        <v>243</v>
      </c>
      <c r="N99" s="361"/>
      <c r="O99" s="45">
        <f>$AC$30</f>
        <v>50</v>
      </c>
      <c r="P99" s="45">
        <f>$AC$31</f>
        <v>10</v>
      </c>
      <c r="Q99" s="45">
        <f>$AC$32</f>
        <v>10</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row>
    <row r="100" spans="1:41" ht="20.25" customHeight="1" x14ac:dyDescent="0.25">
      <c r="A100" s="104"/>
      <c r="M100" s="351" t="s">
        <v>251</v>
      </c>
      <c r="N100" s="361"/>
      <c r="O100" s="2">
        <f>AS21</f>
        <v>50</v>
      </c>
      <c r="P100" s="2">
        <f>AT21</f>
        <v>10</v>
      </c>
      <c r="Q100" s="2">
        <f>AU21</f>
        <v>10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20.2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topLeftCell="A31" zoomScale="56" zoomScaleNormal="56" workbookViewId="0">
      <selection activeCell="T49" sqref="T49"/>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41</v>
      </c>
      <c r="V28" s="111">
        <v>3000</v>
      </c>
      <c r="W28" s="111" t="s">
        <v>68</v>
      </c>
      <c r="X28" s="111" t="str">
        <f>CONCATENATE(U28," - ",W28)</f>
        <v>&lt; 5 - baixo</v>
      </c>
      <c r="Y28" s="111">
        <v>50000</v>
      </c>
      <c r="Z28" s="111">
        <v>40000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41</v>
      </c>
      <c r="V29" s="111">
        <v>3000</v>
      </c>
      <c r="W29" s="111" t="s">
        <v>69</v>
      </c>
      <c r="X29" s="111" t="str">
        <f t="shared" ref="X29:X36" si="9">CONCATENATE(U29," - ",W29)</f>
        <v>&lt; 5 - medio</v>
      </c>
      <c r="Y29" s="111">
        <v>30000</v>
      </c>
      <c r="Z29" s="111">
        <v>30000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41</v>
      </c>
      <c r="V30" s="111">
        <v>3000</v>
      </c>
      <c r="W30" s="111" t="s">
        <v>70</v>
      </c>
      <c r="X30" s="111" t="str">
        <f t="shared" si="9"/>
        <v>&lt; 5 - adequado</v>
      </c>
      <c r="Y30" s="111">
        <v>10000</v>
      </c>
      <c r="Z30" s="111">
        <v>20000</v>
      </c>
      <c r="AB30" s="121" t="s">
        <v>33</v>
      </c>
      <c r="AC30" s="121" t="e">
        <f>VLOOKUP($P$39,$U$28:$V$36,2,0)/$E$18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312</v>
      </c>
      <c r="V31" s="111">
        <v>50000</v>
      </c>
      <c r="W31" s="111" t="s">
        <v>68</v>
      </c>
      <c r="X31" s="111" t="str">
        <f t="shared" si="9"/>
        <v>5,1 - 10 - baixo</v>
      </c>
      <c r="Y31" s="111">
        <v>70000</v>
      </c>
      <c r="Z31" s="111">
        <v>60000</v>
      </c>
      <c r="AB31" s="121" t="s">
        <v>66</v>
      </c>
      <c r="AC31" s="121" t="e">
        <f>VLOOKUP(AB36,X28:Z36,2,0)/$E$18</f>
        <v>#VALUE!</v>
      </c>
      <c r="AE31" s="111" t="s">
        <v>41</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312</v>
      </c>
      <c r="V32" s="111">
        <v>50000</v>
      </c>
      <c r="W32" s="111" t="s">
        <v>69</v>
      </c>
      <c r="X32" s="111" t="str">
        <f t="shared" si="9"/>
        <v>5,1 - 10 - medio</v>
      </c>
      <c r="Y32" s="111">
        <v>50000</v>
      </c>
      <c r="Z32" s="111">
        <v>40000</v>
      </c>
      <c r="AB32" s="121" t="s">
        <v>67</v>
      </c>
      <c r="AC32" s="121" t="e">
        <f>VLOOKUP($AB$39,X28:Z36,3,0)/$E$18</f>
        <v>#VALUE!</v>
      </c>
      <c r="AE32" s="111" t="s">
        <v>312</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312</v>
      </c>
      <c r="V33" s="111">
        <v>50000</v>
      </c>
      <c r="W33" s="111" t="s">
        <v>70</v>
      </c>
      <c r="X33" s="111" t="str">
        <f t="shared" si="9"/>
        <v>5,1 - 10 - adequado</v>
      </c>
      <c r="Y33" s="111">
        <v>15000</v>
      </c>
      <c r="Z33" s="111">
        <v>30000</v>
      </c>
      <c r="AE33" s="111" t="s">
        <v>313</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313</v>
      </c>
      <c r="V34" s="111">
        <v>80000</v>
      </c>
      <c r="W34" s="111" t="s">
        <v>68</v>
      </c>
      <c r="X34" s="111" t="str">
        <f t="shared" si="9"/>
        <v>&gt; 10,1 - baixo</v>
      </c>
      <c r="Y34" s="111">
        <v>120000</v>
      </c>
      <c r="Z34" s="111">
        <v>105000</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314</v>
      </c>
      <c r="V35" s="111">
        <v>80000</v>
      </c>
      <c r="W35" s="111" t="s">
        <v>69</v>
      </c>
      <c r="X35" s="111" t="str">
        <f t="shared" si="9"/>
        <v>&gt; 10,1  - medio</v>
      </c>
      <c r="Y35" s="111">
        <v>80000</v>
      </c>
      <c r="Z35" s="111">
        <v>70000</v>
      </c>
      <c r="AB35" s="340" t="s">
        <v>72</v>
      </c>
      <c r="AC35" s="340"/>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314</v>
      </c>
      <c r="V36" s="111">
        <v>80000</v>
      </c>
      <c r="W36" s="111" t="s">
        <v>70</v>
      </c>
      <c r="X36" s="111" t="str">
        <f t="shared" si="9"/>
        <v>&gt; 10,1  - adequado</v>
      </c>
      <c r="Y36" s="111">
        <v>20000</v>
      </c>
      <c r="Z36" s="111">
        <v>50000</v>
      </c>
      <c r="AB36" s="340" t="str">
        <f>CONCATENATE($P$39," - ",$AD$8)</f>
        <v>&lt; 5 -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41</v>
      </c>
      <c r="Q39" s="341"/>
      <c r="R39" s="26"/>
      <c r="AB39" s="340" t="str">
        <f>CONCATENATE($P$39," - ",$AD$22)</f>
        <v>&lt; 5 -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$AE$31:$AE$33</formula1>
    </dataValidation>
    <dataValidation type="list" allowBlank="1" showInputMessage="1" showErrorMessage="1" sqref="O68 O176 N159 O174">
      <formula1>$AG$29:$AG$30</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T50" sqref="T50"/>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50</v>
      </c>
      <c r="V28" s="111">
        <v>60000</v>
      </c>
      <c r="W28" s="111" t="s">
        <v>68</v>
      </c>
      <c r="X28" s="111" t="str">
        <f>CONCATENATE(U28," - ",W28)</f>
        <v>&lt; 20 - baixo</v>
      </c>
      <c r="Y28" s="111">
        <v>70000</v>
      </c>
      <c r="Z28" s="111">
        <v>100000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50</v>
      </c>
      <c r="V29" s="111">
        <v>60000</v>
      </c>
      <c r="W29" s="111" t="s">
        <v>69</v>
      </c>
      <c r="X29" s="111" t="str">
        <f t="shared" ref="X29:X42" si="9">CONCATENATE(U29," - ",W29)</f>
        <v>&lt; 20 - medio</v>
      </c>
      <c r="Y29" s="111">
        <v>55000</v>
      </c>
      <c r="Z29" s="111">
        <v>80000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50</v>
      </c>
      <c r="V30" s="111">
        <v>60000</v>
      </c>
      <c r="W30" s="111" t="s">
        <v>70</v>
      </c>
      <c r="X30" s="111" t="str">
        <f t="shared" si="9"/>
        <v>&lt; 20 - adequado</v>
      </c>
      <c r="Y30" s="111">
        <v>15000</v>
      </c>
      <c r="Z30" s="111">
        <v>50000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279</v>
      </c>
      <c r="V31" s="111">
        <v>75000</v>
      </c>
      <c r="W31" s="111" t="s">
        <v>68</v>
      </c>
      <c r="X31" s="111" t="str">
        <f t="shared" si="9"/>
        <v>20,1 - 30 - baixo</v>
      </c>
      <c r="Y31" s="111">
        <v>90000</v>
      </c>
      <c r="Z31" s="111">
        <v>140000</v>
      </c>
      <c r="AB31" s="121" t="s">
        <v>66</v>
      </c>
      <c r="AC31" s="121" t="e">
        <f>VLOOKUP(AB36,X28:Z42,2,0)/$E$18</f>
        <v>#VALUE!</v>
      </c>
      <c r="AE31" s="111" t="s">
        <v>50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279</v>
      </c>
      <c r="V32" s="111">
        <v>75000</v>
      </c>
      <c r="W32" s="111" t="s">
        <v>69</v>
      </c>
      <c r="X32" s="111" t="str">
        <f t="shared" si="9"/>
        <v>20,1 - 30 - medio</v>
      </c>
      <c r="Y32" s="111">
        <v>70000</v>
      </c>
      <c r="Z32" s="111">
        <v>90000</v>
      </c>
      <c r="AB32" s="121" t="s">
        <v>67</v>
      </c>
      <c r="AC32" s="121" t="e">
        <f>VLOOKUP($AB$39,X28:Z42,3,0)/$E$18</f>
        <v>#VALUE!</v>
      </c>
      <c r="AE32" s="111" t="s">
        <v>279</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279</v>
      </c>
      <c r="V33" s="111">
        <v>75000</v>
      </c>
      <c r="W33" s="111" t="s">
        <v>70</v>
      </c>
      <c r="X33" s="111" t="str">
        <f t="shared" si="9"/>
        <v>20,1 - 30 - adequado</v>
      </c>
      <c r="Y33" s="111">
        <v>20000</v>
      </c>
      <c r="Z33" s="111">
        <v>60000</v>
      </c>
      <c r="AE33" s="111" t="s">
        <v>303</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303</v>
      </c>
      <c r="V34" s="111">
        <v>105000</v>
      </c>
      <c r="W34" s="111" t="s">
        <v>68</v>
      </c>
      <c r="X34" s="111" t="str">
        <f t="shared" si="9"/>
        <v>30,1 - 40 - baixo</v>
      </c>
      <c r="Y34" s="111">
        <v>120000</v>
      </c>
      <c r="Z34" s="111">
        <v>180000</v>
      </c>
      <c r="AE34" s="111" t="s">
        <v>305</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303</v>
      </c>
      <c r="V35" s="111">
        <v>105000</v>
      </c>
      <c r="W35" s="111" t="s">
        <v>69</v>
      </c>
      <c r="X35" s="111" t="str">
        <f t="shared" si="9"/>
        <v>30,1 - 40 - medio</v>
      </c>
      <c r="Y35" s="111">
        <v>100000</v>
      </c>
      <c r="Z35" s="111">
        <v>120000</v>
      </c>
      <c r="AB35" s="340" t="s">
        <v>72</v>
      </c>
      <c r="AC35" s="340"/>
      <c r="AE35" s="111" t="s">
        <v>306</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303</v>
      </c>
      <c r="V36" s="111">
        <v>105000</v>
      </c>
      <c r="W36" s="111" t="s">
        <v>70</v>
      </c>
      <c r="X36" s="111" t="str">
        <f t="shared" si="9"/>
        <v>30,1 - 40 - adequado</v>
      </c>
      <c r="Y36" s="111">
        <v>25000</v>
      </c>
      <c r="Z36" s="111">
        <v>80000</v>
      </c>
      <c r="AB36" s="340" t="str">
        <f>CONCATENATE($P$39," - ",$AD$8)</f>
        <v>30,1 - 40 -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305</v>
      </c>
      <c r="V37" s="111">
        <v>135000</v>
      </c>
      <c r="W37" s="111" t="s">
        <v>68</v>
      </c>
      <c r="X37" s="111" t="str">
        <f t="shared" si="9"/>
        <v>40,1 - 50 - baixo</v>
      </c>
      <c r="Y37" s="111">
        <v>155000</v>
      </c>
      <c r="Z37" s="111">
        <v>220000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305</v>
      </c>
      <c r="V38" s="111">
        <v>135000</v>
      </c>
      <c r="W38" s="111" t="s">
        <v>69</v>
      </c>
      <c r="X38" s="111" t="str">
        <f t="shared" si="9"/>
        <v>40,1 - 50 - medio</v>
      </c>
      <c r="Y38" s="111">
        <v>120000</v>
      </c>
      <c r="Z38" s="111">
        <v>160000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303</v>
      </c>
      <c r="Q39" s="341"/>
      <c r="R39" s="26"/>
      <c r="U39" s="111" t="s">
        <v>305</v>
      </c>
      <c r="V39" s="111">
        <v>135000</v>
      </c>
      <c r="W39" s="111" t="s">
        <v>70</v>
      </c>
      <c r="X39" s="111" t="str">
        <f t="shared" si="9"/>
        <v>40,1 - 50 - adequado</v>
      </c>
      <c r="Y39" s="111">
        <v>30000</v>
      </c>
      <c r="Z39" s="111">
        <v>100000</v>
      </c>
      <c r="AB39" s="340" t="str">
        <f>CONCATENATE($P$39," - ",$AD$22)</f>
        <v>30,1 - 40 -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U40" s="111" t="s">
        <v>306</v>
      </c>
      <c r="V40" s="111">
        <v>165000</v>
      </c>
      <c r="W40" s="111" t="s">
        <v>68</v>
      </c>
      <c r="X40" s="111" t="str">
        <f t="shared" si="9"/>
        <v>&gt; 50,1  - baixo</v>
      </c>
      <c r="Y40" s="111">
        <v>190000</v>
      </c>
      <c r="Z40" s="111">
        <v>260000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306</v>
      </c>
      <c r="V41" s="111">
        <v>165000</v>
      </c>
      <c r="W41" s="111" t="s">
        <v>69</v>
      </c>
      <c r="X41" s="111" t="str">
        <f t="shared" si="9"/>
        <v>&gt; 50,1  - medio</v>
      </c>
      <c r="Y41" s="111">
        <v>150000</v>
      </c>
      <c r="Z41" s="111">
        <v>200000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U42" s="111" t="s">
        <v>306</v>
      </c>
      <c r="V42" s="111">
        <v>165000</v>
      </c>
      <c r="W42" s="111" t="s">
        <v>70</v>
      </c>
      <c r="X42" s="111" t="str">
        <f t="shared" si="9"/>
        <v>&gt; 50,1  - adequado</v>
      </c>
      <c r="Y42" s="111">
        <v>40000</v>
      </c>
      <c r="Z42" s="111">
        <v>140000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80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$AE$31:$AE$35</formula1>
    </dataValidation>
    <dataValidation type="list" allowBlank="1" showInputMessage="1" showErrorMessage="1" sqref="O68 O176 N159 O174">
      <formula1>$AG$29:$AG$30</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U28"/>
  <sheetViews>
    <sheetView topLeftCell="A13" zoomScale="90" zoomScaleNormal="90" workbookViewId="0">
      <selection activeCell="B25" sqref="B25:C25"/>
    </sheetView>
  </sheetViews>
  <sheetFormatPr defaultRowHeight="15" x14ac:dyDescent="0.2"/>
  <cols>
    <col min="1" max="1" width="5.140625" style="148" customWidth="1"/>
    <col min="2" max="2" width="9.140625" style="148"/>
    <col min="3" max="3" width="31.7109375" style="148" customWidth="1"/>
    <col min="4" max="16384" width="9.140625" style="148"/>
  </cols>
  <sheetData>
    <row r="7" spans="2:21" ht="20.25" x14ac:dyDescent="0.3">
      <c r="B7" s="290" t="s">
        <v>324</v>
      </c>
      <c r="C7" s="290"/>
    </row>
    <row r="8" spans="2:21" ht="18.75" x14ac:dyDescent="0.25">
      <c r="B8" s="288" t="s">
        <v>327</v>
      </c>
      <c r="C8" s="288"/>
      <c r="T8" s="289" t="s">
        <v>435</v>
      </c>
      <c r="U8" s="289"/>
    </row>
    <row r="9" spans="2:21" ht="18" x14ac:dyDescent="0.25">
      <c r="B9" s="288" t="s">
        <v>328</v>
      </c>
      <c r="C9" s="288"/>
    </row>
    <row r="10" spans="2:21" ht="18" x14ac:dyDescent="0.25">
      <c r="B10" s="288" t="s">
        <v>329</v>
      </c>
      <c r="C10" s="288"/>
    </row>
    <row r="11" spans="2:21" ht="18" x14ac:dyDescent="0.25">
      <c r="B11" s="288" t="s">
        <v>330</v>
      </c>
      <c r="C11" s="288"/>
    </row>
    <row r="12" spans="2:21" ht="18" x14ac:dyDescent="0.25">
      <c r="B12" s="288" t="s">
        <v>331</v>
      </c>
      <c r="C12" s="288"/>
    </row>
    <row r="13" spans="2:21" ht="18" x14ac:dyDescent="0.25">
      <c r="B13" s="288" t="s">
        <v>332</v>
      </c>
      <c r="C13" s="288"/>
    </row>
    <row r="14" spans="2:21" ht="18" x14ac:dyDescent="0.25">
      <c r="B14" s="288" t="s">
        <v>333</v>
      </c>
      <c r="C14" s="288"/>
    </row>
    <row r="15" spans="2:21" ht="18" x14ac:dyDescent="0.25">
      <c r="B15" s="288" t="s">
        <v>334</v>
      </c>
      <c r="C15" s="288"/>
    </row>
    <row r="16" spans="2:21" ht="18" x14ac:dyDescent="0.25">
      <c r="B16" s="288" t="s">
        <v>335</v>
      </c>
      <c r="C16" s="288"/>
    </row>
    <row r="17" spans="2:3" ht="18" x14ac:dyDescent="0.25">
      <c r="B17" s="288" t="s">
        <v>336</v>
      </c>
      <c r="C17" s="288"/>
    </row>
    <row r="18" spans="2:3" ht="18" x14ac:dyDescent="0.25">
      <c r="B18" s="288" t="s">
        <v>337</v>
      </c>
      <c r="C18" s="288"/>
    </row>
    <row r="19" spans="2:3" ht="18" x14ac:dyDescent="0.25">
      <c r="B19" s="288" t="s">
        <v>338</v>
      </c>
      <c r="C19" s="288"/>
    </row>
    <row r="20" spans="2:3" ht="18" x14ac:dyDescent="0.25">
      <c r="B20" s="288" t="s">
        <v>339</v>
      </c>
      <c r="C20" s="288"/>
    </row>
    <row r="21" spans="2:3" ht="18" x14ac:dyDescent="0.25">
      <c r="B21" s="288" t="s">
        <v>340</v>
      </c>
      <c r="C21" s="288"/>
    </row>
    <row r="22" spans="2:3" ht="18" x14ac:dyDescent="0.25">
      <c r="B22" s="288" t="s">
        <v>341</v>
      </c>
      <c r="C22" s="288"/>
    </row>
    <row r="23" spans="2:3" ht="18" x14ac:dyDescent="0.25">
      <c r="B23" s="288" t="s">
        <v>342</v>
      </c>
      <c r="C23" s="288"/>
    </row>
    <row r="24" spans="2:3" ht="18" x14ac:dyDescent="0.25">
      <c r="B24" s="288" t="s">
        <v>343</v>
      </c>
      <c r="C24" s="288"/>
    </row>
    <row r="25" spans="2:3" ht="18" x14ac:dyDescent="0.25">
      <c r="B25" s="288" t="s">
        <v>344</v>
      </c>
      <c r="C25" s="288"/>
    </row>
    <row r="26" spans="2:3" ht="18" x14ac:dyDescent="0.25">
      <c r="B26" s="288" t="s">
        <v>345</v>
      </c>
      <c r="C26" s="288"/>
    </row>
    <row r="27" spans="2:3" ht="18" x14ac:dyDescent="0.25">
      <c r="B27" s="288" t="s">
        <v>346</v>
      </c>
      <c r="C27" s="288"/>
    </row>
    <row r="28" spans="2:3" ht="18" x14ac:dyDescent="0.25">
      <c r="B28" s="288" t="s">
        <v>347</v>
      </c>
      <c r="C28" s="288"/>
    </row>
  </sheetData>
  <mergeCells count="23">
    <mergeCell ref="B26:C26"/>
    <mergeCell ref="B27:C27"/>
    <mergeCell ref="B28:C28"/>
    <mergeCell ref="B7:C7"/>
    <mergeCell ref="B20:C20"/>
    <mergeCell ref="B21:C21"/>
    <mergeCell ref="B22:C22"/>
    <mergeCell ref="B23:C23"/>
    <mergeCell ref="B24:C24"/>
    <mergeCell ref="B25:C25"/>
    <mergeCell ref="B14:C14"/>
    <mergeCell ref="B15:C15"/>
    <mergeCell ref="B16:C16"/>
    <mergeCell ref="B17:C17"/>
    <mergeCell ref="B18:C18"/>
    <mergeCell ref="B19:C19"/>
    <mergeCell ref="B13:C13"/>
    <mergeCell ref="T8:U8"/>
    <mergeCell ref="B8:C8"/>
    <mergeCell ref="B9:C9"/>
    <mergeCell ref="B10:C10"/>
    <mergeCell ref="B11:C11"/>
    <mergeCell ref="B12:C12"/>
  </mergeCells>
  <hyperlinks>
    <hyperlink ref="B8:C8" location="'Abacate formação'!A1" display="Abacate - formação"/>
    <hyperlink ref="B9:C9" location="'Abacate produção'!A1" display="Abacate - produção"/>
    <hyperlink ref="B10:C10" location="'Abacaxi produção'!A1" display="Abacaxi - produção"/>
    <hyperlink ref="B11:C11" location="'Acerola formação'!A1" display="Acerola - formação"/>
    <hyperlink ref="B12:C12" location="'Acerola produção'!A1" display="Acerola - produção"/>
    <hyperlink ref="B13:C13" location="'Banana formação'!A1" display="Banana - formação"/>
    <hyperlink ref="B14:C14" location="'Banana produção'!A1" display="Banana - produção"/>
    <hyperlink ref="B15:C15" location="'Citros formação'!A1" display="Citros - formação"/>
    <hyperlink ref="B16:C16" location="'Citros produção'!A1" display="Citros - produção"/>
    <hyperlink ref="B17:C17" location="'Goiaba formação'!A1" display="Goiaba - formação"/>
    <hyperlink ref="B18:C18" location="'Graviola produção'!A1" display="Goiaba - produção"/>
    <hyperlink ref="B19:C19" location="'Graviola formação'!A1" display="Graviola - formação"/>
    <hyperlink ref="B20:C20" location="'Graviola produção'!A1" display="Graviola -produção"/>
    <hyperlink ref="B21:C21" location="'Mamão produção'!A1" display="Mamão - produção"/>
    <hyperlink ref="B22:C22" location="'Manga formação'!A1" display="Manga - formação"/>
    <hyperlink ref="B23:C23" location="'Manga produção'!A1" display="Manga - produção"/>
    <hyperlink ref="B24:C24" location="'Maracujá produção'!A1" display="Maracujá - produção"/>
    <hyperlink ref="B25:C25" location="'Pitaya formação'!A1" display="Pitaya - formação"/>
    <hyperlink ref="B26:C26" location="'Pitaya produção'!A1" display="Pitaya - produção"/>
    <hyperlink ref="B27:C27" location="'Pupunha formação e produção'!A1" display="Pupunha - formação e produção"/>
    <hyperlink ref="B28:C28" location="'Seringueira formação e produção'!A1" display="Seringueira - formação e produção"/>
    <hyperlink ref="T8:U8" location="Apresentação!A1" display="Voltar "/>
  </hyperlinks>
  <pageMargins left="0.511811024" right="0.511811024" top="0.78740157499999996" bottom="0.78740157499999996" header="0.31496062000000002" footer="0.31496062000000002"/>
  <pageSetup paperSize="9" orientation="portrait" verticalDpi="0"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topLeftCell="P28" zoomScale="56" zoomScaleNormal="56" workbookViewId="0">
      <selection activeCell="W47" sqref="W47"/>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f>$AC$30</f>
        <v>50</v>
      </c>
      <c r="AT5" s="18">
        <f>$AC$31</f>
        <v>10</v>
      </c>
      <c r="AU5" s="18">
        <f>$AC$32</f>
        <v>10</v>
      </c>
      <c r="AV5" s="364"/>
      <c r="AW5" s="10"/>
      <c r="AX5" s="10"/>
      <c r="AY5" s="10"/>
      <c r="AZ5" s="10"/>
      <c r="BA5" s="10"/>
      <c r="BB5" s="10"/>
    </row>
    <row r="6" spans="1:54" ht="20.2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50</v>
      </c>
      <c r="AT9" s="48">
        <f>AT5-(SUM(AT6:AT8))</f>
        <v>10</v>
      </c>
      <c r="AU9" s="48">
        <f>AU5-(SUM(AU6:AU8))</f>
        <v>10</v>
      </c>
      <c r="AV9" s="48"/>
      <c r="AW9" s="10"/>
      <c r="AX9" s="10"/>
      <c r="AY9" s="10"/>
      <c r="AZ9" s="10"/>
      <c r="BA9" s="10"/>
      <c r="BB9" s="10"/>
    </row>
    <row r="10" spans="1:54" ht="20.2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t="s">
        <v>291</v>
      </c>
      <c r="AX10" s="10"/>
      <c r="AY10" s="10"/>
      <c r="AZ10" s="10"/>
      <c r="BA10" s="10"/>
      <c r="BB10" s="10"/>
    </row>
    <row r="11" spans="1:54" ht="20.2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f>AS9</f>
        <v>50</v>
      </c>
      <c r="AT11" s="18">
        <f t="shared" ref="AT11:AU11" si="0">AT9</f>
        <v>10</v>
      </c>
      <c r="AU11" s="18">
        <f t="shared" si="0"/>
        <v>10</v>
      </c>
      <c r="AV11" s="364"/>
      <c r="AW11" s="10"/>
      <c r="AX11" s="10"/>
      <c r="AY11" s="10"/>
      <c r="AZ11" s="10"/>
      <c r="BA11" s="10"/>
      <c r="BB11" s="10"/>
    </row>
    <row r="12" spans="1:54" ht="20.2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2</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50</v>
      </c>
      <c r="AT15" s="48">
        <f>AT11-(SUM(AT12:AT14))</f>
        <v>10</v>
      </c>
      <c r="AU15" s="48">
        <f>AU11-(SUM(AU12:AU14))</f>
        <v>10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50</v>
      </c>
      <c r="AT17" s="18">
        <f t="shared" ref="AT17:AU17" si="1">AT15</f>
        <v>10</v>
      </c>
      <c r="AU17" s="18">
        <f t="shared" si="1"/>
        <v>10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6</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50</v>
      </c>
      <c r="AT21" s="48">
        <f t="shared" ref="AT21:AU21" si="2">AT17-(SUM(AT18:AT20))</f>
        <v>10</v>
      </c>
      <c r="AU21" s="48">
        <f t="shared" si="2"/>
        <v>10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109" t="s">
        <v>20</v>
      </c>
      <c r="P22" s="9"/>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09" t="s">
        <v>32</v>
      </c>
      <c r="V27" s="109" t="s">
        <v>64</v>
      </c>
      <c r="W27" s="109" t="s">
        <v>75</v>
      </c>
      <c r="X27" s="109" t="s">
        <v>71</v>
      </c>
      <c r="Y27" s="109" t="s">
        <v>36</v>
      </c>
      <c r="Z27" s="109"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v>0</v>
      </c>
      <c r="V28" s="111">
        <v>50</v>
      </c>
      <c r="W28" s="111" t="s">
        <v>68</v>
      </c>
      <c r="X28" s="111" t="str">
        <f>CONCATENATE(U28," - ",W28)</f>
        <v>0 - baixo</v>
      </c>
      <c r="Y28" s="111">
        <v>10</v>
      </c>
      <c r="Z28" s="111">
        <v>10</v>
      </c>
      <c r="AE28" s="109"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v>0</v>
      </c>
      <c r="V29" s="111">
        <v>50</v>
      </c>
      <c r="W29" s="111" t="s">
        <v>69</v>
      </c>
      <c r="X29" s="111" t="str">
        <f t="shared" ref="X29:X42" si="9">CONCATENATE(U29," - ",W29)</f>
        <v>0 - medio</v>
      </c>
      <c r="Y29" s="111">
        <v>10</v>
      </c>
      <c r="Z29" s="111">
        <v>10</v>
      </c>
      <c r="AB29" s="413" t="s">
        <v>65</v>
      </c>
      <c r="AC29" s="413"/>
      <c r="AE29" s="109" t="s">
        <v>32</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v>0</v>
      </c>
      <c r="V30" s="111">
        <v>50</v>
      </c>
      <c r="W30" s="111" t="s">
        <v>70</v>
      </c>
      <c r="X30" s="111" t="str">
        <f t="shared" si="9"/>
        <v>0 - adequado</v>
      </c>
      <c r="Y30" s="111">
        <v>10</v>
      </c>
      <c r="Z30" s="111">
        <v>10</v>
      </c>
      <c r="AB30" s="121" t="s">
        <v>33</v>
      </c>
      <c r="AC30" s="121">
        <f>VLOOKUP($P$39,$U$28:$V$42,2,0)</f>
        <v>50</v>
      </c>
      <c r="AE30" s="109"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11">
        <v>1</v>
      </c>
      <c r="V31" s="111">
        <v>30</v>
      </c>
      <c r="W31" s="111" t="s">
        <v>68</v>
      </c>
      <c r="X31" s="111" t="str">
        <f t="shared" si="9"/>
        <v>1 - baixo</v>
      </c>
      <c r="Y31" s="111">
        <v>80</v>
      </c>
      <c r="Z31" s="111">
        <v>50</v>
      </c>
      <c r="AB31" s="121" t="s">
        <v>66</v>
      </c>
      <c r="AC31" s="121">
        <f>VLOOKUP(AB36,X28:Z42,2,0)</f>
        <v>10</v>
      </c>
      <c r="AE31" s="109">
        <v>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111">
        <v>1</v>
      </c>
      <c r="V32" s="111">
        <v>30</v>
      </c>
      <c r="W32" s="111" t="s">
        <v>69</v>
      </c>
      <c r="X32" s="111" t="str">
        <f t="shared" si="9"/>
        <v>1 - medio</v>
      </c>
      <c r="Y32" s="111">
        <v>50</v>
      </c>
      <c r="Z32" s="111">
        <v>30</v>
      </c>
      <c r="AB32" s="121" t="s">
        <v>67</v>
      </c>
      <c r="AC32" s="121">
        <f>VLOOKUP($AB$39,X28:Z42,3,0)</f>
        <v>10</v>
      </c>
      <c r="AE32" s="109">
        <v>1</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11">
        <v>1</v>
      </c>
      <c r="V33" s="111">
        <v>30</v>
      </c>
      <c r="W33" s="111" t="s">
        <v>70</v>
      </c>
      <c r="X33" s="111" t="str">
        <f t="shared" si="9"/>
        <v>1 - adequado</v>
      </c>
      <c r="Y33" s="111">
        <v>30</v>
      </c>
      <c r="Z33" s="111">
        <v>20</v>
      </c>
      <c r="AE33" s="109">
        <v>2</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111">
        <v>2</v>
      </c>
      <c r="V34" s="111">
        <v>80</v>
      </c>
      <c r="W34" s="111" t="s">
        <v>68</v>
      </c>
      <c r="X34" s="111" t="str">
        <f t="shared" si="9"/>
        <v>2 - baixo</v>
      </c>
      <c r="Y34" s="111">
        <v>115</v>
      </c>
      <c r="Z34" s="111">
        <v>80</v>
      </c>
      <c r="AE34" s="109">
        <v>3</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v>2</v>
      </c>
      <c r="V35" s="111">
        <v>80</v>
      </c>
      <c r="W35" s="111" t="s">
        <v>69</v>
      </c>
      <c r="X35" s="111" t="str">
        <f t="shared" si="9"/>
        <v>2 - medio</v>
      </c>
      <c r="Y35" s="111">
        <v>80</v>
      </c>
      <c r="Z35" s="111">
        <v>50</v>
      </c>
      <c r="AB35" s="340" t="s">
        <v>72</v>
      </c>
      <c r="AC35" s="340"/>
      <c r="AE35" s="109">
        <v>4</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v>2</v>
      </c>
      <c r="V36" s="111">
        <v>80</v>
      </c>
      <c r="W36" s="111" t="s">
        <v>70</v>
      </c>
      <c r="X36" s="111" t="str">
        <f t="shared" si="9"/>
        <v>2 - adequado</v>
      </c>
      <c r="Y36" s="111">
        <v>40</v>
      </c>
      <c r="Z36" s="111">
        <v>30</v>
      </c>
      <c r="AB36" s="340" t="str">
        <f>CONCATENATE($P$39," - ",$AD$8)</f>
        <v>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18"/>
      <c r="O37" s="118"/>
      <c r="P37" s="118"/>
      <c r="Q37" s="118"/>
      <c r="R37" s="74"/>
      <c r="U37" s="111">
        <v>3</v>
      </c>
      <c r="V37" s="111">
        <v>150</v>
      </c>
      <c r="W37" s="111" t="s">
        <v>68</v>
      </c>
      <c r="X37" s="111" t="str">
        <f t="shared" si="9"/>
        <v>3 - baixo</v>
      </c>
      <c r="Y37" s="111">
        <v>160</v>
      </c>
      <c r="Z37" s="111">
        <v>110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111">
        <v>3</v>
      </c>
      <c r="V38" s="111">
        <v>150</v>
      </c>
      <c r="W38" s="111" t="s">
        <v>69</v>
      </c>
      <c r="X38" s="111" t="str">
        <f t="shared" si="9"/>
        <v>3 - medio</v>
      </c>
      <c r="Y38" s="111">
        <v>110</v>
      </c>
      <c r="Z38" s="111">
        <v>70</v>
      </c>
      <c r="AB38" s="340" t="s">
        <v>73</v>
      </c>
      <c r="AC38" s="340"/>
      <c r="AI38" s="30">
        <v>0.8</v>
      </c>
      <c r="AK38" s="109"/>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109" t="s">
        <v>167</v>
      </c>
      <c r="P39" s="341">
        <v>0</v>
      </c>
      <c r="Q39" s="341"/>
      <c r="R39" s="26"/>
      <c r="U39" s="111">
        <v>3</v>
      </c>
      <c r="V39" s="111">
        <v>150</v>
      </c>
      <c r="W39" s="111" t="s">
        <v>70</v>
      </c>
      <c r="X39" s="111" t="str">
        <f t="shared" si="9"/>
        <v>3 - adequado</v>
      </c>
      <c r="Y39" s="111">
        <v>50</v>
      </c>
      <c r="Z39" s="111">
        <v>40</v>
      </c>
      <c r="AB39" s="340" t="str">
        <f>CONCATENATE($P$39," - ",$AD$22)</f>
        <v>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104"/>
      <c r="P40" s="104"/>
      <c r="Q40" s="104"/>
      <c r="R40" s="26"/>
      <c r="U40" s="111">
        <v>4</v>
      </c>
      <c r="V40" s="111">
        <v>210</v>
      </c>
      <c r="W40" s="111" t="s">
        <v>68</v>
      </c>
      <c r="X40" s="111" t="str">
        <f t="shared" si="9"/>
        <v>4 - baixo</v>
      </c>
      <c r="Y40" s="111">
        <v>190</v>
      </c>
      <c r="Z40" s="111">
        <v>130</v>
      </c>
      <c r="AI40" s="30">
        <v>1</v>
      </c>
      <c r="AO40" s="10"/>
      <c r="AP40" s="334" t="str">
        <f>O105</f>
        <v>Ácido Bórico</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U41" s="111">
        <v>4</v>
      </c>
      <c r="V41" s="111">
        <v>210</v>
      </c>
      <c r="W41" s="111" t="s">
        <v>69</v>
      </c>
      <c r="X41" s="111" t="str">
        <f t="shared" si="9"/>
        <v>4 - medio</v>
      </c>
      <c r="Y41" s="111">
        <v>130</v>
      </c>
      <c r="Z41" s="111">
        <v>85</v>
      </c>
      <c r="AO41" s="10"/>
      <c r="AP41" s="334" t="str">
        <f>O106</f>
        <v>Sulfato de cobre</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U42" s="111">
        <v>4</v>
      </c>
      <c r="V42" s="111">
        <v>210</v>
      </c>
      <c r="W42" s="111" t="s">
        <v>70</v>
      </c>
      <c r="X42" s="111" t="str">
        <f t="shared" si="9"/>
        <v>4 - adequado</v>
      </c>
      <c r="Y42" s="111">
        <v>60</v>
      </c>
      <c r="Z42" s="111">
        <v>50</v>
      </c>
      <c r="AO42" s="10"/>
      <c r="AP42" s="334" t="str">
        <f>O107</f>
        <v>Sulfato de manganês</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117"/>
      <c r="O43" s="117"/>
      <c r="P43" s="117"/>
      <c r="Q43" s="117"/>
      <c r="R43" s="77"/>
      <c r="AO43" s="10"/>
      <c r="AP43" s="334" t="str">
        <f>O108</f>
        <v>Sulfato de zinco</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118"/>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109"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109"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09"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117"/>
      <c r="O51" s="117"/>
      <c r="P51" s="117"/>
      <c r="Q51" s="117"/>
      <c r="R51" s="77"/>
      <c r="U51" s="109" t="s">
        <v>254</v>
      </c>
      <c r="V51" s="2">
        <f>V48*$Q$47</f>
        <v>0</v>
      </c>
      <c r="AT51" s="111">
        <v>0</v>
      </c>
      <c r="AU51" s="64" t="s">
        <v>267</v>
      </c>
      <c r="AV51" s="64" t="str">
        <f>CONCATENATE(AT51," - ",AU51)</f>
        <v>0 - Composto de lixo (COL)</v>
      </c>
      <c r="AW51" s="111">
        <v>15</v>
      </c>
    </row>
    <row r="52" spans="2:50" ht="20.25" customHeight="1" thickBot="1" x14ac:dyDescent="0.3">
      <c r="B52" s="391"/>
      <c r="C52" s="391"/>
      <c r="D52" s="391"/>
      <c r="E52" s="391"/>
      <c r="F52" s="391"/>
      <c r="G52" s="391"/>
      <c r="H52" s="391"/>
      <c r="I52" s="391"/>
      <c r="AT52" s="111">
        <v>1</v>
      </c>
      <c r="AU52" s="64" t="s">
        <v>267</v>
      </c>
      <c r="AV52" s="64" t="str">
        <f t="shared" ref="AV52:AV95" si="13">CONCATENATE(AT52," - ",AU52)</f>
        <v>1 - Composto de lixo (COL)</v>
      </c>
      <c r="AW52" s="111">
        <v>5</v>
      </c>
    </row>
    <row r="53" spans="2:50" ht="20.25" customHeight="1" thickBot="1" x14ac:dyDescent="0.3">
      <c r="B53" s="392"/>
      <c r="C53" s="392"/>
      <c r="D53" s="392"/>
      <c r="E53" s="392"/>
      <c r="F53" s="392"/>
      <c r="G53" s="392"/>
      <c r="H53" s="392"/>
      <c r="I53" s="392"/>
      <c r="M53" s="72"/>
      <c r="N53" s="118"/>
      <c r="O53" s="118"/>
      <c r="P53" s="118"/>
      <c r="Q53" s="118"/>
      <c r="R53" s="74"/>
      <c r="AP53" s="38"/>
      <c r="AQ53" s="38"/>
      <c r="AS53" s="38"/>
      <c r="AT53" s="111">
        <v>2</v>
      </c>
      <c r="AU53" s="64" t="s">
        <v>267</v>
      </c>
      <c r="AV53" s="64" t="str">
        <f t="shared" si="13"/>
        <v>2 - Composto de lixo (COL)</v>
      </c>
      <c r="AW53" s="11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11">
        <v>3</v>
      </c>
      <c r="AU54" s="64" t="s">
        <v>267</v>
      </c>
      <c r="AV54" s="64" t="str">
        <f t="shared" si="13"/>
        <v>3 - Composto de lixo (COL)</v>
      </c>
      <c r="AW54" s="111">
        <v>15</v>
      </c>
    </row>
    <row r="55" spans="2:50" ht="20.25" customHeight="1" x14ac:dyDescent="0.25">
      <c r="B55" s="372" t="str">
        <f>IF(AP40&gt;0,AP40,"-")</f>
        <v>Ácido Bórico</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11">
        <v>4</v>
      </c>
      <c r="AU55" s="64" t="s">
        <v>267</v>
      </c>
      <c r="AV55" s="64" t="str">
        <f t="shared" si="13"/>
        <v>4 - Composto de lixo (COL)</v>
      </c>
      <c r="AW55" s="111">
        <v>20</v>
      </c>
    </row>
    <row r="56" spans="2:50" ht="20.25" customHeight="1" x14ac:dyDescent="0.25">
      <c r="B56" s="372" t="str">
        <f>IF(AP41&gt;0,AP41,"-")</f>
        <v>Sulfato de cobre</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11">
        <v>0</v>
      </c>
      <c r="AU56" s="64" t="s">
        <v>274</v>
      </c>
      <c r="AV56" s="64" t="str">
        <f t="shared" si="13"/>
        <v>0 - Cama de frango corte</v>
      </c>
      <c r="AW56" s="111">
        <v>3</v>
      </c>
      <c r="AX56" s="104"/>
    </row>
    <row r="57" spans="2:50" ht="20.25" customHeight="1" x14ac:dyDescent="0.25">
      <c r="B57" s="372" t="str">
        <f>IF(AP42&gt;0,AP42,"-")</f>
        <v>Sulfato de manganês</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275</v>
      </c>
      <c r="AR57" s="341"/>
      <c r="AS57" s="104"/>
      <c r="AT57" s="111">
        <v>1</v>
      </c>
      <c r="AU57" s="64" t="s">
        <v>274</v>
      </c>
      <c r="AV57" s="64" t="str">
        <f t="shared" si="13"/>
        <v>1 - Cama de frango corte</v>
      </c>
      <c r="AW57" s="111">
        <v>1</v>
      </c>
    </row>
    <row r="58" spans="2:50" ht="20.25" customHeight="1" x14ac:dyDescent="0.25">
      <c r="B58" s="372" t="str">
        <f>IF(AP43&gt;0,AP43,"-")</f>
        <v>Sulfato de zinco</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t="str">
        <f>CONCATENATE($P$39," - ",$O$42)</f>
        <v xml:space="preserve">0 - </v>
      </c>
      <c r="AR58" s="341"/>
      <c r="AS58" s="104"/>
      <c r="AT58" s="111">
        <v>2</v>
      </c>
      <c r="AU58" s="64" t="s">
        <v>274</v>
      </c>
      <c r="AV58" s="64" t="str">
        <f t="shared" si="13"/>
        <v>2 - Cama de frango corte</v>
      </c>
      <c r="AW58" s="11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Q59" s="338">
        <f>IFERROR(VLOOKUP(AQ58,AV51:AW95,2,0),0)</f>
        <v>0</v>
      </c>
      <c r="AR59" s="338"/>
      <c r="AS59" s="104"/>
      <c r="AT59" s="111">
        <v>3</v>
      </c>
      <c r="AU59" s="64" t="s">
        <v>274</v>
      </c>
      <c r="AV59" s="64" t="str">
        <f t="shared" si="13"/>
        <v>3 - Cama de frango corte</v>
      </c>
      <c r="AW59" s="11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11">
        <v>4</v>
      </c>
      <c r="AU60" s="64" t="s">
        <v>274</v>
      </c>
      <c r="AV60" s="64" t="str">
        <f t="shared" si="13"/>
        <v>4 - Cama de frango corte</v>
      </c>
      <c r="AW60" s="11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11">
        <v>0</v>
      </c>
      <c r="AU61" s="64" t="s">
        <v>148</v>
      </c>
      <c r="AV61" s="64" t="str">
        <f t="shared" si="13"/>
        <v>0 - Esterco de galinha</v>
      </c>
      <c r="AW61" s="11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11">
        <v>1</v>
      </c>
      <c r="AU62" s="64" t="s">
        <v>148</v>
      </c>
      <c r="AV62" s="64" t="str">
        <f t="shared" si="13"/>
        <v>1 - Esterco de galinha</v>
      </c>
      <c r="AW62" s="11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11">
        <v>2</v>
      </c>
      <c r="AU63" s="64" t="s">
        <v>148</v>
      </c>
      <c r="AV63" s="64" t="str">
        <f t="shared" si="13"/>
        <v>2 - Esterco de galinha</v>
      </c>
      <c r="AW63" s="11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11">
        <v>3</v>
      </c>
      <c r="AU64" s="64" t="s">
        <v>148</v>
      </c>
      <c r="AV64" s="64" t="str">
        <f t="shared" si="13"/>
        <v>3 - Esterco de galinha</v>
      </c>
      <c r="AW64" s="111">
        <v>3</v>
      </c>
    </row>
    <row r="65" spans="2:49" ht="20.2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11">
        <v>4</v>
      </c>
      <c r="AU65" s="64" t="s">
        <v>148</v>
      </c>
      <c r="AV65" s="64" t="str">
        <f t="shared" si="13"/>
        <v>4 - Esterco de galinha</v>
      </c>
      <c r="AW65" s="11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11">
        <v>0</v>
      </c>
      <c r="AU66" s="64" t="s">
        <v>273</v>
      </c>
      <c r="AV66" s="64" t="str">
        <f t="shared" si="13"/>
        <v>0 - Esterco Bovino curtido</v>
      </c>
      <c r="AW66" s="11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11">
        <v>1</v>
      </c>
      <c r="AU67" s="64" t="s">
        <v>273</v>
      </c>
      <c r="AV67" s="64" t="str">
        <f t="shared" si="13"/>
        <v>1 - Esterco Bovino curtido</v>
      </c>
      <c r="AW67" s="111">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11">
        <v>2</v>
      </c>
      <c r="AU68" s="64" t="s">
        <v>273</v>
      </c>
      <c r="AV68" s="64" t="str">
        <f t="shared" si="13"/>
        <v>2 - Esterco Bovino curtido</v>
      </c>
      <c r="AW68" s="111">
        <v>10</v>
      </c>
    </row>
    <row r="69" spans="2:49" ht="20.25" customHeight="1" thickBot="1" x14ac:dyDescent="0.3">
      <c r="M69" s="75"/>
      <c r="N69" s="117"/>
      <c r="O69" s="117"/>
      <c r="P69" s="117"/>
      <c r="Q69" s="117"/>
      <c r="R69" s="77"/>
      <c r="AT69" s="111">
        <v>3</v>
      </c>
      <c r="AU69" s="64" t="s">
        <v>273</v>
      </c>
      <c r="AV69" s="64" t="str">
        <f t="shared" si="13"/>
        <v>3 - Esterco Bovino curtido</v>
      </c>
      <c r="AW69" s="111">
        <v>15</v>
      </c>
    </row>
    <row r="70" spans="2:49" ht="20.25" customHeight="1" thickBot="1" x14ac:dyDescent="0.3">
      <c r="AT70" s="111">
        <v>4</v>
      </c>
      <c r="AU70" s="64" t="s">
        <v>273</v>
      </c>
      <c r="AV70" s="64" t="str">
        <f t="shared" si="13"/>
        <v>4 - Esterco Bovino curtido</v>
      </c>
      <c r="AW70" s="111">
        <v>20</v>
      </c>
    </row>
    <row r="71" spans="2:49" ht="20.25" customHeight="1" x14ac:dyDescent="0.25">
      <c r="M71" s="72"/>
      <c r="N71" s="118"/>
      <c r="O71" s="118"/>
      <c r="P71" s="118"/>
      <c r="Q71" s="118"/>
      <c r="R71" s="74"/>
      <c r="U71" s="371" t="s">
        <v>125</v>
      </c>
      <c r="V71" s="371" t="s">
        <v>76</v>
      </c>
      <c r="W71" s="371" t="s">
        <v>77</v>
      </c>
      <c r="X71" s="371" t="s">
        <v>265</v>
      </c>
      <c r="Y71" s="371"/>
      <c r="Z71" s="371"/>
      <c r="AT71" s="111">
        <v>0</v>
      </c>
      <c r="AU71" s="64" t="s">
        <v>273</v>
      </c>
      <c r="AV71" s="64" t="str">
        <f t="shared" si="13"/>
        <v>0 - Esterco Bovino curtido</v>
      </c>
      <c r="AW71" s="111">
        <v>15</v>
      </c>
    </row>
    <row r="72" spans="2:49" ht="20.25" customHeight="1" x14ac:dyDescent="0.25">
      <c r="M72" s="351" t="s">
        <v>198</v>
      </c>
      <c r="N72" s="352"/>
      <c r="O72" s="400" t="s">
        <v>233</v>
      </c>
      <c r="P72" s="401"/>
      <c r="Q72" s="402"/>
      <c r="R72" s="26"/>
      <c r="U72" s="371"/>
      <c r="V72" s="371"/>
      <c r="W72" s="371"/>
      <c r="X72" s="114" t="s">
        <v>81</v>
      </c>
      <c r="Y72" s="114" t="s">
        <v>82</v>
      </c>
      <c r="Z72" s="114" t="s">
        <v>83</v>
      </c>
      <c r="AT72" s="111">
        <v>1</v>
      </c>
      <c r="AU72" s="64" t="s">
        <v>266</v>
      </c>
      <c r="AV72" s="64" t="str">
        <f t="shared" si="13"/>
        <v>1 - Esterco de equino</v>
      </c>
      <c r="AW72" s="11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11">
        <v>2</v>
      </c>
      <c r="AU73" s="64" t="s">
        <v>266</v>
      </c>
      <c r="AV73" s="64" t="str">
        <f t="shared" si="13"/>
        <v>2 - Esterco de equino</v>
      </c>
      <c r="AW73" s="111">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111">
        <v>3</v>
      </c>
      <c r="AU74" s="64" t="s">
        <v>266</v>
      </c>
      <c r="AV74" s="64" t="str">
        <f t="shared" si="13"/>
        <v>3 - Esterco de equino</v>
      </c>
      <c r="AW74" s="111">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111">
        <v>4</v>
      </c>
      <c r="AU75" s="64" t="s">
        <v>266</v>
      </c>
      <c r="AV75" s="64" t="str">
        <f t="shared" si="13"/>
        <v>4 - Esterco de equino</v>
      </c>
      <c r="AW75" s="11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11">
        <v>0</v>
      </c>
      <c r="AU76" s="64" t="s">
        <v>273</v>
      </c>
      <c r="AV76" s="64" t="str">
        <f t="shared" si="13"/>
        <v>0 - Esterco Bovino curtido</v>
      </c>
      <c r="AW76" s="111">
        <v>3</v>
      </c>
    </row>
    <row r="77" spans="2:49" ht="20.2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T77" s="111">
        <v>1</v>
      </c>
      <c r="AU77" s="64" t="s">
        <v>268</v>
      </c>
      <c r="AV77" s="64" t="str">
        <f t="shared" si="13"/>
        <v>1 - Esterco de suínos</v>
      </c>
      <c r="AW77" s="11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11">
        <v>2</v>
      </c>
      <c r="AU78" s="64" t="s">
        <v>268</v>
      </c>
      <c r="AV78" s="64" t="str">
        <f t="shared" si="13"/>
        <v>2 - Esterco de suínos</v>
      </c>
      <c r="AW78" s="111">
        <v>2</v>
      </c>
    </row>
    <row r="79" spans="2:49" ht="20.2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T79" s="111">
        <v>3</v>
      </c>
      <c r="AU79" s="64" t="s">
        <v>268</v>
      </c>
      <c r="AV79" s="64" t="str">
        <f t="shared" si="13"/>
        <v>3 - Esterco de suínos</v>
      </c>
      <c r="AW79" s="11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11">
        <v>4</v>
      </c>
      <c r="AU80" s="64" t="s">
        <v>268</v>
      </c>
      <c r="AV80" s="64" t="str">
        <f t="shared" si="13"/>
        <v>4 - Esterco de suínos</v>
      </c>
      <c r="AW80" s="11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11">
        <v>0</v>
      </c>
      <c r="AU81" s="64" t="s">
        <v>269</v>
      </c>
      <c r="AV81" s="64" t="str">
        <f t="shared" si="13"/>
        <v>0 - Esterco de ovinos</v>
      </c>
      <c r="AW81" s="111">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111">
        <v>1</v>
      </c>
      <c r="AU82" s="64" t="s">
        <v>269</v>
      </c>
      <c r="AV82" s="64" t="str">
        <f t="shared" si="13"/>
        <v>1 - Esterco de ovinos</v>
      </c>
      <c r="AW82" s="111">
        <v>1</v>
      </c>
    </row>
    <row r="83" spans="13:49" ht="20.25" customHeight="1" x14ac:dyDescent="0.25">
      <c r="M83" s="351"/>
      <c r="N83" s="352"/>
      <c r="O83" s="341"/>
      <c r="P83" s="341"/>
      <c r="Q83" s="33"/>
      <c r="R83" s="26"/>
      <c r="AT83" s="111">
        <v>2</v>
      </c>
      <c r="AU83" s="64" t="s">
        <v>269</v>
      </c>
      <c r="AV83" s="64" t="str">
        <f t="shared" si="13"/>
        <v>2 - Esterco de ovinos</v>
      </c>
      <c r="AW83" s="111">
        <v>2</v>
      </c>
    </row>
    <row r="84" spans="13:49" ht="20.25" customHeight="1" x14ac:dyDescent="0.25">
      <c r="M84" s="351"/>
      <c r="N84" s="352"/>
      <c r="O84" s="341"/>
      <c r="P84" s="341"/>
      <c r="Q84" s="33"/>
      <c r="R84" s="26"/>
      <c r="AT84" s="111">
        <v>3</v>
      </c>
      <c r="AU84" s="64" t="s">
        <v>269</v>
      </c>
      <c r="AV84" s="64" t="str">
        <f t="shared" si="13"/>
        <v>3 - Esterco de ovinos</v>
      </c>
      <c r="AW84" s="111">
        <v>3</v>
      </c>
    </row>
    <row r="85" spans="13:49" ht="20.2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T85" s="111">
        <v>4</v>
      </c>
      <c r="AU85" s="64" t="s">
        <v>269</v>
      </c>
      <c r="AV85" s="64" t="str">
        <f t="shared" si="13"/>
        <v>4 - Esterco de ovinos</v>
      </c>
      <c r="AW85" s="111">
        <v>4</v>
      </c>
    </row>
    <row r="86" spans="13:49" ht="20.2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T86" s="111">
        <v>0</v>
      </c>
      <c r="AU86" s="64" t="s">
        <v>270</v>
      </c>
      <c r="AV86" s="64" t="str">
        <f t="shared" si="13"/>
        <v>0 - Lodo de esgosto</v>
      </c>
      <c r="AW86" s="111">
        <v>3</v>
      </c>
    </row>
    <row r="87" spans="13:49" ht="20.25" customHeight="1" x14ac:dyDescent="0.25">
      <c r="M87" s="351"/>
      <c r="N87" s="352"/>
      <c r="O87" s="104"/>
      <c r="P87" s="104"/>
      <c r="Q87" s="10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11">
        <v>1</v>
      </c>
      <c r="AU87" s="64" t="s">
        <v>270</v>
      </c>
      <c r="AV87" s="64" t="str">
        <f t="shared" si="13"/>
        <v>1 - Lodo de esgosto</v>
      </c>
      <c r="AW87" s="11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11">
        <v>2</v>
      </c>
      <c r="AU88" s="64" t="s">
        <v>270</v>
      </c>
      <c r="AV88" s="64" t="str">
        <f t="shared" si="13"/>
        <v>2 - Lodo de esgosto</v>
      </c>
      <c r="AW88" s="11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11">
        <v>3</v>
      </c>
      <c r="AU89" s="64" t="s">
        <v>270</v>
      </c>
      <c r="AV89" s="64" t="str">
        <f t="shared" si="13"/>
        <v>3 - Lodo de esgosto</v>
      </c>
      <c r="AW89" s="111">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11">
        <v>4</v>
      </c>
      <c r="AU90" s="64" t="s">
        <v>270</v>
      </c>
      <c r="AV90" s="64" t="str">
        <f t="shared" si="13"/>
        <v>4 - Lodo de esgosto</v>
      </c>
      <c r="AW90" s="111">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11">
        <v>0</v>
      </c>
      <c r="AU91" s="64" t="s">
        <v>271</v>
      </c>
      <c r="AV91" s="64" t="str">
        <f t="shared" si="13"/>
        <v>0 - Compostos orgânicos</v>
      </c>
      <c r="AW91" s="11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11">
        <v>1</v>
      </c>
      <c r="AU92" s="64" t="s">
        <v>271</v>
      </c>
      <c r="AV92" s="64" t="str">
        <f t="shared" si="13"/>
        <v>1 - Compostos orgânicos</v>
      </c>
      <c r="AW92" s="111">
        <v>1</v>
      </c>
    </row>
    <row r="93" spans="13:49" ht="20.25" customHeight="1" x14ac:dyDescent="0.25">
      <c r="M93" s="105"/>
      <c r="N93" s="104"/>
      <c r="O93" s="104"/>
      <c r="P93" s="104"/>
      <c r="Q93" s="10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11">
        <v>2</v>
      </c>
      <c r="AU93" s="64" t="s">
        <v>271</v>
      </c>
      <c r="AV93" s="64" t="str">
        <f t="shared" si="13"/>
        <v>2 - Compostos orgânicos</v>
      </c>
      <c r="AW93" s="111">
        <v>2</v>
      </c>
    </row>
    <row r="94" spans="13:49" ht="20.25" customHeight="1" x14ac:dyDescent="0.25">
      <c r="M94" s="105"/>
      <c r="N94" s="10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11">
        <v>3</v>
      </c>
      <c r="AU94" s="64" t="s">
        <v>271</v>
      </c>
      <c r="AV94" s="64" t="str">
        <f t="shared" si="13"/>
        <v>3 - Compostos orgânicos</v>
      </c>
      <c r="AW94" s="111">
        <v>3</v>
      </c>
    </row>
    <row r="95" spans="13:49" ht="20.25" customHeight="1" thickBot="1" x14ac:dyDescent="0.3">
      <c r="M95" s="75"/>
      <c r="N95" s="117"/>
      <c r="O95" s="117"/>
      <c r="P95" s="117"/>
      <c r="Q95" s="117"/>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11">
        <v>4</v>
      </c>
      <c r="AU95" s="64" t="s">
        <v>271</v>
      </c>
      <c r="AV95" s="64" t="str">
        <f t="shared" si="13"/>
        <v>4 - Compostos orgânicos</v>
      </c>
      <c r="AW95" s="111">
        <v>4</v>
      </c>
    </row>
    <row r="96" spans="13:49" ht="20.25" customHeight="1" thickBot="1" x14ac:dyDescent="0.3"/>
    <row r="97" spans="1:41" ht="20.25" customHeight="1" x14ac:dyDescent="0.25">
      <c r="A97" s="59"/>
      <c r="M97" s="72"/>
      <c r="N97" s="118"/>
      <c r="O97" s="118"/>
      <c r="P97" s="118"/>
      <c r="Q97" s="118"/>
      <c r="R97" s="74"/>
    </row>
    <row r="98" spans="1:41" ht="20.2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22"/>
      <c r="M99" s="351" t="s">
        <v>243</v>
      </c>
      <c r="N99" s="361"/>
      <c r="O99" s="45">
        <f>$AC$30</f>
        <v>50</v>
      </c>
      <c r="P99" s="45">
        <f>$AC$31</f>
        <v>10</v>
      </c>
      <c r="Q99" s="45">
        <f>$AC$32</f>
        <v>10</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row>
    <row r="100" spans="1:41" ht="20.25" customHeight="1" x14ac:dyDescent="0.25">
      <c r="A100" s="104"/>
      <c r="M100" s="351" t="s">
        <v>251</v>
      </c>
      <c r="N100" s="361"/>
      <c r="O100" s="2">
        <f>AS21</f>
        <v>50</v>
      </c>
      <c r="P100" s="2">
        <f>AT21</f>
        <v>10</v>
      </c>
      <c r="Q100" s="2">
        <f>AU21</f>
        <v>10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t="s">
        <v>301</v>
      </c>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t="s">
        <v>238</v>
      </c>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t="s">
        <v>96</v>
      </c>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t="s">
        <v>97</v>
      </c>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20.2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40</v>
      </c>
      <c r="V28" s="111">
        <v>20000</v>
      </c>
      <c r="W28" s="111" t="s">
        <v>68</v>
      </c>
      <c r="X28" s="111" t="str">
        <f>CONCATENATE(U28," - ",W28)</f>
        <v>&lt; 10 - baixo</v>
      </c>
      <c r="Y28" s="111">
        <v>30000</v>
      </c>
      <c r="Z28" s="111">
        <v>40000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40</v>
      </c>
      <c r="V29" s="111">
        <v>20000</v>
      </c>
      <c r="W29" s="111" t="s">
        <v>69</v>
      </c>
      <c r="X29" s="111" t="str">
        <f t="shared" ref="X29:X42" si="9">CONCATENATE(U29," - ",W29)</f>
        <v>&lt; 10 - medio</v>
      </c>
      <c r="Y29" s="111">
        <v>20000</v>
      </c>
      <c r="Z29" s="111">
        <v>30000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40</v>
      </c>
      <c r="V30" s="111">
        <v>20000</v>
      </c>
      <c r="W30" s="111" t="s">
        <v>70</v>
      </c>
      <c r="X30" s="111" t="str">
        <f t="shared" si="9"/>
        <v>&lt; 10 - adequado</v>
      </c>
      <c r="Y30" s="111">
        <v>0</v>
      </c>
      <c r="Z30" s="111">
        <v>20000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44</v>
      </c>
      <c r="V31" s="111">
        <v>30000</v>
      </c>
      <c r="W31" s="111" t="s">
        <v>68</v>
      </c>
      <c r="X31" s="111" t="str">
        <f t="shared" si="9"/>
        <v>10,1 - 15 - baixo</v>
      </c>
      <c r="Y31" s="111">
        <v>35000</v>
      </c>
      <c r="Z31" s="111">
        <v>50000</v>
      </c>
      <c r="AB31" s="121" t="s">
        <v>66</v>
      </c>
      <c r="AC31" s="121" t="e">
        <f>VLOOKUP(AB36,X28:Z42,2,0)/$E$18</f>
        <v>#VALUE!</v>
      </c>
      <c r="AE31" s="111" t="s">
        <v>40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44</v>
      </c>
      <c r="V32" s="111">
        <v>30000</v>
      </c>
      <c r="W32" s="111" t="s">
        <v>69</v>
      </c>
      <c r="X32" s="111" t="str">
        <f t="shared" si="9"/>
        <v>10,1 - 15 - medio</v>
      </c>
      <c r="Y32" s="111">
        <v>25000</v>
      </c>
      <c r="Z32" s="111">
        <v>35000</v>
      </c>
      <c r="AB32" s="121" t="s">
        <v>67</v>
      </c>
      <c r="AC32" s="121" t="e">
        <f>VLOOKUP($AB$39,X28:Z42,3,0)/$E$18</f>
        <v>#VALUE!</v>
      </c>
      <c r="AE32" s="111" t="s">
        <v>44</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44</v>
      </c>
      <c r="V33" s="111">
        <v>30000</v>
      </c>
      <c r="W33" s="111" t="s">
        <v>70</v>
      </c>
      <c r="X33" s="111" t="str">
        <f t="shared" si="9"/>
        <v>10,1 - 15 - adequado</v>
      </c>
      <c r="Y33" s="111">
        <v>0</v>
      </c>
      <c r="Z33" s="111">
        <v>25000</v>
      </c>
      <c r="AE33" s="111" t="s">
        <v>315</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315</v>
      </c>
      <c r="V34" s="111">
        <v>40000</v>
      </c>
      <c r="W34" s="111" t="s">
        <v>68</v>
      </c>
      <c r="X34" s="111" t="str">
        <f t="shared" si="9"/>
        <v>15,1 - 20 - baixo</v>
      </c>
      <c r="Y34" s="111">
        <v>50000</v>
      </c>
      <c r="Z34" s="111">
        <v>70000</v>
      </c>
      <c r="AE34" s="111" t="s">
        <v>316</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315</v>
      </c>
      <c r="V35" s="111">
        <v>40000</v>
      </c>
      <c r="W35" s="111" t="s">
        <v>69</v>
      </c>
      <c r="X35" s="111" t="str">
        <f t="shared" si="9"/>
        <v>15,1 - 20 - medio</v>
      </c>
      <c r="Y35" s="111">
        <v>30000</v>
      </c>
      <c r="Z35" s="111">
        <v>50000</v>
      </c>
      <c r="AB35" s="340" t="s">
        <v>72</v>
      </c>
      <c r="AC35" s="340"/>
      <c r="AE35" s="111" t="s">
        <v>317</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315</v>
      </c>
      <c r="V36" s="111">
        <v>40000</v>
      </c>
      <c r="W36" s="111" t="s">
        <v>70</v>
      </c>
      <c r="X36" s="111" t="str">
        <f t="shared" si="9"/>
        <v>15,1 - 20 - adequado</v>
      </c>
      <c r="Y36" s="111">
        <v>0</v>
      </c>
      <c r="Z36" s="111">
        <v>30000</v>
      </c>
      <c r="AB36" s="340" t="str">
        <f>CONCATENATE($P$39," - ",$AD$8)</f>
        <v>10,1 - 15 -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316</v>
      </c>
      <c r="V37" s="111">
        <v>50000</v>
      </c>
      <c r="W37" s="111" t="s">
        <v>68</v>
      </c>
      <c r="X37" s="111" t="str">
        <f t="shared" si="9"/>
        <v>20,1 - 25 - baixo</v>
      </c>
      <c r="Y37" s="111">
        <v>60000</v>
      </c>
      <c r="Z37" s="111">
        <v>90000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316</v>
      </c>
      <c r="V38" s="111">
        <v>50000</v>
      </c>
      <c r="W38" s="111" t="s">
        <v>69</v>
      </c>
      <c r="X38" s="111" t="str">
        <f t="shared" si="9"/>
        <v>20,1 - 25 - medio</v>
      </c>
      <c r="Y38" s="111">
        <v>40000</v>
      </c>
      <c r="Z38" s="111">
        <v>60000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44</v>
      </c>
      <c r="Q39" s="341"/>
      <c r="R39" s="26"/>
      <c r="U39" s="111" t="s">
        <v>316</v>
      </c>
      <c r="V39" s="111">
        <v>50000</v>
      </c>
      <c r="W39" s="111" t="s">
        <v>70</v>
      </c>
      <c r="X39" s="111" t="str">
        <f t="shared" si="9"/>
        <v>20,1 - 25 - adequado</v>
      </c>
      <c r="Y39" s="111">
        <v>10000</v>
      </c>
      <c r="Z39" s="111">
        <v>40000</v>
      </c>
      <c r="AB39" s="340" t="str">
        <f>CONCATENATE($P$39," - ",$AD$22)</f>
        <v>10,1 - 15 -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Esterco Bovino curtido</v>
      </c>
      <c r="C40" s="372"/>
      <c r="D40" s="100">
        <f>IF(AQ58&gt;0,AQ58,"-")</f>
        <v>25</v>
      </c>
      <c r="E40" s="307" t="str">
        <f>IF(AQ58&gt;0,"quilos por cova ou planta","-")</f>
        <v>quilos por cova ou planta</v>
      </c>
      <c r="F40" s="307"/>
      <c r="G40" s="307"/>
      <c r="H40" s="307"/>
      <c r="I40" s="307"/>
      <c r="J40" s="66">
        <f>AV7</f>
        <v>0</v>
      </c>
      <c r="M40" s="351"/>
      <c r="N40" s="352"/>
      <c r="O40" s="104"/>
      <c r="P40" s="104"/>
      <c r="Q40" s="104"/>
      <c r="R40" s="26"/>
      <c r="U40" s="111" t="s">
        <v>317</v>
      </c>
      <c r="V40" s="111">
        <v>60000</v>
      </c>
      <c r="W40" s="111" t="s">
        <v>68</v>
      </c>
      <c r="X40" s="111" t="str">
        <f t="shared" si="9"/>
        <v>&gt; 25,1 - baixo</v>
      </c>
      <c r="Y40" s="111">
        <v>80000</v>
      </c>
      <c r="Z40" s="111">
        <v>115000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317</v>
      </c>
      <c r="V41" s="111">
        <v>60000</v>
      </c>
      <c r="W41" s="111" t="s">
        <v>69</v>
      </c>
      <c r="X41" s="111" t="str">
        <f t="shared" si="9"/>
        <v>&gt; 25,1 - medio</v>
      </c>
      <c r="Y41" s="111">
        <v>50000</v>
      </c>
      <c r="Z41" s="111">
        <v>80000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t="s">
        <v>273</v>
      </c>
      <c r="P42" s="354"/>
      <c r="Q42" s="355"/>
      <c r="R42" s="26"/>
      <c r="U42" s="111" t="s">
        <v>317</v>
      </c>
      <c r="V42" s="111">
        <v>60000</v>
      </c>
      <c r="W42" s="111" t="s">
        <v>70</v>
      </c>
      <c r="X42" s="111" t="str">
        <f t="shared" si="9"/>
        <v>&gt; 25,1 - adequado</v>
      </c>
      <c r="Y42" s="111">
        <v>15000</v>
      </c>
      <c r="Z42" s="111">
        <v>50000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25</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$AE$31:$AE$35</formula1>
    </dataValidation>
    <dataValidation type="list" allowBlank="1" showInputMessage="1" showErrorMessage="1" sqref="O68 O176 N159 O174">
      <formula1>$AG$29:$AG$30</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7" zoomScaleNormal="57" workbookViewId="0">
      <selection activeCell="T49" sqref="T49"/>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40</v>
      </c>
      <c r="V28" s="111">
        <v>30000</v>
      </c>
      <c r="W28" s="111" t="s">
        <v>68</v>
      </c>
      <c r="X28" s="111" t="str">
        <f>CONCATENATE(U28," - ",W28)</f>
        <v>&lt; 10 - baixo</v>
      </c>
      <c r="Y28" s="111">
        <v>20000</v>
      </c>
      <c r="Z28" s="111">
        <v>90000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40</v>
      </c>
      <c r="V29" s="111">
        <v>30000</v>
      </c>
      <c r="W29" s="111" t="s">
        <v>69</v>
      </c>
      <c r="X29" s="111" t="str">
        <f t="shared" ref="X29:X42" si="9">CONCATENATE(U29," - ",W29)</f>
        <v>&lt; 10 - medio</v>
      </c>
      <c r="Y29" s="111">
        <v>15000</v>
      </c>
      <c r="Z29" s="111">
        <v>60000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40</v>
      </c>
      <c r="V30" s="111">
        <v>30000</v>
      </c>
      <c r="W30" s="111" t="s">
        <v>70</v>
      </c>
      <c r="X30" s="111" t="str">
        <f t="shared" si="9"/>
        <v>&lt; 10 - adequado</v>
      </c>
      <c r="Y30" s="111">
        <v>0</v>
      </c>
      <c r="Z30" s="111">
        <v>40000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44</v>
      </c>
      <c r="V31" s="111">
        <v>35000</v>
      </c>
      <c r="W31" s="111" t="s">
        <v>68</v>
      </c>
      <c r="X31" s="111" t="str">
        <f t="shared" si="9"/>
        <v>10,1 - 15 - baixo</v>
      </c>
      <c r="Y31" s="111">
        <v>40000</v>
      </c>
      <c r="Z31" s="111">
        <v>115000</v>
      </c>
      <c r="AB31" s="121" t="s">
        <v>66</v>
      </c>
      <c r="AC31" s="121" t="e">
        <f>VLOOKUP(AB36,X28:Z42,2,0)/$E$18</f>
        <v>#VALUE!</v>
      </c>
      <c r="AE31" s="111" t="s">
        <v>40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44</v>
      </c>
      <c r="V32" s="111">
        <v>35000</v>
      </c>
      <c r="W32" s="111" t="s">
        <v>69</v>
      </c>
      <c r="X32" s="111" t="str">
        <f t="shared" si="9"/>
        <v>10,1 - 15 - medio</v>
      </c>
      <c r="Y32" s="111">
        <v>30000</v>
      </c>
      <c r="Z32" s="111">
        <v>80000</v>
      </c>
      <c r="AB32" s="121" t="s">
        <v>67</v>
      </c>
      <c r="AC32" s="121" t="e">
        <f>VLOOKUP($AB$39,X28:Z42,3,0)/$E$18</f>
        <v>#VALUE!</v>
      </c>
      <c r="AE32" s="111" t="s">
        <v>44</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44</v>
      </c>
      <c r="V33" s="111">
        <v>35000</v>
      </c>
      <c r="W33" s="111" t="s">
        <v>70</v>
      </c>
      <c r="X33" s="111" t="str">
        <f t="shared" si="9"/>
        <v>10,1 - 15 - adequado</v>
      </c>
      <c r="Y33" s="111">
        <v>0</v>
      </c>
      <c r="Z33" s="111">
        <v>50000</v>
      </c>
      <c r="AE33" s="111" t="s">
        <v>315</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315</v>
      </c>
      <c r="V34" s="111">
        <v>50000</v>
      </c>
      <c r="W34" s="111" t="s">
        <v>68</v>
      </c>
      <c r="X34" s="111" t="str">
        <f t="shared" si="9"/>
        <v>15,1 - 20 - baixo</v>
      </c>
      <c r="Y34" s="111">
        <v>60000</v>
      </c>
      <c r="Z34" s="111">
        <v>155000</v>
      </c>
      <c r="AE34" s="111" t="s">
        <v>316</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315</v>
      </c>
      <c r="V35" s="111">
        <v>50000</v>
      </c>
      <c r="W35" s="111" t="s">
        <v>69</v>
      </c>
      <c r="X35" s="111" t="str">
        <f t="shared" si="9"/>
        <v>15,1 - 20 - medio</v>
      </c>
      <c r="Y35" s="111">
        <v>40000</v>
      </c>
      <c r="Z35" s="111">
        <v>100000</v>
      </c>
      <c r="AB35" s="340" t="s">
        <v>72</v>
      </c>
      <c r="AC35" s="340"/>
      <c r="AE35" s="111" t="s">
        <v>317</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315</v>
      </c>
      <c r="V36" s="111">
        <v>50000</v>
      </c>
      <c r="W36" s="111" t="s">
        <v>70</v>
      </c>
      <c r="X36" s="111" t="str">
        <f t="shared" si="9"/>
        <v>15,1 - 20 - adequado</v>
      </c>
      <c r="Y36" s="111">
        <v>10000</v>
      </c>
      <c r="Z36" s="111">
        <v>70000</v>
      </c>
      <c r="AB36" s="340" t="str">
        <f>CONCATENATE($P$39," - ",$AD$8)</f>
        <v>&gt; 25,1 -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316</v>
      </c>
      <c r="V37" s="111">
        <v>65000</v>
      </c>
      <c r="W37" s="111" t="s">
        <v>68</v>
      </c>
      <c r="X37" s="111" t="str">
        <f t="shared" si="9"/>
        <v>20,1 - 25 - baixo</v>
      </c>
      <c r="Y37" s="111">
        <v>70000</v>
      </c>
      <c r="Z37" s="111">
        <v>170000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316</v>
      </c>
      <c r="V38" s="111">
        <v>65000</v>
      </c>
      <c r="W38" s="111" t="s">
        <v>69</v>
      </c>
      <c r="X38" s="111" t="str">
        <f t="shared" si="9"/>
        <v>20,1 - 25 - medio</v>
      </c>
      <c r="Y38" s="111">
        <v>50000</v>
      </c>
      <c r="Z38" s="111">
        <v>115000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317</v>
      </c>
      <c r="Q39" s="341"/>
      <c r="R39" s="26"/>
      <c r="U39" s="111" t="s">
        <v>316</v>
      </c>
      <c r="V39" s="111">
        <v>65000</v>
      </c>
      <c r="W39" s="111" t="s">
        <v>70</v>
      </c>
      <c r="X39" s="111" t="str">
        <f t="shared" si="9"/>
        <v>20,1 - 25 - adequado</v>
      </c>
      <c r="Y39" s="111">
        <v>15000</v>
      </c>
      <c r="Z39" s="111">
        <v>95000</v>
      </c>
      <c r="AB39" s="340" t="str">
        <f>CONCATENATE($P$39," - ",$AD$22)</f>
        <v>&gt; 25,1 -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U40" s="111" t="s">
        <v>317</v>
      </c>
      <c r="V40" s="111">
        <v>80000</v>
      </c>
      <c r="W40" s="111" t="s">
        <v>68</v>
      </c>
      <c r="X40" s="111" t="str">
        <f t="shared" si="9"/>
        <v>&gt; 25,1 - baixo</v>
      </c>
      <c r="Y40" s="111">
        <v>90000</v>
      </c>
      <c r="Z40" s="111">
        <v>250000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317</v>
      </c>
      <c r="V41" s="111">
        <v>80000</v>
      </c>
      <c r="W41" s="111" t="s">
        <v>69</v>
      </c>
      <c r="X41" s="111" t="str">
        <f t="shared" si="9"/>
        <v>&gt; 25,1 - medio</v>
      </c>
      <c r="Y41" s="111">
        <v>60000</v>
      </c>
      <c r="Z41" s="111">
        <v>165000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U42" s="111" t="s">
        <v>317</v>
      </c>
      <c r="V42" s="111">
        <v>80000</v>
      </c>
      <c r="W42" s="111" t="s">
        <v>70</v>
      </c>
      <c r="X42" s="111" t="str">
        <f t="shared" si="9"/>
        <v>&gt; 25,1 - adequado</v>
      </c>
      <c r="Y42" s="111">
        <v>15000</v>
      </c>
      <c r="Z42" s="111">
        <v>115000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36"/>
      <c r="O3" s="136"/>
      <c r="P3" s="136"/>
      <c r="Q3" s="136"/>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41" t="s">
        <v>0</v>
      </c>
      <c r="R4" s="26"/>
      <c r="U4" s="343"/>
      <c r="V4" s="343"/>
      <c r="W4" s="343"/>
      <c r="X4" s="343"/>
      <c r="Y4" s="340"/>
      <c r="Z4" s="340"/>
      <c r="AA4" s="340"/>
      <c r="AB4" s="340"/>
      <c r="AC4" s="340"/>
      <c r="AD4" s="340"/>
      <c r="AO4" s="10"/>
      <c r="AP4" s="334" t="s">
        <v>239</v>
      </c>
      <c r="AQ4" s="334" t="s">
        <v>240</v>
      </c>
      <c r="AR4" s="334"/>
      <c r="AS4" s="129" t="s">
        <v>33</v>
      </c>
      <c r="AT4" s="129" t="s">
        <v>205</v>
      </c>
      <c r="AU4" s="129"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30" t="s">
        <v>1</v>
      </c>
      <c r="P5" s="8"/>
      <c r="Q5" s="130" t="s">
        <v>2</v>
      </c>
      <c r="R5" s="26"/>
      <c r="U5" s="343"/>
      <c r="V5" s="343"/>
      <c r="W5" s="343"/>
      <c r="X5" s="343"/>
      <c r="Y5" s="340"/>
      <c r="Z5" s="340"/>
      <c r="AA5" s="340"/>
      <c r="AB5" s="340"/>
      <c r="AC5" s="340"/>
      <c r="AD5" s="340"/>
      <c r="AO5" s="10"/>
      <c r="AP5" s="334"/>
      <c r="AQ5" s="334"/>
      <c r="AR5" s="334"/>
      <c r="AS5" s="18">
        <f>$AC$30</f>
        <v>68</v>
      </c>
      <c r="AT5" s="18">
        <f>$AC$31</f>
        <v>31</v>
      </c>
      <c r="AU5" s="18">
        <f>$AC$32</f>
        <v>160</v>
      </c>
      <c r="AV5" s="364"/>
      <c r="AW5" s="10"/>
      <c r="AX5" s="10"/>
      <c r="AY5" s="10"/>
      <c r="AZ5" s="10"/>
      <c r="BA5" s="10"/>
      <c r="BB5" s="10"/>
    </row>
    <row r="6" spans="1:54" ht="20.25" customHeight="1" x14ac:dyDescent="0.25">
      <c r="B6" s="90"/>
      <c r="C6" s="90"/>
      <c r="D6" s="90"/>
      <c r="E6" s="90"/>
      <c r="F6" s="90"/>
      <c r="G6" s="90"/>
      <c r="H6" s="90"/>
      <c r="I6" s="90"/>
      <c r="M6" s="351"/>
      <c r="N6" s="361"/>
      <c r="O6" s="130" t="s">
        <v>3</v>
      </c>
      <c r="P6" s="9"/>
      <c r="Q6" s="130" t="s">
        <v>55</v>
      </c>
      <c r="R6" s="26"/>
      <c r="U6" s="130" t="s">
        <v>29</v>
      </c>
      <c r="V6" s="340" t="s">
        <v>51</v>
      </c>
      <c r="W6" s="340"/>
      <c r="X6" s="340"/>
      <c r="Y6" s="340"/>
      <c r="Z6" s="340"/>
      <c r="AA6" s="340"/>
      <c r="AB6" s="340"/>
      <c r="AC6" s="340"/>
      <c r="AD6" s="340"/>
      <c r="AO6" s="10"/>
      <c r="AP6" s="129">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130" t="s">
        <v>4</v>
      </c>
      <c r="P7" s="8"/>
      <c r="Q7" s="130" t="s">
        <v>55</v>
      </c>
      <c r="R7" s="26"/>
      <c r="U7" s="130" t="s">
        <v>23</v>
      </c>
      <c r="V7" s="130" t="s">
        <v>25</v>
      </c>
      <c r="W7" s="130" t="s">
        <v>26</v>
      </c>
      <c r="X7" s="130" t="s">
        <v>31</v>
      </c>
      <c r="Y7" s="130" t="s">
        <v>53</v>
      </c>
      <c r="Z7" s="340" t="s">
        <v>54</v>
      </c>
      <c r="AA7" s="340"/>
      <c r="AB7" s="340"/>
      <c r="AC7" s="130" t="s">
        <v>57</v>
      </c>
      <c r="AD7" s="130" t="s">
        <v>58</v>
      </c>
      <c r="AF7" s="335" t="s">
        <v>228</v>
      </c>
      <c r="AG7" s="335"/>
      <c r="AH7" s="335"/>
      <c r="AI7" s="335"/>
      <c r="AJ7" s="335"/>
      <c r="AK7" s="335"/>
      <c r="AL7" s="335"/>
      <c r="AM7" s="335"/>
      <c r="AO7" s="10"/>
      <c r="AP7" s="129">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130" t="s">
        <v>5</v>
      </c>
      <c r="P8" s="9"/>
      <c r="Q8" s="102" t="s">
        <v>55</v>
      </c>
      <c r="R8" s="26"/>
      <c r="U8" s="130" t="s">
        <v>37</v>
      </c>
      <c r="V8" s="130" t="s">
        <v>39</v>
      </c>
      <c r="W8" s="130" t="s">
        <v>30</v>
      </c>
      <c r="X8" s="130" t="s">
        <v>43</v>
      </c>
      <c r="Y8" s="130" t="str">
        <f>IF($P$21&lt;=15.99,"correto","erro")</f>
        <v>correto</v>
      </c>
      <c r="Z8" s="130" t="str">
        <f>IF($P$13&lt;=12,"baixo","erro")</f>
        <v>baixo</v>
      </c>
      <c r="AA8" s="130" t="str">
        <f>IF(AND($P$13&gt;=12.01,$P$13&lt;=18),"medio","erro")</f>
        <v>erro</v>
      </c>
      <c r="AB8" s="130" t="str">
        <f>IF($P$13&gt;18,"adequado","erro")</f>
        <v>erro</v>
      </c>
      <c r="AC8" s="130" t="str">
        <f>IF(Z8="baixo","baixo",IF(AA8="medio","medio",IF(AB8="adequado","adequado",0)))</f>
        <v>baixo</v>
      </c>
      <c r="AD8" s="340" t="str">
        <f>VLOOKUP("correto",Y8:AC11,5,0)</f>
        <v>baixo</v>
      </c>
      <c r="AF8" s="130" t="s">
        <v>231</v>
      </c>
      <c r="AG8" s="335" t="s">
        <v>229</v>
      </c>
      <c r="AH8" s="335"/>
      <c r="AI8" s="340" t="s">
        <v>230</v>
      </c>
      <c r="AJ8" s="340"/>
      <c r="AK8" s="130" t="s">
        <v>58</v>
      </c>
      <c r="AL8" s="130" t="s">
        <v>244</v>
      </c>
      <c r="AM8" s="130" t="s">
        <v>247</v>
      </c>
      <c r="AO8" s="10"/>
      <c r="AP8" s="129">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30" t="s">
        <v>6</v>
      </c>
      <c r="P9" s="8"/>
      <c r="Q9" s="130" t="s">
        <v>55</v>
      </c>
      <c r="R9" s="26"/>
      <c r="U9" s="130" t="s">
        <v>27</v>
      </c>
      <c r="V9" s="130" t="s">
        <v>40</v>
      </c>
      <c r="W9" s="130" t="s">
        <v>44</v>
      </c>
      <c r="X9" s="130" t="s">
        <v>47</v>
      </c>
      <c r="Y9" s="130" t="str">
        <f>IF(AND($P$21&gt;15.99,P21&lt;34.99),"correto","erro")</f>
        <v>erro</v>
      </c>
      <c r="Z9" s="130" t="str">
        <f>IF($P$13&lt;=10,"baixo","erro")</f>
        <v>baixo</v>
      </c>
      <c r="AA9" s="130" t="str">
        <f>IF(AND($P$13&gt;=10.01,$P$13&lt;=15),"medio","erro")</f>
        <v>erro</v>
      </c>
      <c r="AB9" s="130" t="str">
        <f>IF($P$13&gt;15,"adequado","erro")</f>
        <v>erro</v>
      </c>
      <c r="AC9" s="130" t="str">
        <f>IF(Z9="baixo","baixo",IF(AA9="medio","medio",IF(AB9="adequado","adequado",0)))</f>
        <v>baixo</v>
      </c>
      <c r="AD9" s="340"/>
      <c r="AF9" s="335" t="s">
        <v>227</v>
      </c>
      <c r="AG9" s="143" t="s">
        <v>25</v>
      </c>
      <c r="AH9" s="143" t="s">
        <v>223</v>
      </c>
      <c r="AI9" s="130"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68</v>
      </c>
      <c r="AT9" s="48">
        <f>AT5-(SUM(AT6:AT8))</f>
        <v>31</v>
      </c>
      <c r="AU9" s="48">
        <f>AU5-(SUM(AU6:AU8))</f>
        <v>160</v>
      </c>
      <c r="AV9" s="48"/>
      <c r="AW9" s="10"/>
      <c r="AX9" s="10"/>
      <c r="AY9" s="10"/>
      <c r="AZ9" s="10"/>
      <c r="BA9" s="10"/>
      <c r="BB9" s="10"/>
    </row>
    <row r="10" spans="1:54" ht="20.25" customHeight="1" x14ac:dyDescent="0.25">
      <c r="B10" s="90"/>
      <c r="C10" s="90"/>
      <c r="D10" s="90"/>
      <c r="E10" s="90"/>
      <c r="F10" s="90"/>
      <c r="G10" s="90"/>
      <c r="H10" s="90"/>
      <c r="I10" s="90"/>
      <c r="M10" s="351"/>
      <c r="N10" s="361"/>
      <c r="O10" s="130" t="s">
        <v>7</v>
      </c>
      <c r="P10" s="9"/>
      <c r="Q10" s="130" t="s">
        <v>55</v>
      </c>
      <c r="R10" s="26"/>
      <c r="U10" s="130" t="s">
        <v>28</v>
      </c>
      <c r="V10" s="130" t="s">
        <v>41</v>
      </c>
      <c r="W10" s="130" t="s">
        <v>45</v>
      </c>
      <c r="X10" s="130" t="s">
        <v>48</v>
      </c>
      <c r="Y10" s="130" t="str">
        <f>IF(AND($P$21&gt;34.99,P21&lt;59.99),"correto","erro")</f>
        <v>erro</v>
      </c>
      <c r="Z10" s="130" t="str">
        <f>IF($P$13&lt;=5,"baixo","erro")</f>
        <v>baixo</v>
      </c>
      <c r="AA10" s="130" t="str">
        <f>IF(AND($P$13&gt;=5.01,$P$13&lt;=8),"medio","erro")</f>
        <v>erro</v>
      </c>
      <c r="AB10" s="130" t="str">
        <f>IF($P$13&gt;8,"adequado","erro")</f>
        <v>erro</v>
      </c>
      <c r="AC10" s="130" t="str">
        <f>IF(Z10="baixo","baixo",IF(AA10="medio","medio",IF(AB10="adequado","adequado",0)))</f>
        <v>baixo</v>
      </c>
      <c r="AD10" s="340"/>
      <c r="AF10" s="335"/>
      <c r="AG10" s="143" t="s">
        <v>26</v>
      </c>
      <c r="AH10" s="143" t="s">
        <v>219</v>
      </c>
      <c r="AI10" s="130" t="str">
        <f>IF(AND($P$14&gt;=0.201,$P$14&lt;=0.5),"medio","erro")</f>
        <v>erro</v>
      </c>
      <c r="AJ10" s="340"/>
      <c r="AK10" s="340"/>
      <c r="AL10" s="340"/>
      <c r="AM10" s="338"/>
      <c r="AO10" s="10"/>
      <c r="AP10" s="334" t="s">
        <v>239</v>
      </c>
      <c r="AQ10" s="334" t="s">
        <v>240</v>
      </c>
      <c r="AR10" s="334"/>
      <c r="AS10" s="129" t="s">
        <v>33</v>
      </c>
      <c r="AT10" s="129" t="s">
        <v>205</v>
      </c>
      <c r="AU10" s="129" t="s">
        <v>206</v>
      </c>
      <c r="AV10" s="363" t="s">
        <v>241</v>
      </c>
      <c r="AW10" s="10" t="s">
        <v>291</v>
      </c>
      <c r="AX10" s="10"/>
      <c r="AY10" s="10"/>
      <c r="AZ10" s="10"/>
      <c r="BA10" s="10"/>
      <c r="BB10" s="10"/>
    </row>
    <row r="11" spans="1:54" ht="20.25" customHeight="1" x14ac:dyDescent="0.25">
      <c r="B11" s="142" t="s">
        <v>109</v>
      </c>
      <c r="C11" s="323"/>
      <c r="D11" s="323"/>
      <c r="E11" s="323"/>
      <c r="F11" s="323"/>
      <c r="G11" s="323"/>
      <c r="H11" s="323"/>
      <c r="I11" s="324"/>
      <c r="M11" s="351"/>
      <c r="N11" s="361"/>
      <c r="O11" s="130" t="s">
        <v>8</v>
      </c>
      <c r="P11" s="8"/>
      <c r="Q11" s="130" t="s">
        <v>55</v>
      </c>
      <c r="R11" s="26"/>
      <c r="U11" s="130" t="s">
        <v>38</v>
      </c>
      <c r="V11" s="130" t="s">
        <v>42</v>
      </c>
      <c r="W11" s="130" t="s">
        <v>46</v>
      </c>
      <c r="X11" s="130" t="s">
        <v>49</v>
      </c>
      <c r="Y11" s="130" t="str">
        <f>IF($P$21&gt;59.99,"correto","erro")</f>
        <v>erro</v>
      </c>
      <c r="Z11" s="130" t="str">
        <f>IF($P$13&lt;=3,"baixo","erro")</f>
        <v>baixo</v>
      </c>
      <c r="AA11" s="130" t="str">
        <f>IF(AND($P$13&gt;=3.01,$P$13&lt;=6),"medio","erro")</f>
        <v>erro</v>
      </c>
      <c r="AB11" s="130" t="str">
        <f>IF($P$13&gt;6,"adequado","erro")</f>
        <v>erro</v>
      </c>
      <c r="AC11" s="130" t="str">
        <f>IF(Z11="baixo","baixo",IF(AA11="medio","medio",IF(AB11="adequado","adequado",0)))</f>
        <v>baixo</v>
      </c>
      <c r="AD11" s="340"/>
      <c r="AF11" s="335"/>
      <c r="AG11" s="143" t="s">
        <v>215</v>
      </c>
      <c r="AH11" s="143" t="s">
        <v>214</v>
      </c>
      <c r="AI11" s="130" t="str">
        <f>IF($P$14&gt;0.5,"adequado","erro")</f>
        <v>erro</v>
      </c>
      <c r="AJ11" s="340"/>
      <c r="AK11" s="340"/>
      <c r="AL11" s="340"/>
      <c r="AM11" s="338"/>
      <c r="AO11" s="10"/>
      <c r="AP11" s="334"/>
      <c r="AQ11" s="334"/>
      <c r="AR11" s="334"/>
      <c r="AS11" s="18">
        <f>AS9</f>
        <v>68</v>
      </c>
      <c r="AT11" s="18">
        <f t="shared" ref="AT11:AU11" si="0">AT9</f>
        <v>31</v>
      </c>
      <c r="AU11" s="18">
        <f t="shared" si="0"/>
        <v>160</v>
      </c>
      <c r="AV11" s="364"/>
      <c r="AW11" s="10"/>
      <c r="AX11" s="10"/>
      <c r="AY11" s="10"/>
      <c r="AZ11" s="10"/>
      <c r="BA11" s="10"/>
      <c r="BB11" s="10"/>
    </row>
    <row r="12" spans="1:54" ht="20.25" customHeight="1" x14ac:dyDescent="0.25">
      <c r="B12" s="137" t="s">
        <v>110</v>
      </c>
      <c r="C12" s="322"/>
      <c r="D12" s="323"/>
      <c r="E12" s="323"/>
      <c r="F12" s="323"/>
      <c r="G12" s="323"/>
      <c r="H12" s="323"/>
      <c r="I12" s="324"/>
      <c r="M12" s="351"/>
      <c r="N12" s="361"/>
      <c r="O12" s="130" t="s">
        <v>9</v>
      </c>
      <c r="P12" s="9"/>
      <c r="Q12" s="130" t="s">
        <v>10</v>
      </c>
      <c r="R12" s="26"/>
      <c r="AF12" s="335" t="s">
        <v>226</v>
      </c>
      <c r="AG12" s="143" t="s">
        <v>25</v>
      </c>
      <c r="AH12" s="143" t="s">
        <v>222</v>
      </c>
      <c r="AI12" s="130" t="str">
        <f>IF($P$16&lt;=0.4,"baixo","erro")</f>
        <v>baixo</v>
      </c>
      <c r="AJ12" s="340" t="str">
        <f>IF($AI$12="baixo","baixo",IF($AI$13="medio","medio",IF($AI$14="adequado","adequado",0)))</f>
        <v>baixo</v>
      </c>
      <c r="AK12" s="340" t="e">
        <f>IF(AJ12="Baixo",AL12,0)</f>
        <v>#VALUE!</v>
      </c>
      <c r="AL12" s="340" t="e">
        <f>(AM12*1000)/$E$18</f>
        <v>#VALUE!</v>
      </c>
      <c r="AM12" s="338">
        <v>2</v>
      </c>
      <c r="AO12" s="10"/>
      <c r="AP12" s="129">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137" t="s">
        <v>111</v>
      </c>
      <c r="C13" s="322"/>
      <c r="D13" s="323"/>
      <c r="E13" s="323"/>
      <c r="F13" s="323"/>
      <c r="G13" s="323"/>
      <c r="H13" s="323"/>
      <c r="I13" s="324"/>
      <c r="M13" s="351"/>
      <c r="N13" s="361"/>
      <c r="O13" s="130" t="s">
        <v>11</v>
      </c>
      <c r="P13" s="8"/>
      <c r="Q13" s="130" t="s">
        <v>12</v>
      </c>
      <c r="R13" s="26"/>
      <c r="AF13" s="335"/>
      <c r="AG13" s="143" t="s">
        <v>26</v>
      </c>
      <c r="AH13" s="143" t="s">
        <v>218</v>
      </c>
      <c r="AI13" s="130" t="str">
        <f>IF(AND($P$16&gt;=0.401,$P$16&lt;=0.8),"medio","erro")</f>
        <v>erro</v>
      </c>
      <c r="AJ13" s="340"/>
      <c r="AK13" s="340"/>
      <c r="AL13" s="340"/>
      <c r="AM13" s="338"/>
      <c r="AO13" s="10"/>
      <c r="AP13" s="129">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137" t="s">
        <v>112</v>
      </c>
      <c r="C14" s="322"/>
      <c r="D14" s="323"/>
      <c r="E14" s="323"/>
      <c r="F14" s="323"/>
      <c r="G14" s="324"/>
      <c r="H14" s="142" t="s">
        <v>113</v>
      </c>
      <c r="I14" s="93">
        <f ca="1">TODAY()</f>
        <v>44005</v>
      </c>
      <c r="M14" s="351"/>
      <c r="N14" s="361"/>
      <c r="O14" s="130" t="s">
        <v>13</v>
      </c>
      <c r="P14" s="9"/>
      <c r="Q14" s="130" t="s">
        <v>12</v>
      </c>
      <c r="R14" s="26"/>
      <c r="AF14" s="335"/>
      <c r="AG14" s="143" t="s">
        <v>215</v>
      </c>
      <c r="AH14" s="143" t="s">
        <v>213</v>
      </c>
      <c r="AI14" s="130" t="str">
        <f>IF($P$16&gt;0.8,"adequado","erro")</f>
        <v>erro</v>
      </c>
      <c r="AJ14" s="340"/>
      <c r="AK14" s="340"/>
      <c r="AL14" s="340"/>
      <c r="AM14" s="338"/>
      <c r="AO14" s="10"/>
      <c r="AP14" s="129">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30" t="s">
        <v>14</v>
      </c>
      <c r="P15" s="8"/>
      <c r="Q15" s="130" t="s">
        <v>12</v>
      </c>
      <c r="R15" s="26"/>
      <c r="AF15" s="335" t="s">
        <v>225</v>
      </c>
      <c r="AG15" s="143" t="s">
        <v>25</v>
      </c>
      <c r="AH15" s="143" t="s">
        <v>221</v>
      </c>
      <c r="AI15" s="130"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68</v>
      </c>
      <c r="AT15" s="48">
        <f>AT11-(SUM(AT12:AT14))</f>
        <v>31</v>
      </c>
      <c r="AU15" s="48">
        <f>AU11-(SUM(AU12:AU14))</f>
        <v>160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30" t="s">
        <v>15</v>
      </c>
      <c r="P16" s="9"/>
      <c r="Q16" s="130" t="s">
        <v>12</v>
      </c>
      <c r="R16" s="26"/>
      <c r="AF16" s="335"/>
      <c r="AG16" s="143" t="s">
        <v>26</v>
      </c>
      <c r="AH16" s="143" t="s">
        <v>217</v>
      </c>
      <c r="AI16" s="130" t="str">
        <f>IF(AND($P$18&gt;=1.901,$P$18&lt;=5),"medio","erro")</f>
        <v>erro</v>
      </c>
      <c r="AJ16" s="340"/>
      <c r="AK16" s="340"/>
      <c r="AL16" s="340"/>
      <c r="AM16" s="338"/>
      <c r="AO16" s="10"/>
      <c r="AP16" s="334" t="s">
        <v>239</v>
      </c>
      <c r="AQ16" s="334" t="s">
        <v>240</v>
      </c>
      <c r="AR16" s="334"/>
      <c r="AS16" s="129" t="s">
        <v>33</v>
      </c>
      <c r="AT16" s="129" t="s">
        <v>205</v>
      </c>
      <c r="AU16" s="129"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30" t="s">
        <v>16</v>
      </c>
      <c r="P17" s="8"/>
      <c r="Q17" s="130" t="s">
        <v>12</v>
      </c>
      <c r="R17" s="26"/>
      <c r="U17" s="343" t="s">
        <v>60</v>
      </c>
      <c r="V17" s="343"/>
      <c r="W17" s="343"/>
      <c r="X17" s="343"/>
      <c r="Y17" s="340" t="s">
        <v>59</v>
      </c>
      <c r="Z17" s="340"/>
      <c r="AA17" s="340"/>
      <c r="AB17" s="340"/>
      <c r="AC17" s="340"/>
      <c r="AD17" s="340"/>
      <c r="AF17" s="335"/>
      <c r="AG17" s="143" t="s">
        <v>215</v>
      </c>
      <c r="AH17" s="143" t="s">
        <v>212</v>
      </c>
      <c r="AI17" s="130" t="str">
        <f>IF($P$18&gt;5,"adequado","erro")</f>
        <v>erro</v>
      </c>
      <c r="AJ17" s="340"/>
      <c r="AK17" s="340"/>
      <c r="AL17" s="340"/>
      <c r="AM17" s="338"/>
      <c r="AO17" s="10"/>
      <c r="AP17" s="334"/>
      <c r="AQ17" s="334"/>
      <c r="AR17" s="334"/>
      <c r="AS17" s="18">
        <f>AS15</f>
        <v>68</v>
      </c>
      <c r="AT17" s="18">
        <f t="shared" ref="AT17:AU17" si="1">AT15</f>
        <v>31</v>
      </c>
      <c r="AU17" s="18">
        <f t="shared" si="1"/>
        <v>160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142">
        <f>O34</f>
        <v>0</v>
      </c>
      <c r="M18" s="351"/>
      <c r="N18" s="361"/>
      <c r="O18" s="130" t="s">
        <v>17</v>
      </c>
      <c r="P18" s="9"/>
      <c r="Q18" s="130" t="s">
        <v>12</v>
      </c>
      <c r="R18" s="26"/>
      <c r="U18" s="343"/>
      <c r="V18" s="343"/>
      <c r="W18" s="343"/>
      <c r="X18" s="343"/>
      <c r="Y18" s="340"/>
      <c r="Z18" s="340"/>
      <c r="AA18" s="340"/>
      <c r="AB18" s="340"/>
      <c r="AC18" s="340"/>
      <c r="AD18" s="340"/>
      <c r="AF18" s="335" t="s">
        <v>224</v>
      </c>
      <c r="AG18" s="143" t="s">
        <v>25</v>
      </c>
      <c r="AH18" s="143" t="s">
        <v>220</v>
      </c>
      <c r="AI18" s="130" t="str">
        <f>IF($P$19&lt;=1,"baixo","erro")</f>
        <v>baixo</v>
      </c>
      <c r="AJ18" s="340" t="str">
        <f>IF($AI$18="baixo","baixo",IF($AI$19="medio","medio",IF($AI$20="adequado","adequado",0)))</f>
        <v>baixo</v>
      </c>
      <c r="AK18" s="340" t="e">
        <f>IF(AJ18="Baixo",AL18,0)</f>
        <v>#VALUE!</v>
      </c>
      <c r="AL18" s="340" t="e">
        <f>(AM18*1000)/$E$18</f>
        <v>#VALUE!</v>
      </c>
      <c r="AM18" s="338">
        <v>6</v>
      </c>
      <c r="AO18" s="10"/>
      <c r="AP18" s="129">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130" t="s">
        <v>18</v>
      </c>
      <c r="P19" s="8"/>
      <c r="Q19" s="130" t="s">
        <v>12</v>
      </c>
      <c r="R19" s="26"/>
      <c r="S19" s="20"/>
      <c r="U19" s="343"/>
      <c r="V19" s="343"/>
      <c r="W19" s="343"/>
      <c r="X19" s="343"/>
      <c r="Y19" s="340"/>
      <c r="Z19" s="340"/>
      <c r="AA19" s="340"/>
      <c r="AB19" s="340"/>
      <c r="AC19" s="340"/>
      <c r="AD19" s="340"/>
      <c r="AF19" s="335"/>
      <c r="AG19" s="143" t="s">
        <v>26</v>
      </c>
      <c r="AH19" s="143" t="s">
        <v>216</v>
      </c>
      <c r="AI19" s="130" t="str">
        <f>IF(AND($P$19&gt;=1.01,$P$19&lt;=1.6),"medio","erro")</f>
        <v>erro</v>
      </c>
      <c r="AJ19" s="340"/>
      <c r="AK19" s="340"/>
      <c r="AL19" s="340"/>
      <c r="AM19" s="338"/>
      <c r="AO19" s="10"/>
      <c r="AP19" s="129">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130" t="s">
        <v>19</v>
      </c>
      <c r="P20" s="9"/>
      <c r="Q20" s="102" t="s">
        <v>23</v>
      </c>
      <c r="R20" s="26"/>
      <c r="U20" s="130" t="s">
        <v>29</v>
      </c>
      <c r="V20" s="340" t="s">
        <v>74</v>
      </c>
      <c r="W20" s="340"/>
      <c r="X20" s="340"/>
      <c r="Y20" s="340"/>
      <c r="Z20" s="340"/>
      <c r="AA20" s="340"/>
      <c r="AB20" s="340"/>
      <c r="AC20" s="340"/>
      <c r="AD20" s="340"/>
      <c r="AF20" s="335"/>
      <c r="AG20" s="143" t="s">
        <v>215</v>
      </c>
      <c r="AH20" s="143" t="s">
        <v>211</v>
      </c>
      <c r="AI20" s="130" t="str">
        <f>IF($P$19&gt;1.6,"adequado","erro")</f>
        <v>erro</v>
      </c>
      <c r="AJ20" s="340"/>
      <c r="AK20" s="340"/>
      <c r="AL20" s="340"/>
      <c r="AM20" s="338"/>
      <c r="AO20" s="10"/>
      <c r="AP20" s="129">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130" t="s">
        <v>52</v>
      </c>
      <c r="P21" s="8"/>
      <c r="Q21" s="102" t="s">
        <v>23</v>
      </c>
      <c r="R21" s="26"/>
      <c r="S21" s="20"/>
      <c r="U21" s="130" t="s">
        <v>23</v>
      </c>
      <c r="V21" s="130" t="s">
        <v>25</v>
      </c>
      <c r="W21" s="130" t="s">
        <v>26</v>
      </c>
      <c r="X21" s="130" t="s">
        <v>31</v>
      </c>
      <c r="Y21" s="130" t="s">
        <v>53</v>
      </c>
      <c r="Z21" s="340" t="s">
        <v>62</v>
      </c>
      <c r="AA21" s="340"/>
      <c r="AB21" s="340"/>
      <c r="AC21" s="130" t="s">
        <v>57</v>
      </c>
      <c r="AD21" s="130" t="s">
        <v>58</v>
      </c>
      <c r="AO21" s="10"/>
      <c r="AP21" s="10"/>
      <c r="AQ21" s="10"/>
      <c r="AR21" s="10"/>
      <c r="AS21" s="48">
        <f>AS17-(SUM(AS18:AS20))</f>
        <v>68</v>
      </c>
      <c r="AT21" s="48">
        <f t="shared" ref="AT21:AU21" si="2">AT17-(SUM(AT18:AT20))</f>
        <v>31</v>
      </c>
      <c r="AU21" s="48">
        <f t="shared" si="2"/>
        <v>160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130" t="s">
        <v>20</v>
      </c>
      <c r="P22" s="9"/>
      <c r="Q22" s="102" t="s">
        <v>23</v>
      </c>
      <c r="R22" s="26"/>
      <c r="U22" s="130" t="s">
        <v>50</v>
      </c>
      <c r="V22" s="130" t="s">
        <v>255</v>
      </c>
      <c r="W22" s="130" t="s">
        <v>257</v>
      </c>
      <c r="X22" s="130" t="s">
        <v>258</v>
      </c>
      <c r="Y22" s="130" t="str">
        <f>IF($P$21&lt;=20,"correto","erro")</f>
        <v>correto</v>
      </c>
      <c r="Z22" s="130" t="str">
        <f>IF($P$8&lt;=0.04,"baixo","erro")</f>
        <v>baixo</v>
      </c>
      <c r="AA22" s="130" t="str">
        <f>IF(AND($P$8&gt;=0.041,$P$8&lt;=0.1),"medio","erro")</f>
        <v>erro</v>
      </c>
      <c r="AB22" s="130" t="str">
        <f>IF($P$8&gt;0.101,"adequado","erro")</f>
        <v>erro</v>
      </c>
      <c r="AC22" s="130"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130" t="s">
        <v>21</v>
      </c>
      <c r="P23" s="8"/>
      <c r="Q23" s="130" t="s">
        <v>10</v>
      </c>
      <c r="R23" s="26"/>
      <c r="U23" s="130" t="s">
        <v>61</v>
      </c>
      <c r="V23" s="130" t="s">
        <v>256</v>
      </c>
      <c r="W23" s="130" t="s">
        <v>259</v>
      </c>
      <c r="X23" s="130" t="s">
        <v>260</v>
      </c>
      <c r="Y23" s="130" t="str">
        <f>IF($P$21&gt;20,"correto","erro")</f>
        <v>erro</v>
      </c>
      <c r="Z23" s="130" t="str">
        <f>IF($P$8&lt;=0.06,"baixo","erro")</f>
        <v>baixo</v>
      </c>
      <c r="AA23" s="130" t="str">
        <f>IF(AND($P$8&gt;=0.061,$P$8&lt;=0.2),"medio","erro")</f>
        <v>erro</v>
      </c>
      <c r="AB23" s="130" t="str">
        <f>IF($P$8&gt;0.201,"adequado","erro")</f>
        <v>erro</v>
      </c>
      <c r="AC23" s="130"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130" t="s">
        <v>22</v>
      </c>
      <c r="P24" s="2" t="e">
        <f>100*(P6+P7+P8+P9)/P25</f>
        <v>#DIV/0!</v>
      </c>
      <c r="Q24" s="130"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130" t="s">
        <v>24</v>
      </c>
      <c r="P25" s="1">
        <f>(P6+P7+P8+P9+P11)</f>
        <v>0</v>
      </c>
      <c r="Q25" s="130" t="s">
        <v>55</v>
      </c>
      <c r="R25" s="26"/>
      <c r="AO25" s="10"/>
      <c r="AP25" s="414" t="s">
        <v>239</v>
      </c>
      <c r="AQ25" s="414" t="s">
        <v>240</v>
      </c>
      <c r="AR25" s="414"/>
      <c r="AS25" s="138" t="s">
        <v>84</v>
      </c>
      <c r="AT25" s="138" t="s">
        <v>87</v>
      </c>
      <c r="AU25" s="138" t="s">
        <v>85</v>
      </c>
      <c r="AV25" s="138"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35"/>
      <c r="O26" s="135"/>
      <c r="P26" s="135"/>
      <c r="Q26" s="135"/>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30" t="s">
        <v>32</v>
      </c>
      <c r="V27" s="130" t="s">
        <v>64</v>
      </c>
      <c r="W27" s="130" t="s">
        <v>75</v>
      </c>
      <c r="X27" s="130" t="s">
        <v>71</v>
      </c>
      <c r="Y27" s="130" t="s">
        <v>36</v>
      </c>
      <c r="Z27" s="130"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136"/>
      <c r="O28" s="136"/>
      <c r="P28" s="136"/>
      <c r="Q28" s="136"/>
      <c r="R28" s="74"/>
      <c r="U28" s="131">
        <v>0</v>
      </c>
      <c r="V28" s="131">
        <v>68</v>
      </c>
      <c r="W28" s="131" t="s">
        <v>68</v>
      </c>
      <c r="X28" s="131" t="str">
        <f>CONCATENATE(U28," - ",W28)</f>
        <v>0 - baixo</v>
      </c>
      <c r="Y28" s="131">
        <v>31</v>
      </c>
      <c r="Z28" s="131">
        <v>160</v>
      </c>
      <c r="AE28" s="130" t="s">
        <v>63</v>
      </c>
      <c r="AG28" s="130"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31">
        <v>0</v>
      </c>
      <c r="V29" s="131">
        <v>68</v>
      </c>
      <c r="W29" s="131" t="s">
        <v>69</v>
      </c>
      <c r="X29" s="131" t="str">
        <f t="shared" ref="X29:X36" si="9">CONCATENATE(U29," - ",W29)</f>
        <v>0 - medio</v>
      </c>
      <c r="Y29" s="131">
        <v>21</v>
      </c>
      <c r="Z29" s="131">
        <v>107</v>
      </c>
      <c r="AB29" s="413" t="s">
        <v>65</v>
      </c>
      <c r="AC29" s="413"/>
      <c r="AE29" s="130" t="s">
        <v>32</v>
      </c>
      <c r="AG29" s="130" t="s">
        <v>174</v>
      </c>
      <c r="AI29" s="30"/>
      <c r="AK29" s="130"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31">
        <v>0</v>
      </c>
      <c r="V30" s="131">
        <v>68</v>
      </c>
      <c r="W30" s="131" t="s">
        <v>70</v>
      </c>
      <c r="X30" s="131" t="str">
        <f t="shared" si="9"/>
        <v>0 - adequado</v>
      </c>
      <c r="Y30" s="131">
        <v>10</v>
      </c>
      <c r="Z30" s="131">
        <v>53</v>
      </c>
      <c r="AB30" s="139" t="s">
        <v>33</v>
      </c>
      <c r="AC30" s="139">
        <f>VLOOKUP($P$39,$U$28:$V$36,2,0)</f>
        <v>68</v>
      </c>
      <c r="AE30" s="130" t="s">
        <v>34</v>
      </c>
      <c r="AG30" s="130" t="s">
        <v>175</v>
      </c>
      <c r="AI30" s="30">
        <v>0</v>
      </c>
      <c r="AK30" s="130"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31">
        <v>1</v>
      </c>
      <c r="V31" s="131">
        <v>68</v>
      </c>
      <c r="W31" s="131" t="s">
        <v>68</v>
      </c>
      <c r="X31" s="131" t="str">
        <f t="shared" si="9"/>
        <v>1 - baixo</v>
      </c>
      <c r="Y31" s="131">
        <v>31</v>
      </c>
      <c r="Z31" s="131">
        <v>160</v>
      </c>
      <c r="AB31" s="139" t="s">
        <v>66</v>
      </c>
      <c r="AC31" s="139">
        <f>VLOOKUP(AB36,X28:Z36,2,0)</f>
        <v>31</v>
      </c>
      <c r="AE31" s="130">
        <v>0</v>
      </c>
      <c r="AG31" s="31" t="e">
        <f>10000/((($O$32/2)+($P$32/2))*$Q$32)</f>
        <v>#DIV/0!</v>
      </c>
      <c r="AI31" s="30">
        <v>0.1</v>
      </c>
      <c r="AK31" s="130"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131">
        <v>1</v>
      </c>
      <c r="V32" s="131">
        <v>68</v>
      </c>
      <c r="W32" s="131" t="s">
        <v>69</v>
      </c>
      <c r="X32" s="131" t="str">
        <f t="shared" si="9"/>
        <v>1 - medio</v>
      </c>
      <c r="Y32" s="131">
        <v>21</v>
      </c>
      <c r="Z32" s="131">
        <v>107</v>
      </c>
      <c r="AB32" s="139" t="s">
        <v>67</v>
      </c>
      <c r="AC32" s="139">
        <f>VLOOKUP($AB$39,X28:Z36,3,0)</f>
        <v>160</v>
      </c>
      <c r="AE32" s="130">
        <v>1</v>
      </c>
      <c r="AI32" s="30">
        <v>0.2</v>
      </c>
      <c r="AK32" s="130"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31">
        <v>1</v>
      </c>
      <c r="V33" s="131">
        <v>68</v>
      </c>
      <c r="W33" s="131" t="s">
        <v>70</v>
      </c>
      <c r="X33" s="131" t="str">
        <f t="shared" si="9"/>
        <v>1 - adequado</v>
      </c>
      <c r="Y33" s="131">
        <v>10</v>
      </c>
      <c r="Z33" s="131">
        <v>53</v>
      </c>
      <c r="AE33" s="130">
        <v>2</v>
      </c>
      <c r="AI33" s="30">
        <v>0.3</v>
      </c>
      <c r="AK33" s="130"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131">
        <v>2</v>
      </c>
      <c r="V34" s="131">
        <v>68</v>
      </c>
      <c r="W34" s="131" t="s">
        <v>68</v>
      </c>
      <c r="X34" s="131" t="str">
        <f t="shared" si="9"/>
        <v>2 - baixo</v>
      </c>
      <c r="Y34" s="131">
        <v>31</v>
      </c>
      <c r="Z34" s="131">
        <v>160</v>
      </c>
      <c r="AI34" s="30">
        <v>0.4</v>
      </c>
      <c r="AK34" s="130"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Gesso Agronelli</v>
      </c>
      <c r="C35" s="350"/>
      <c r="D35" s="98" t="str">
        <f>IF(J34&gt;0,J34,"-")</f>
        <v>-</v>
      </c>
      <c r="E35" s="310" t="str">
        <f>IF(J34&gt;0,"quilos por hectare ou,","-")</f>
        <v>-</v>
      </c>
      <c r="F35" s="310"/>
      <c r="G35" s="310"/>
      <c r="H35" s="310"/>
      <c r="I35" s="310"/>
      <c r="J35" s="66">
        <f>J34/10</f>
        <v>0</v>
      </c>
      <c r="M35" s="75"/>
      <c r="N35" s="135"/>
      <c r="O35" s="135"/>
      <c r="P35" s="32" t="e">
        <f>10000/($O$30*$Q$30)</f>
        <v>#DIV/0!</v>
      </c>
      <c r="Q35" s="32" t="e">
        <f>10000/((($O$32/2)+($P$32/2))*$Q$32)</f>
        <v>#DIV/0!</v>
      </c>
      <c r="R35" s="77"/>
      <c r="U35" s="131">
        <v>2</v>
      </c>
      <c r="V35" s="131">
        <v>68</v>
      </c>
      <c r="W35" s="131" t="s">
        <v>69</v>
      </c>
      <c r="X35" s="131" t="str">
        <f t="shared" si="9"/>
        <v>2 - medio</v>
      </c>
      <c r="Y35" s="131">
        <v>21</v>
      </c>
      <c r="Z35" s="131">
        <v>107</v>
      </c>
      <c r="AB35" s="340" t="s">
        <v>72</v>
      </c>
      <c r="AC35" s="340"/>
      <c r="AI35" s="30">
        <v>0.5</v>
      </c>
      <c r="AK35" s="130"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31">
        <v>2</v>
      </c>
      <c r="V36" s="131">
        <v>68</v>
      </c>
      <c r="W36" s="131" t="s">
        <v>70</v>
      </c>
      <c r="X36" s="131" t="str">
        <f t="shared" si="9"/>
        <v>2 - adequado</v>
      </c>
      <c r="Y36" s="131">
        <v>10</v>
      </c>
      <c r="Z36" s="131">
        <v>53</v>
      </c>
      <c r="AB36" s="340" t="str">
        <f>CONCATENATE($P$39," - ",$AD$8)</f>
        <v>1 - baixo</v>
      </c>
      <c r="AC36" s="340"/>
      <c r="AI36" s="30">
        <v>0.6</v>
      </c>
      <c r="AK36" s="130"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36"/>
      <c r="O37" s="136"/>
      <c r="P37" s="136"/>
      <c r="Q37" s="136"/>
      <c r="R37" s="74"/>
      <c r="AI37" s="30">
        <v>0.7</v>
      </c>
      <c r="AK37" s="130"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AB38" s="340" t="s">
        <v>73</v>
      </c>
      <c r="AC38" s="340"/>
      <c r="AI38" s="30">
        <v>0.8</v>
      </c>
      <c r="AK38" s="130"/>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130" t="s">
        <v>167</v>
      </c>
      <c r="P39" s="341">
        <v>1</v>
      </c>
      <c r="Q39" s="341"/>
      <c r="R39" s="26"/>
      <c r="AB39" s="340" t="str">
        <f>CONCATENATE($P$39," - ",$AD$22)</f>
        <v>1 - baixo</v>
      </c>
      <c r="AC39" s="340"/>
      <c r="AI39" s="30">
        <v>0.9</v>
      </c>
      <c r="AO39" s="10"/>
      <c r="AP39" s="334" t="s">
        <v>242</v>
      </c>
      <c r="AQ39" s="334"/>
      <c r="AR39" s="129" t="s">
        <v>84</v>
      </c>
      <c r="AS39" s="129" t="s">
        <v>87</v>
      </c>
      <c r="AT39" s="129" t="s">
        <v>85</v>
      </c>
      <c r="AU39" s="129" t="s">
        <v>86</v>
      </c>
      <c r="AV39" s="129" t="s">
        <v>207</v>
      </c>
      <c r="AW39" s="129" t="s">
        <v>84</v>
      </c>
      <c r="AX39" s="129" t="s">
        <v>87</v>
      </c>
      <c r="AY39" s="129" t="s">
        <v>85</v>
      </c>
      <c r="AZ39" s="129"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124"/>
      <c r="P40" s="124"/>
      <c r="Q40" s="124"/>
      <c r="R40" s="26"/>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24"/>
      <c r="BD41" s="124"/>
      <c r="BE41" s="124"/>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135"/>
      <c r="O43" s="135"/>
      <c r="P43" s="135"/>
      <c r="Q43" s="135"/>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136"/>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13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130"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130"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30"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130"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135"/>
      <c r="O51" s="135"/>
      <c r="P51" s="135"/>
      <c r="Q51" s="135"/>
      <c r="R51" s="77"/>
      <c r="U51" s="130" t="s">
        <v>254</v>
      </c>
      <c r="V51" s="2">
        <f>V48*$Q$47</f>
        <v>0</v>
      </c>
      <c r="AT51" s="131">
        <v>0</v>
      </c>
      <c r="AU51" s="64" t="s">
        <v>267</v>
      </c>
      <c r="AV51" s="64" t="str">
        <f>CONCATENATE(AT51," - ",AU51)</f>
        <v>0 - Composto de lixo (COL)</v>
      </c>
      <c r="AW51" s="131">
        <v>15</v>
      </c>
    </row>
    <row r="52" spans="2:50" ht="20.25" customHeight="1" thickBot="1" x14ac:dyDescent="0.3">
      <c r="B52" s="391"/>
      <c r="C52" s="391"/>
      <c r="D52" s="391"/>
      <c r="E52" s="391"/>
      <c r="F52" s="391"/>
      <c r="G52" s="391"/>
      <c r="H52" s="391"/>
      <c r="I52" s="391"/>
      <c r="AT52" s="131">
        <v>1</v>
      </c>
      <c r="AU52" s="64" t="s">
        <v>267</v>
      </c>
      <c r="AV52" s="64" t="str">
        <f t="shared" ref="AV52:AV95" si="13">CONCATENATE(AT52," - ",AU52)</f>
        <v>1 - Composto de lixo (COL)</v>
      </c>
      <c r="AW52" s="131">
        <v>5</v>
      </c>
    </row>
    <row r="53" spans="2:50" ht="20.25" customHeight="1" thickBot="1" x14ac:dyDescent="0.3">
      <c r="B53" s="392"/>
      <c r="C53" s="392"/>
      <c r="D53" s="392"/>
      <c r="E53" s="392"/>
      <c r="F53" s="392"/>
      <c r="G53" s="392"/>
      <c r="H53" s="392"/>
      <c r="I53" s="392"/>
      <c r="M53" s="72"/>
      <c r="N53" s="136"/>
      <c r="O53" s="136"/>
      <c r="P53" s="136"/>
      <c r="Q53" s="136"/>
      <c r="R53" s="74"/>
      <c r="AP53" s="38"/>
      <c r="AQ53" s="38"/>
      <c r="AS53" s="38"/>
      <c r="AT53" s="131">
        <v>2</v>
      </c>
      <c r="AU53" s="64" t="s">
        <v>267</v>
      </c>
      <c r="AV53" s="64" t="str">
        <f t="shared" si="13"/>
        <v>2 - Composto de lixo (COL)</v>
      </c>
      <c r="AW53" s="13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31">
        <v>3</v>
      </c>
      <c r="AU54" s="64" t="s">
        <v>267</v>
      </c>
      <c r="AV54" s="64" t="str">
        <f t="shared" si="13"/>
        <v>3 - Composto de lixo (COL)</v>
      </c>
      <c r="AW54" s="131">
        <v>15</v>
      </c>
    </row>
    <row r="55" spans="2:50" ht="20.25" customHeight="1" x14ac:dyDescent="0.25">
      <c r="B55" s="372" t="str">
        <f>IF(AP40&gt;0,AP40,"-")</f>
        <v>-</v>
      </c>
      <c r="C55" s="372"/>
      <c r="D55" s="100" t="str">
        <f>IF(AV40&gt;0,AV40,"-")</f>
        <v>-</v>
      </c>
      <c r="E55" s="310" t="str">
        <f>IF(AV40&gt;0,"gramas por planta","-")</f>
        <v>-</v>
      </c>
      <c r="F55" s="310"/>
      <c r="G55" s="310"/>
      <c r="H55" s="310"/>
      <c r="I55" s="310"/>
      <c r="M55" s="351"/>
      <c r="N55" s="352"/>
      <c r="O55" s="341" t="s">
        <v>173</v>
      </c>
      <c r="P55" s="341"/>
      <c r="Q55" s="341"/>
      <c r="R55" s="26"/>
      <c r="U55" s="368"/>
      <c r="V55" s="368"/>
      <c r="W55" s="368"/>
      <c r="X55" s="133" t="s">
        <v>98</v>
      </c>
      <c r="Y55" s="133" t="s">
        <v>99</v>
      </c>
      <c r="Z55" s="133" t="s">
        <v>100</v>
      </c>
      <c r="AA55" s="133" t="s">
        <v>180</v>
      </c>
      <c r="AP55" s="365"/>
      <c r="AQ55" s="365"/>
      <c r="AS55" s="365"/>
      <c r="AT55" s="131">
        <v>4</v>
      </c>
      <c r="AU55" s="64" t="s">
        <v>267</v>
      </c>
      <c r="AV55" s="64" t="str">
        <f t="shared" si="13"/>
        <v>4 - Composto de lixo (COL)</v>
      </c>
      <c r="AW55" s="131">
        <v>20</v>
      </c>
    </row>
    <row r="56" spans="2:50" ht="20.2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24"/>
      <c r="AQ56" s="124"/>
      <c r="AS56" s="124"/>
      <c r="AT56" s="131">
        <v>0</v>
      </c>
      <c r="AU56" s="64" t="s">
        <v>274</v>
      </c>
      <c r="AV56" s="64" t="str">
        <f t="shared" si="13"/>
        <v>0 - Cama de frango corte</v>
      </c>
      <c r="AW56" s="131">
        <v>3</v>
      </c>
      <c r="AX56" s="124"/>
    </row>
    <row r="57" spans="2:50" ht="20.25" customHeight="1" x14ac:dyDescent="0.25">
      <c r="B57" s="372" t="str">
        <f>IF(AP42&gt;0,AP42,"-")</f>
        <v>-</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24"/>
      <c r="AQ57" s="341" t="s">
        <v>275</v>
      </c>
      <c r="AR57" s="341"/>
      <c r="AS57" s="124"/>
      <c r="AT57" s="131">
        <v>1</v>
      </c>
      <c r="AU57" s="64" t="s">
        <v>274</v>
      </c>
      <c r="AV57" s="64" t="str">
        <f t="shared" si="13"/>
        <v>1 - Cama de frango corte</v>
      </c>
      <c r="AW57" s="131">
        <v>1</v>
      </c>
    </row>
    <row r="58" spans="2:50" ht="20.25" customHeight="1" x14ac:dyDescent="0.25">
      <c r="B58" s="372" t="str">
        <f>IF(AP43&gt;0,AP43,"-")</f>
        <v>-</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24"/>
      <c r="AQ58" s="341" t="str">
        <f>CONCATENATE($P$39," - ",$O$42)</f>
        <v xml:space="preserve">1 - </v>
      </c>
      <c r="AR58" s="341"/>
      <c r="AS58" s="124"/>
      <c r="AT58" s="131">
        <v>2</v>
      </c>
      <c r="AU58" s="64" t="s">
        <v>274</v>
      </c>
      <c r="AV58" s="64" t="str">
        <f t="shared" si="13"/>
        <v>2 - Cama de frango corte</v>
      </c>
      <c r="AW58" s="13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24"/>
      <c r="AQ59" s="338">
        <f>IFERROR(VLOOKUP(AQ58,AV51:AW95,2,0),0)</f>
        <v>0</v>
      </c>
      <c r="AR59" s="338"/>
      <c r="AS59" s="124"/>
      <c r="AT59" s="131">
        <v>3</v>
      </c>
      <c r="AU59" s="64" t="s">
        <v>274</v>
      </c>
      <c r="AV59" s="64" t="str">
        <f t="shared" si="13"/>
        <v>3 - Cama de frango corte</v>
      </c>
      <c r="AW59" s="13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24"/>
      <c r="AQ60" s="124"/>
      <c r="AS60" s="124"/>
      <c r="AT60" s="131">
        <v>4</v>
      </c>
      <c r="AU60" s="64" t="s">
        <v>274</v>
      </c>
      <c r="AV60" s="64" t="str">
        <f t="shared" si="13"/>
        <v>4 - Cama de frango corte</v>
      </c>
      <c r="AW60" s="13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24"/>
      <c r="AQ61" s="124"/>
      <c r="AS61" s="124"/>
      <c r="AT61" s="131">
        <v>0</v>
      </c>
      <c r="AU61" s="64" t="s">
        <v>148</v>
      </c>
      <c r="AV61" s="64" t="str">
        <f t="shared" si="13"/>
        <v>0 - Esterco de galinha</v>
      </c>
      <c r="AW61" s="13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31">
        <v>1</v>
      </c>
      <c r="AU62" s="64" t="s">
        <v>148</v>
      </c>
      <c r="AV62" s="64" t="str">
        <f t="shared" si="13"/>
        <v>1 - Esterco de galinha</v>
      </c>
      <c r="AW62" s="13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31">
        <v>2</v>
      </c>
      <c r="AU63" s="64" t="s">
        <v>148</v>
      </c>
      <c r="AV63" s="64" t="str">
        <f t="shared" si="13"/>
        <v>2 - Esterco de galinha</v>
      </c>
      <c r="AW63" s="13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31">
        <v>3</v>
      </c>
      <c r="AU64" s="64" t="s">
        <v>148</v>
      </c>
      <c r="AV64" s="64" t="str">
        <f t="shared" si="13"/>
        <v>3 - Esterco de galinha</v>
      </c>
      <c r="AW64" s="131">
        <v>3</v>
      </c>
    </row>
    <row r="65" spans="2:49" ht="20.25" customHeight="1" x14ac:dyDescent="0.25">
      <c r="B65" s="309"/>
      <c r="C65" s="310"/>
      <c r="D65" s="310"/>
      <c r="E65" s="311"/>
      <c r="F65" s="309"/>
      <c r="G65" s="310"/>
      <c r="H65" s="310"/>
      <c r="I65" s="311"/>
      <c r="M65" s="351"/>
      <c r="N65" s="352"/>
      <c r="O65" s="124"/>
      <c r="P65" s="124"/>
      <c r="Q65" s="12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31">
        <v>4</v>
      </c>
      <c r="AU65" s="64" t="s">
        <v>148</v>
      </c>
      <c r="AV65" s="64" t="str">
        <f t="shared" si="13"/>
        <v>4 - Esterco de galinha</v>
      </c>
      <c r="AW65" s="13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31">
        <v>0</v>
      </c>
      <c r="AU66" s="64" t="s">
        <v>273</v>
      </c>
      <c r="AV66" s="64" t="str">
        <f t="shared" si="13"/>
        <v>0 - Esterco Bovino curtido</v>
      </c>
      <c r="AW66" s="13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31">
        <v>1</v>
      </c>
      <c r="AU67" s="64" t="s">
        <v>273</v>
      </c>
      <c r="AV67" s="64" t="str">
        <f t="shared" si="13"/>
        <v>1 - Esterco Bovino curtido</v>
      </c>
      <c r="AW67" s="131">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31">
        <v>2</v>
      </c>
      <c r="AU68" s="64" t="s">
        <v>273</v>
      </c>
      <c r="AV68" s="64" t="str">
        <f t="shared" si="13"/>
        <v>2 - Esterco Bovino curtido</v>
      </c>
      <c r="AW68" s="131">
        <v>10</v>
      </c>
    </row>
    <row r="69" spans="2:49" ht="20.25" customHeight="1" thickBot="1" x14ac:dyDescent="0.3">
      <c r="M69" s="75"/>
      <c r="N69" s="135"/>
      <c r="O69" s="135"/>
      <c r="P69" s="135"/>
      <c r="Q69" s="135"/>
      <c r="R69" s="77"/>
      <c r="AT69" s="131">
        <v>3</v>
      </c>
      <c r="AU69" s="64" t="s">
        <v>273</v>
      </c>
      <c r="AV69" s="64" t="str">
        <f t="shared" si="13"/>
        <v>3 - Esterco Bovino curtido</v>
      </c>
      <c r="AW69" s="131">
        <v>15</v>
      </c>
    </row>
    <row r="70" spans="2:49" ht="20.25" customHeight="1" thickBot="1" x14ac:dyDescent="0.3">
      <c r="AT70" s="131">
        <v>4</v>
      </c>
      <c r="AU70" s="64" t="s">
        <v>273</v>
      </c>
      <c r="AV70" s="64" t="str">
        <f t="shared" si="13"/>
        <v>4 - Esterco Bovino curtido</v>
      </c>
      <c r="AW70" s="131">
        <v>20</v>
      </c>
    </row>
    <row r="71" spans="2:49" ht="20.25" customHeight="1" x14ac:dyDescent="0.25">
      <c r="M71" s="72"/>
      <c r="N71" s="136"/>
      <c r="O71" s="136"/>
      <c r="P71" s="136"/>
      <c r="Q71" s="136"/>
      <c r="R71" s="74"/>
      <c r="U71" s="371" t="s">
        <v>125</v>
      </c>
      <c r="V71" s="371" t="s">
        <v>76</v>
      </c>
      <c r="W71" s="371" t="s">
        <v>77</v>
      </c>
      <c r="X71" s="371" t="s">
        <v>265</v>
      </c>
      <c r="Y71" s="371"/>
      <c r="Z71" s="371"/>
      <c r="AT71" s="131">
        <v>0</v>
      </c>
      <c r="AU71" s="64" t="s">
        <v>273</v>
      </c>
      <c r="AV71" s="64" t="str">
        <f t="shared" si="13"/>
        <v>0 - Esterco Bovino curtido</v>
      </c>
      <c r="AW71" s="131">
        <v>15</v>
      </c>
    </row>
    <row r="72" spans="2:49" ht="20.25" customHeight="1" x14ac:dyDescent="0.25">
      <c r="M72" s="351" t="s">
        <v>198</v>
      </c>
      <c r="N72" s="352"/>
      <c r="O72" s="400" t="s">
        <v>233</v>
      </c>
      <c r="P72" s="401"/>
      <c r="Q72" s="402"/>
      <c r="R72" s="26"/>
      <c r="U72" s="371"/>
      <c r="V72" s="371"/>
      <c r="W72" s="371"/>
      <c r="X72" s="134" t="s">
        <v>81</v>
      </c>
      <c r="Y72" s="134" t="s">
        <v>82</v>
      </c>
      <c r="Z72" s="134" t="s">
        <v>83</v>
      </c>
      <c r="AT72" s="131">
        <v>1</v>
      </c>
      <c r="AU72" s="64" t="s">
        <v>266</v>
      </c>
      <c r="AV72" s="64" t="str">
        <f t="shared" si="13"/>
        <v>1 - Esterco de equino</v>
      </c>
      <c r="AW72" s="13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31">
        <v>2</v>
      </c>
      <c r="AU73" s="64" t="s">
        <v>266</v>
      </c>
      <c r="AV73" s="64" t="str">
        <f t="shared" si="13"/>
        <v>2 - Esterco de equino</v>
      </c>
      <c r="AW73" s="131">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131">
        <v>3</v>
      </c>
      <c r="AU74" s="64" t="s">
        <v>266</v>
      </c>
      <c r="AV74" s="64" t="str">
        <f t="shared" si="13"/>
        <v>3 - Esterco de equino</v>
      </c>
      <c r="AW74" s="131">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131">
        <v>4</v>
      </c>
      <c r="AU75" s="64" t="s">
        <v>266</v>
      </c>
      <c r="AV75" s="64" t="str">
        <f t="shared" si="13"/>
        <v>4 - Esterco de equino</v>
      </c>
      <c r="AW75" s="13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31">
        <v>0</v>
      </c>
      <c r="AU76" s="64" t="s">
        <v>273</v>
      </c>
      <c r="AV76" s="64" t="str">
        <f t="shared" si="13"/>
        <v>0 - Esterco Bovino curtido</v>
      </c>
      <c r="AW76" s="131">
        <v>3</v>
      </c>
    </row>
    <row r="77" spans="2:49" ht="20.25" customHeight="1" x14ac:dyDescent="0.25">
      <c r="M77" s="351"/>
      <c r="N77" s="352"/>
      <c r="O77" s="124"/>
      <c r="P77" s="124"/>
      <c r="Q77" s="124"/>
      <c r="R77" s="26"/>
      <c r="U77" s="411"/>
      <c r="V77" s="37" t="str">
        <f>'Adubos e corretivos'!C108</f>
        <v>Nutrigesso Nutrion</v>
      </c>
      <c r="W77" s="37">
        <f>'Adubos e corretivos'!D108</f>
        <v>0</v>
      </c>
      <c r="X77" s="37">
        <f>'Adubos e corretivos'!E108</f>
        <v>13</v>
      </c>
      <c r="Y77" s="37">
        <f>'Adubos e corretivos'!F108</f>
        <v>0</v>
      </c>
      <c r="Z77" s="37">
        <f>'Adubos e corretivos'!G108</f>
        <v>16</v>
      </c>
      <c r="AT77" s="131">
        <v>1</v>
      </c>
      <c r="AU77" s="64" t="s">
        <v>268</v>
      </c>
      <c r="AV77" s="64" t="str">
        <f t="shared" si="13"/>
        <v>1 - Esterco de suínos</v>
      </c>
      <c r="AW77" s="13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31">
        <v>2</v>
      </c>
      <c r="AU78" s="64" t="s">
        <v>268</v>
      </c>
      <c r="AV78" s="64" t="str">
        <f t="shared" si="13"/>
        <v>2 - Esterco de suínos</v>
      </c>
      <c r="AW78" s="131">
        <v>2</v>
      </c>
    </row>
    <row r="79" spans="2:49" ht="20.25" customHeight="1" x14ac:dyDescent="0.25">
      <c r="M79" s="351"/>
      <c r="N79" s="352"/>
      <c r="O79" s="124"/>
      <c r="P79" s="124"/>
      <c r="Q79" s="124"/>
      <c r="R79" s="26"/>
      <c r="U79" s="411"/>
      <c r="V79" s="37">
        <f>'Adubos e corretivos'!C110</f>
        <v>0</v>
      </c>
      <c r="W79" s="37">
        <f>'Adubos e corretivos'!D110</f>
        <v>0</v>
      </c>
      <c r="X79" s="37">
        <f>'Adubos e corretivos'!E110</f>
        <v>0</v>
      </c>
      <c r="Y79" s="37">
        <f>'Adubos e corretivos'!F110</f>
        <v>0</v>
      </c>
      <c r="Z79" s="37">
        <f>'Adubos e corretivos'!G110</f>
        <v>0</v>
      </c>
      <c r="AT79" s="131">
        <v>3</v>
      </c>
      <c r="AU79" s="64" t="s">
        <v>268</v>
      </c>
      <c r="AV79" s="64" t="str">
        <f t="shared" si="13"/>
        <v>3 - Esterco de suínos</v>
      </c>
      <c r="AW79" s="13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31">
        <v>4</v>
      </c>
      <c r="AU80" s="64" t="s">
        <v>268</v>
      </c>
      <c r="AV80" s="64" t="str">
        <f t="shared" si="13"/>
        <v>4 - Esterco de suínos</v>
      </c>
      <c r="AW80" s="13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31">
        <v>0</v>
      </c>
      <c r="AU81" s="64" t="s">
        <v>269</v>
      </c>
      <c r="AV81" s="64" t="str">
        <f t="shared" si="13"/>
        <v>0 - Esterco de ovinos</v>
      </c>
      <c r="AW81" s="131">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131">
        <v>1</v>
      </c>
      <c r="AU82" s="64" t="s">
        <v>269</v>
      </c>
      <c r="AV82" s="64" t="str">
        <f t="shared" si="13"/>
        <v>1 - Esterco de ovinos</v>
      </c>
      <c r="AW82" s="131">
        <v>1</v>
      </c>
    </row>
    <row r="83" spans="13:49" ht="20.25" customHeight="1" x14ac:dyDescent="0.25">
      <c r="M83" s="351"/>
      <c r="N83" s="352"/>
      <c r="O83" s="341"/>
      <c r="P83" s="341"/>
      <c r="Q83" s="33"/>
      <c r="R83" s="26"/>
      <c r="AT83" s="131">
        <v>2</v>
      </c>
      <c r="AU83" s="64" t="s">
        <v>269</v>
      </c>
      <c r="AV83" s="64" t="str">
        <f t="shared" si="13"/>
        <v>2 - Esterco de ovinos</v>
      </c>
      <c r="AW83" s="131">
        <v>2</v>
      </c>
    </row>
    <row r="84" spans="13:49" ht="20.25" customHeight="1" x14ac:dyDescent="0.25">
      <c r="M84" s="351"/>
      <c r="N84" s="352"/>
      <c r="O84" s="341"/>
      <c r="P84" s="341"/>
      <c r="Q84" s="33"/>
      <c r="R84" s="26"/>
      <c r="AT84" s="131">
        <v>3</v>
      </c>
      <c r="AU84" s="64" t="s">
        <v>269</v>
      </c>
      <c r="AV84" s="64" t="str">
        <f t="shared" si="13"/>
        <v>3 - Esterco de ovinos</v>
      </c>
      <c r="AW84" s="131">
        <v>3</v>
      </c>
    </row>
    <row r="85" spans="13:49" ht="20.25" customHeight="1" x14ac:dyDescent="0.25">
      <c r="M85" s="351"/>
      <c r="N85" s="352"/>
      <c r="O85" s="124"/>
      <c r="P85" s="124"/>
      <c r="Q85" s="124"/>
      <c r="R85" s="26"/>
      <c r="U85" s="370" t="s">
        <v>125</v>
      </c>
      <c r="V85" s="370" t="s">
        <v>76</v>
      </c>
      <c r="W85" s="370" t="s">
        <v>77</v>
      </c>
      <c r="X85" s="370" t="s">
        <v>78</v>
      </c>
      <c r="Y85" s="370"/>
      <c r="Z85" s="370"/>
      <c r="AA85" s="370"/>
      <c r="AB85" s="370"/>
      <c r="AC85" s="370"/>
      <c r="AD85" s="370"/>
      <c r="AE85" s="370"/>
      <c r="AT85" s="131">
        <v>4</v>
      </c>
      <c r="AU85" s="64" t="s">
        <v>269</v>
      </c>
      <c r="AV85" s="64" t="str">
        <f t="shared" si="13"/>
        <v>4 - Esterco de ovinos</v>
      </c>
      <c r="AW85" s="131">
        <v>4</v>
      </c>
    </row>
    <row r="86" spans="13:49" ht="20.25" customHeight="1" x14ac:dyDescent="0.25">
      <c r="M86" s="351"/>
      <c r="N86" s="352"/>
      <c r="O86" s="352" t="s">
        <v>245</v>
      </c>
      <c r="P86" s="352"/>
      <c r="Q86" s="352"/>
      <c r="R86" s="26"/>
      <c r="U86" s="370"/>
      <c r="V86" s="370"/>
      <c r="W86" s="370"/>
      <c r="X86" s="132" t="s">
        <v>106</v>
      </c>
      <c r="Y86" s="132" t="s">
        <v>79</v>
      </c>
      <c r="Z86" s="132" t="s">
        <v>66</v>
      </c>
      <c r="AA86" s="132" t="s">
        <v>80</v>
      </c>
      <c r="AB86" s="132" t="s">
        <v>67</v>
      </c>
      <c r="AC86" s="132" t="s">
        <v>176</v>
      </c>
      <c r="AD86" s="132" t="s">
        <v>177</v>
      </c>
      <c r="AE86" s="132" t="s">
        <v>190</v>
      </c>
      <c r="AT86" s="131">
        <v>0</v>
      </c>
      <c r="AU86" s="64" t="s">
        <v>270</v>
      </c>
      <c r="AV86" s="64" t="str">
        <f t="shared" si="13"/>
        <v>0 - Lodo de esgosto</v>
      </c>
      <c r="AW86" s="131">
        <v>3</v>
      </c>
    </row>
    <row r="87" spans="13:49" ht="20.25" customHeight="1" x14ac:dyDescent="0.25">
      <c r="M87" s="351"/>
      <c r="N87" s="352"/>
      <c r="O87" s="124"/>
      <c r="P87" s="124"/>
      <c r="Q87" s="12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31">
        <v>1</v>
      </c>
      <c r="AU87" s="64" t="s">
        <v>270</v>
      </c>
      <c r="AV87" s="64" t="str">
        <f t="shared" si="13"/>
        <v>1 - Lodo de esgosto</v>
      </c>
      <c r="AW87" s="13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31">
        <v>2</v>
      </c>
      <c r="AU88" s="64" t="s">
        <v>270</v>
      </c>
      <c r="AV88" s="64" t="str">
        <f t="shared" si="13"/>
        <v>2 - Lodo de esgosto</v>
      </c>
      <c r="AW88" s="13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31">
        <v>3</v>
      </c>
      <c r="AU89" s="64" t="s">
        <v>270</v>
      </c>
      <c r="AV89" s="64" t="str">
        <f t="shared" si="13"/>
        <v>3 - Lodo de esgosto</v>
      </c>
      <c r="AW89" s="131">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31">
        <v>4</v>
      </c>
      <c r="AU90" s="64" t="s">
        <v>270</v>
      </c>
      <c r="AV90" s="64" t="str">
        <f t="shared" si="13"/>
        <v>4 - Lodo de esgosto</v>
      </c>
      <c r="AW90" s="131">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31">
        <v>0</v>
      </c>
      <c r="AU91" s="64" t="s">
        <v>271</v>
      </c>
      <c r="AV91" s="64" t="str">
        <f t="shared" si="13"/>
        <v>0 - Compostos orgânicos</v>
      </c>
      <c r="AW91" s="13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31">
        <v>1</v>
      </c>
      <c r="AU92" s="64" t="s">
        <v>271</v>
      </c>
      <c r="AV92" s="64" t="str">
        <f t="shared" si="13"/>
        <v>1 - Compostos orgânicos</v>
      </c>
      <c r="AW92" s="131">
        <v>1</v>
      </c>
    </row>
    <row r="93" spans="13:49" ht="20.25" customHeight="1" x14ac:dyDescent="0.25">
      <c r="M93" s="125"/>
      <c r="N93" s="124"/>
      <c r="O93" s="124"/>
      <c r="P93" s="124"/>
      <c r="Q93" s="12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31">
        <v>2</v>
      </c>
      <c r="AU93" s="64" t="s">
        <v>271</v>
      </c>
      <c r="AV93" s="64" t="str">
        <f t="shared" si="13"/>
        <v>2 - Compostos orgânicos</v>
      </c>
      <c r="AW93" s="131">
        <v>2</v>
      </c>
    </row>
    <row r="94" spans="13:49" ht="20.25" customHeight="1" x14ac:dyDescent="0.25">
      <c r="M94" s="125"/>
      <c r="N94" s="12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31">
        <v>3</v>
      </c>
      <c r="AU94" s="64" t="s">
        <v>271</v>
      </c>
      <c r="AV94" s="64" t="str">
        <f t="shared" si="13"/>
        <v>3 - Compostos orgânicos</v>
      </c>
      <c r="AW94" s="131">
        <v>3</v>
      </c>
    </row>
    <row r="95" spans="13:49" ht="20.25" customHeight="1" thickBot="1" x14ac:dyDescent="0.3">
      <c r="M95" s="75"/>
      <c r="N95" s="135"/>
      <c r="O95" s="135"/>
      <c r="P95" s="135"/>
      <c r="Q95" s="135"/>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31">
        <v>4</v>
      </c>
      <c r="AU95" s="64" t="s">
        <v>271</v>
      </c>
      <c r="AV95" s="64" t="str">
        <f t="shared" si="13"/>
        <v>4 - Compostos orgânicos</v>
      </c>
      <c r="AW95" s="131">
        <v>4</v>
      </c>
    </row>
    <row r="96" spans="13:49" ht="20.25" customHeight="1" thickBot="1" x14ac:dyDescent="0.3"/>
    <row r="97" spans="1:41" ht="20.25" customHeight="1" x14ac:dyDescent="0.25">
      <c r="A97" s="59"/>
      <c r="M97" s="72"/>
      <c r="N97" s="136"/>
      <c r="O97" s="136"/>
      <c r="P97" s="136"/>
      <c r="Q97" s="136"/>
      <c r="R97" s="74"/>
    </row>
    <row r="98" spans="1:41" ht="20.25" customHeight="1" x14ac:dyDescent="0.25">
      <c r="A98" s="140"/>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40"/>
      <c r="M99" s="351" t="s">
        <v>243</v>
      </c>
      <c r="N99" s="361"/>
      <c r="O99" s="45">
        <f>$AC$30</f>
        <v>68</v>
      </c>
      <c r="P99" s="45">
        <f>$AC$31</f>
        <v>31</v>
      </c>
      <c r="Q99" s="45">
        <f>$AC$32</f>
        <v>160</v>
      </c>
      <c r="R99" s="26"/>
      <c r="U99" s="409"/>
      <c r="V99" s="409"/>
      <c r="W99" s="409"/>
      <c r="X99" s="128" t="s">
        <v>33</v>
      </c>
      <c r="Y99" s="128" t="s">
        <v>79</v>
      </c>
      <c r="Z99" s="128" t="s">
        <v>66</v>
      </c>
      <c r="AA99" s="128" t="s">
        <v>80</v>
      </c>
      <c r="AB99" s="128" t="s">
        <v>67</v>
      </c>
      <c r="AC99" s="128" t="s">
        <v>81</v>
      </c>
      <c r="AD99" s="128" t="s">
        <v>82</v>
      </c>
      <c r="AE99" s="128" t="s">
        <v>83</v>
      </c>
      <c r="AF99" s="128" t="s">
        <v>84</v>
      </c>
      <c r="AG99" s="128" t="s">
        <v>85</v>
      </c>
      <c r="AH99" s="128" t="s">
        <v>86</v>
      </c>
      <c r="AI99" s="128" t="s">
        <v>87</v>
      </c>
      <c r="AJ99" s="128" t="s">
        <v>88</v>
      </c>
      <c r="AK99" s="128" t="s">
        <v>89</v>
      </c>
      <c r="AL99" s="128" t="s">
        <v>106</v>
      </c>
      <c r="AM99" s="128" t="s">
        <v>90</v>
      </c>
      <c r="AN99" s="128" t="s">
        <v>91</v>
      </c>
      <c r="AO99" s="128" t="s">
        <v>92</v>
      </c>
    </row>
    <row r="100" spans="1:41" ht="20.25" customHeight="1" x14ac:dyDescent="0.25">
      <c r="A100" s="124"/>
      <c r="M100" s="351" t="s">
        <v>251</v>
      </c>
      <c r="N100" s="361"/>
      <c r="O100" s="2">
        <f>AS21</f>
        <v>68</v>
      </c>
      <c r="P100" s="2">
        <f>AT21</f>
        <v>31</v>
      </c>
      <c r="Q100" s="2">
        <f>AU21</f>
        <v>160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24"/>
      <c r="B101" s="43"/>
      <c r="C101" s="43"/>
      <c r="M101" s="75"/>
      <c r="N101" s="135"/>
      <c r="O101" s="135"/>
      <c r="P101" s="135"/>
      <c r="Q101" s="135"/>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2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36"/>
      <c r="O103" s="136"/>
      <c r="P103" s="136"/>
      <c r="Q103" s="136"/>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35"/>
      <c r="O110" s="135"/>
      <c r="P110" s="135"/>
      <c r="Q110" s="135"/>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36"/>
      <c r="O112" s="136"/>
      <c r="P112" s="136"/>
      <c r="Q112" s="136"/>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2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2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2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24"/>
      <c r="D116" s="38"/>
      <c r="M116" s="75"/>
      <c r="N116" s="135"/>
      <c r="O116" s="135"/>
      <c r="P116" s="135"/>
      <c r="Q116" s="135"/>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2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2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2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2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2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24"/>
      <c r="D122" s="12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24"/>
      <c r="D123" s="12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24"/>
      <c r="D124" s="12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24"/>
      <c r="L154" s="124"/>
      <c r="M154" s="124"/>
      <c r="N154" s="124"/>
      <c r="O154" s="124"/>
      <c r="P154" s="124"/>
      <c r="Q154" s="124"/>
      <c r="R154" s="124"/>
      <c r="S154" s="12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24"/>
      <c r="L155" s="124"/>
      <c r="M155" s="124"/>
      <c r="N155" s="124"/>
      <c r="O155" s="124"/>
      <c r="P155" s="124"/>
      <c r="Q155" s="124"/>
      <c r="R155" s="124"/>
      <c r="S155" s="12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24"/>
      <c r="L156" s="124"/>
      <c r="M156" s="124"/>
      <c r="N156" s="124"/>
      <c r="O156" s="124"/>
      <c r="P156" s="124"/>
      <c r="Q156" s="124"/>
      <c r="R156" s="124"/>
      <c r="S156" s="12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24"/>
      <c r="L157" s="124"/>
      <c r="M157" s="124"/>
      <c r="N157" s="124"/>
      <c r="O157" s="124"/>
      <c r="P157" s="124"/>
      <c r="Q157" s="124"/>
      <c r="R157" s="124"/>
      <c r="S157" s="12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24"/>
      <c r="L158" s="124"/>
      <c r="M158" s="124"/>
      <c r="N158" s="415"/>
      <c r="O158" s="415"/>
      <c r="P158" s="415"/>
      <c r="Q158" s="124"/>
      <c r="R158" s="124"/>
      <c r="S158" s="12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24"/>
      <c r="L159" s="124"/>
      <c r="M159" s="124"/>
      <c r="N159" s="352"/>
      <c r="O159" s="352"/>
      <c r="P159" s="352"/>
      <c r="Q159" s="124"/>
      <c r="R159" s="12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24"/>
      <c r="L160" s="124"/>
      <c r="M160" s="124"/>
      <c r="N160" s="124"/>
      <c r="O160" s="124"/>
      <c r="P160" s="124"/>
      <c r="Q160" s="124"/>
      <c r="R160" s="12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24"/>
      <c r="L161" s="124"/>
      <c r="M161" s="124"/>
      <c r="N161" s="124"/>
      <c r="O161" s="124"/>
      <c r="P161" s="124"/>
      <c r="Q161" s="124"/>
      <c r="R161" s="12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24"/>
      <c r="L162" s="124"/>
      <c r="M162" s="124"/>
      <c r="N162" s="124"/>
      <c r="O162" s="124"/>
      <c r="P162" s="124"/>
      <c r="Q162" s="124"/>
      <c r="R162" s="12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24"/>
      <c r="L163" s="124"/>
      <c r="M163" s="124"/>
      <c r="N163" s="124"/>
      <c r="O163" s="124"/>
      <c r="P163" s="124"/>
      <c r="Q163" s="124"/>
      <c r="R163" s="12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24"/>
      <c r="L164" s="124"/>
      <c r="M164" s="124"/>
      <c r="N164" s="124"/>
      <c r="O164" s="124"/>
      <c r="P164" s="124"/>
      <c r="Q164" s="124"/>
      <c r="R164" s="12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24"/>
      <c r="L165" s="124"/>
      <c r="M165" s="124"/>
      <c r="N165" s="124"/>
      <c r="O165" s="124"/>
      <c r="P165" s="124"/>
      <c r="Q165" s="124"/>
      <c r="R165" s="12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24"/>
      <c r="L166" s="124"/>
      <c r="M166" s="124"/>
      <c r="N166" s="124"/>
      <c r="O166" s="124"/>
      <c r="P166" s="124"/>
      <c r="Q166" s="124"/>
      <c r="R166" s="12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24"/>
      <c r="L167" s="124"/>
      <c r="M167" s="124"/>
      <c r="N167" s="124"/>
      <c r="O167" s="124"/>
      <c r="P167" s="124"/>
      <c r="Q167" s="124"/>
      <c r="R167" s="12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24"/>
      <c r="L168" s="124"/>
      <c r="M168" s="124"/>
      <c r="N168" s="124"/>
      <c r="O168" s="124"/>
      <c r="P168" s="124"/>
      <c r="Q168" s="124"/>
      <c r="R168" s="12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24"/>
      <c r="L169" s="124"/>
      <c r="M169" s="124"/>
      <c r="N169" s="124"/>
      <c r="O169" s="124"/>
      <c r="P169" s="124"/>
      <c r="Q169" s="124"/>
      <c r="R169" s="12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24"/>
    </row>
    <row r="170" spans="11:44" ht="20.25" customHeight="1" x14ac:dyDescent="0.25">
      <c r="K170" s="124"/>
      <c r="L170" s="124"/>
      <c r="M170" s="124"/>
      <c r="N170" s="124"/>
      <c r="O170" s="124"/>
      <c r="P170" s="124"/>
      <c r="Q170" s="124"/>
      <c r="R170" s="12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24"/>
      <c r="L171" s="124"/>
      <c r="M171" s="124"/>
      <c r="N171" s="124"/>
      <c r="O171" s="124"/>
      <c r="P171" s="124"/>
      <c r="Q171" s="124"/>
      <c r="R171" s="12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24"/>
      <c r="L172" s="124"/>
      <c r="M172" s="124"/>
      <c r="N172" s="124"/>
      <c r="O172" s="127"/>
      <c r="P172" s="127"/>
      <c r="Q172" s="127"/>
      <c r="R172" s="12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24"/>
      <c r="L173" s="124"/>
      <c r="M173" s="124"/>
      <c r="N173" s="124"/>
      <c r="O173" s="127"/>
      <c r="P173" s="127"/>
      <c r="Q173" s="127"/>
      <c r="R173" s="12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24"/>
      <c r="L174" s="124"/>
      <c r="M174" s="124"/>
      <c r="N174" s="124"/>
      <c r="O174" s="124"/>
      <c r="P174" s="124"/>
      <c r="Q174" s="124"/>
      <c r="R174" s="12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24"/>
      <c r="L175" s="124"/>
      <c r="M175" s="124"/>
      <c r="N175" s="124"/>
      <c r="O175" s="127"/>
      <c r="P175" s="127"/>
      <c r="Q175" s="127"/>
      <c r="R175" s="124"/>
      <c r="S175" s="12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24"/>
      <c r="L176" s="124"/>
      <c r="M176" s="124"/>
      <c r="N176" s="124"/>
      <c r="O176" s="124"/>
      <c r="P176" s="124"/>
      <c r="Q176" s="124"/>
      <c r="R176" s="124"/>
      <c r="S176" s="12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24"/>
      <c r="L177" s="124"/>
      <c r="M177" s="124"/>
      <c r="N177" s="124"/>
      <c r="O177" s="124"/>
      <c r="P177" s="124"/>
      <c r="Q177" s="124"/>
      <c r="R177" s="124"/>
      <c r="S177" s="12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24"/>
      <c r="L178" s="124"/>
      <c r="M178" s="124"/>
      <c r="N178" s="124"/>
      <c r="O178" s="124"/>
      <c r="P178" s="124"/>
      <c r="Q178" s="124"/>
      <c r="R178" s="124"/>
      <c r="S178" s="12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24"/>
      <c r="L179" s="124"/>
      <c r="M179" s="124"/>
      <c r="N179" s="124"/>
      <c r="O179" s="124"/>
      <c r="P179" s="124"/>
      <c r="Q179" s="124"/>
      <c r="R179" s="124"/>
      <c r="S179" s="12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$AE$31:$AE$33</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topLeftCell="A31" zoomScale="57" zoomScaleNormal="57" workbookViewId="0">
      <selection activeCell="M4" sqref="M4:N4"/>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36"/>
      <c r="O3" s="136"/>
      <c r="P3" s="136"/>
      <c r="Q3" s="136"/>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41" t="s">
        <v>0</v>
      </c>
      <c r="R4" s="26"/>
      <c r="U4" s="343"/>
      <c r="V4" s="343"/>
      <c r="W4" s="343"/>
      <c r="X4" s="343"/>
      <c r="Y4" s="340"/>
      <c r="Z4" s="340"/>
      <c r="AA4" s="340"/>
      <c r="AB4" s="340"/>
      <c r="AC4" s="340"/>
      <c r="AD4" s="340"/>
      <c r="AO4" s="10"/>
      <c r="AP4" s="334" t="s">
        <v>239</v>
      </c>
      <c r="AQ4" s="334" t="s">
        <v>240</v>
      </c>
      <c r="AR4" s="334"/>
      <c r="AS4" s="129" t="s">
        <v>33</v>
      </c>
      <c r="AT4" s="129" t="s">
        <v>205</v>
      </c>
      <c r="AU4" s="129"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30" t="s">
        <v>1</v>
      </c>
      <c r="P5" s="8"/>
      <c r="Q5" s="130"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30" t="s">
        <v>3</v>
      </c>
      <c r="P6" s="9"/>
      <c r="Q6" s="130" t="s">
        <v>55</v>
      </c>
      <c r="R6" s="26"/>
      <c r="U6" s="130" t="s">
        <v>29</v>
      </c>
      <c r="V6" s="340" t="s">
        <v>51</v>
      </c>
      <c r="W6" s="340"/>
      <c r="X6" s="340"/>
      <c r="Y6" s="340"/>
      <c r="Z6" s="340"/>
      <c r="AA6" s="340"/>
      <c r="AB6" s="340"/>
      <c r="AC6" s="340"/>
      <c r="AD6" s="340"/>
      <c r="AO6" s="10"/>
      <c r="AP6" s="129">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30" t="s">
        <v>4</v>
      </c>
      <c r="P7" s="8"/>
      <c r="Q7" s="130" t="s">
        <v>55</v>
      </c>
      <c r="R7" s="26"/>
      <c r="U7" s="130" t="s">
        <v>23</v>
      </c>
      <c r="V7" s="130" t="s">
        <v>25</v>
      </c>
      <c r="W7" s="130" t="s">
        <v>26</v>
      </c>
      <c r="X7" s="130" t="s">
        <v>31</v>
      </c>
      <c r="Y7" s="130" t="s">
        <v>53</v>
      </c>
      <c r="Z7" s="340" t="s">
        <v>54</v>
      </c>
      <c r="AA7" s="340"/>
      <c r="AB7" s="340"/>
      <c r="AC7" s="130" t="s">
        <v>57</v>
      </c>
      <c r="AD7" s="130" t="s">
        <v>58</v>
      </c>
      <c r="AF7" s="335" t="s">
        <v>228</v>
      </c>
      <c r="AG7" s="335"/>
      <c r="AH7" s="335"/>
      <c r="AI7" s="335"/>
      <c r="AJ7" s="335"/>
      <c r="AK7" s="335"/>
      <c r="AL7" s="335"/>
      <c r="AM7" s="335"/>
      <c r="AO7" s="10"/>
      <c r="AP7" s="129">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30" t="s">
        <v>5</v>
      </c>
      <c r="P8" s="9"/>
      <c r="Q8" s="102" t="s">
        <v>55</v>
      </c>
      <c r="R8" s="26"/>
      <c r="U8" s="130" t="s">
        <v>37</v>
      </c>
      <c r="V8" s="130" t="s">
        <v>39</v>
      </c>
      <c r="W8" s="130" t="s">
        <v>30</v>
      </c>
      <c r="X8" s="130" t="s">
        <v>43</v>
      </c>
      <c r="Y8" s="130" t="str">
        <f>IF($P$21&lt;=15.99,"correto","erro")</f>
        <v>correto</v>
      </c>
      <c r="Z8" s="130" t="str">
        <f>IF($P$13&lt;=12,"baixo","erro")</f>
        <v>baixo</v>
      </c>
      <c r="AA8" s="130" t="str">
        <f>IF(AND($P$13&gt;=12.01,$P$13&lt;=18),"medio","erro")</f>
        <v>erro</v>
      </c>
      <c r="AB8" s="130" t="str">
        <f>IF($P$13&gt;18,"adequado","erro")</f>
        <v>erro</v>
      </c>
      <c r="AC8" s="130" t="str">
        <f>IF(Z8="baixo","baixo",IF(AA8="medio","medio",IF(AB8="adequado","adequado",0)))</f>
        <v>baixo</v>
      </c>
      <c r="AD8" s="340" t="str">
        <f>VLOOKUP("correto",Y8:AC11,5,0)</f>
        <v>baixo</v>
      </c>
      <c r="AF8" s="130" t="s">
        <v>231</v>
      </c>
      <c r="AG8" s="335" t="s">
        <v>229</v>
      </c>
      <c r="AH8" s="335"/>
      <c r="AI8" s="340" t="s">
        <v>230</v>
      </c>
      <c r="AJ8" s="340"/>
      <c r="AK8" s="130" t="s">
        <v>58</v>
      </c>
      <c r="AL8" s="130" t="s">
        <v>244</v>
      </c>
      <c r="AM8" s="130" t="s">
        <v>247</v>
      </c>
      <c r="AO8" s="10"/>
      <c r="AP8" s="129">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30" t="s">
        <v>6</v>
      </c>
      <c r="P9" s="8"/>
      <c r="Q9" s="130" t="s">
        <v>55</v>
      </c>
      <c r="R9" s="26"/>
      <c r="U9" s="130" t="s">
        <v>27</v>
      </c>
      <c r="V9" s="130" t="s">
        <v>40</v>
      </c>
      <c r="W9" s="130" t="s">
        <v>44</v>
      </c>
      <c r="X9" s="130" t="s">
        <v>47</v>
      </c>
      <c r="Y9" s="130" t="str">
        <f>IF(AND($P$21&gt;15.99,P21&lt;34.99),"correto","erro")</f>
        <v>erro</v>
      </c>
      <c r="Z9" s="130" t="str">
        <f>IF($P$13&lt;=10,"baixo","erro")</f>
        <v>baixo</v>
      </c>
      <c r="AA9" s="130" t="str">
        <f>IF(AND($P$13&gt;=10.01,$P$13&lt;=15),"medio","erro")</f>
        <v>erro</v>
      </c>
      <c r="AB9" s="130" t="str">
        <f>IF($P$13&gt;15,"adequado","erro")</f>
        <v>erro</v>
      </c>
      <c r="AC9" s="130" t="str">
        <f>IF(Z9="baixo","baixo",IF(AA9="medio","medio",IF(AB9="adequado","adequado",0)))</f>
        <v>baixo</v>
      </c>
      <c r="AD9" s="340"/>
      <c r="AF9" s="335" t="s">
        <v>227</v>
      </c>
      <c r="AG9" s="143" t="s">
        <v>25</v>
      </c>
      <c r="AH9" s="143" t="s">
        <v>223</v>
      </c>
      <c r="AI9" s="130"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30" t="s">
        <v>7</v>
      </c>
      <c r="P10" s="9"/>
      <c r="Q10" s="130" t="s">
        <v>55</v>
      </c>
      <c r="R10" s="26"/>
      <c r="U10" s="130" t="s">
        <v>28</v>
      </c>
      <c r="V10" s="130" t="s">
        <v>41</v>
      </c>
      <c r="W10" s="130" t="s">
        <v>45</v>
      </c>
      <c r="X10" s="130" t="s">
        <v>48</v>
      </c>
      <c r="Y10" s="130" t="str">
        <f>IF(AND($P$21&gt;34.99,P21&lt;59.99),"correto","erro")</f>
        <v>erro</v>
      </c>
      <c r="Z10" s="130" t="str">
        <f>IF($P$13&lt;=5,"baixo","erro")</f>
        <v>baixo</v>
      </c>
      <c r="AA10" s="130" t="str">
        <f>IF(AND($P$13&gt;=5.01,$P$13&lt;=8),"medio","erro")</f>
        <v>erro</v>
      </c>
      <c r="AB10" s="130" t="str">
        <f>IF($P$13&gt;8,"adequado","erro")</f>
        <v>erro</v>
      </c>
      <c r="AC10" s="130" t="str">
        <f>IF(Z10="baixo","baixo",IF(AA10="medio","medio",IF(AB10="adequado","adequado",0)))</f>
        <v>baixo</v>
      </c>
      <c r="AD10" s="340"/>
      <c r="AF10" s="335"/>
      <c r="AG10" s="143" t="s">
        <v>26</v>
      </c>
      <c r="AH10" s="143" t="s">
        <v>219</v>
      </c>
      <c r="AI10" s="130" t="str">
        <f>IF(AND($P$14&gt;=0.201,$P$14&lt;=0.5),"medio","erro")</f>
        <v>erro</v>
      </c>
      <c r="AJ10" s="340"/>
      <c r="AK10" s="340"/>
      <c r="AL10" s="340"/>
      <c r="AM10" s="338"/>
      <c r="AO10" s="10"/>
      <c r="AP10" s="334" t="s">
        <v>239</v>
      </c>
      <c r="AQ10" s="334" t="s">
        <v>240</v>
      </c>
      <c r="AR10" s="334"/>
      <c r="AS10" s="129" t="s">
        <v>33</v>
      </c>
      <c r="AT10" s="129" t="s">
        <v>205</v>
      </c>
      <c r="AU10" s="129" t="s">
        <v>206</v>
      </c>
      <c r="AV10" s="363" t="s">
        <v>241</v>
      </c>
      <c r="AW10" s="10"/>
      <c r="AX10" s="10"/>
      <c r="AY10" s="10"/>
      <c r="AZ10" s="10"/>
      <c r="BA10" s="10"/>
      <c r="BB10" s="10"/>
    </row>
    <row r="11" spans="1:54" ht="19.5" customHeight="1" x14ac:dyDescent="0.25">
      <c r="B11" s="142" t="s">
        <v>109</v>
      </c>
      <c r="C11" s="323"/>
      <c r="D11" s="323"/>
      <c r="E11" s="323"/>
      <c r="F11" s="323"/>
      <c r="G11" s="323"/>
      <c r="H11" s="323"/>
      <c r="I11" s="324"/>
      <c r="M11" s="351"/>
      <c r="N11" s="361"/>
      <c r="O11" s="130" t="s">
        <v>8</v>
      </c>
      <c r="P11" s="8"/>
      <c r="Q11" s="130" t="s">
        <v>55</v>
      </c>
      <c r="R11" s="26"/>
      <c r="U11" s="130" t="s">
        <v>38</v>
      </c>
      <c r="V11" s="130" t="s">
        <v>42</v>
      </c>
      <c r="W11" s="130" t="s">
        <v>46</v>
      </c>
      <c r="X11" s="130" t="s">
        <v>49</v>
      </c>
      <c r="Y11" s="130" t="str">
        <f>IF($P$21&gt;59.99,"correto","erro")</f>
        <v>erro</v>
      </c>
      <c r="Z11" s="130" t="str">
        <f>IF($P$13&lt;=3,"baixo","erro")</f>
        <v>baixo</v>
      </c>
      <c r="AA11" s="130" t="str">
        <f>IF(AND($P$13&gt;=3.01,$P$13&lt;=6),"medio","erro")</f>
        <v>erro</v>
      </c>
      <c r="AB11" s="130" t="str">
        <f>IF($P$13&gt;6,"adequado","erro")</f>
        <v>erro</v>
      </c>
      <c r="AC11" s="130" t="str">
        <f>IF(Z11="baixo","baixo",IF(AA11="medio","medio",IF(AB11="adequado","adequado",0)))</f>
        <v>baixo</v>
      </c>
      <c r="AD11" s="340"/>
      <c r="AF11" s="335"/>
      <c r="AG11" s="143" t="s">
        <v>215</v>
      </c>
      <c r="AH11" s="143" t="s">
        <v>214</v>
      </c>
      <c r="AI11" s="130"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37" t="s">
        <v>110</v>
      </c>
      <c r="C12" s="322"/>
      <c r="D12" s="323"/>
      <c r="E12" s="323"/>
      <c r="F12" s="323"/>
      <c r="G12" s="323"/>
      <c r="H12" s="323"/>
      <c r="I12" s="324"/>
      <c r="M12" s="351"/>
      <c r="N12" s="361"/>
      <c r="O12" s="130" t="s">
        <v>9</v>
      </c>
      <c r="P12" s="9"/>
      <c r="Q12" s="130" t="s">
        <v>10</v>
      </c>
      <c r="R12" s="26"/>
      <c r="AF12" s="335" t="s">
        <v>226</v>
      </c>
      <c r="AG12" s="143" t="s">
        <v>25</v>
      </c>
      <c r="AH12" s="143" t="s">
        <v>222</v>
      </c>
      <c r="AI12" s="130" t="str">
        <f>IF($P$16&lt;=0.4,"baixo","erro")</f>
        <v>baixo</v>
      </c>
      <c r="AJ12" s="340" t="str">
        <f>IF($AI$12="baixo","baixo",IF($AI$13="medio","medio",IF($AI$14="adequado","adequado",0)))</f>
        <v>baixo</v>
      </c>
      <c r="AK12" s="340" t="e">
        <f>IF(AJ12="Baixo",AL12,0)</f>
        <v>#VALUE!</v>
      </c>
      <c r="AL12" s="340" t="e">
        <f>(AM12*1000)/$E$18</f>
        <v>#VALUE!</v>
      </c>
      <c r="AM12" s="338">
        <v>0.5</v>
      </c>
      <c r="AO12" s="10"/>
      <c r="AP12" s="129">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37" t="s">
        <v>111</v>
      </c>
      <c r="C13" s="322"/>
      <c r="D13" s="323"/>
      <c r="E13" s="323"/>
      <c r="F13" s="323"/>
      <c r="G13" s="323"/>
      <c r="H13" s="323"/>
      <c r="I13" s="324"/>
      <c r="M13" s="351"/>
      <c r="N13" s="361"/>
      <c r="O13" s="130" t="s">
        <v>11</v>
      </c>
      <c r="P13" s="8"/>
      <c r="Q13" s="130" t="s">
        <v>12</v>
      </c>
      <c r="R13" s="26"/>
      <c r="AF13" s="335"/>
      <c r="AG13" s="143" t="s">
        <v>26</v>
      </c>
      <c r="AH13" s="143" t="s">
        <v>218</v>
      </c>
      <c r="AI13" s="130" t="str">
        <f>IF(AND($P$16&gt;=0.401,$P$16&lt;=0.8),"medio","erro")</f>
        <v>erro</v>
      </c>
      <c r="AJ13" s="340"/>
      <c r="AK13" s="340"/>
      <c r="AL13" s="340"/>
      <c r="AM13" s="338"/>
      <c r="AO13" s="10"/>
      <c r="AP13" s="129">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37" t="s">
        <v>112</v>
      </c>
      <c r="C14" s="322"/>
      <c r="D14" s="323"/>
      <c r="E14" s="323"/>
      <c r="F14" s="323"/>
      <c r="G14" s="324"/>
      <c r="H14" s="142" t="s">
        <v>113</v>
      </c>
      <c r="I14" s="93">
        <f ca="1">TODAY()</f>
        <v>44005</v>
      </c>
      <c r="M14" s="351"/>
      <c r="N14" s="361"/>
      <c r="O14" s="130" t="s">
        <v>13</v>
      </c>
      <c r="P14" s="9"/>
      <c r="Q14" s="130" t="s">
        <v>12</v>
      </c>
      <c r="R14" s="26"/>
      <c r="AF14" s="335"/>
      <c r="AG14" s="143" t="s">
        <v>215</v>
      </c>
      <c r="AH14" s="143" t="s">
        <v>213</v>
      </c>
      <c r="AI14" s="130" t="str">
        <f>IF($P$16&gt;0.8,"adequado","erro")</f>
        <v>erro</v>
      </c>
      <c r="AJ14" s="340"/>
      <c r="AK14" s="340"/>
      <c r="AL14" s="340"/>
      <c r="AM14" s="338"/>
      <c r="AO14" s="10"/>
      <c r="AP14" s="129">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30" t="s">
        <v>14</v>
      </c>
      <c r="P15" s="8"/>
      <c r="Q15" s="130" t="s">
        <v>12</v>
      </c>
      <c r="R15" s="26"/>
      <c r="AF15" s="335" t="s">
        <v>225</v>
      </c>
      <c r="AG15" s="143" t="s">
        <v>25</v>
      </c>
      <c r="AH15" s="143" t="s">
        <v>221</v>
      </c>
      <c r="AI15" s="130"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30" t="s">
        <v>15</v>
      </c>
      <c r="P16" s="9"/>
      <c r="Q16" s="130" t="s">
        <v>12</v>
      </c>
      <c r="R16" s="26"/>
      <c r="AF16" s="335"/>
      <c r="AG16" s="143" t="s">
        <v>26</v>
      </c>
      <c r="AH16" s="143" t="s">
        <v>217</v>
      </c>
      <c r="AI16" s="130" t="str">
        <f>IF(AND($P$18&gt;=1.901,$P$18&lt;=5),"medio","erro")</f>
        <v>erro</v>
      </c>
      <c r="AJ16" s="340"/>
      <c r="AK16" s="340"/>
      <c r="AL16" s="340"/>
      <c r="AM16" s="338"/>
      <c r="AO16" s="10"/>
      <c r="AP16" s="334" t="s">
        <v>239</v>
      </c>
      <c r="AQ16" s="334" t="s">
        <v>240</v>
      </c>
      <c r="AR16" s="334"/>
      <c r="AS16" s="129" t="s">
        <v>33</v>
      </c>
      <c r="AT16" s="129" t="s">
        <v>205</v>
      </c>
      <c r="AU16" s="129"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30" t="s">
        <v>16</v>
      </c>
      <c r="P17" s="8"/>
      <c r="Q17" s="130" t="s">
        <v>12</v>
      </c>
      <c r="R17" s="26"/>
      <c r="U17" s="343" t="s">
        <v>60</v>
      </c>
      <c r="V17" s="343"/>
      <c r="W17" s="343"/>
      <c r="X17" s="343"/>
      <c r="Y17" s="340" t="s">
        <v>59</v>
      </c>
      <c r="Z17" s="340"/>
      <c r="AA17" s="340"/>
      <c r="AB17" s="340"/>
      <c r="AC17" s="340"/>
      <c r="AD17" s="340"/>
      <c r="AF17" s="335"/>
      <c r="AG17" s="143" t="s">
        <v>215</v>
      </c>
      <c r="AH17" s="143" t="s">
        <v>212</v>
      </c>
      <c r="AI17" s="130"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42">
        <f>O34</f>
        <v>0</v>
      </c>
      <c r="M18" s="351"/>
      <c r="N18" s="361"/>
      <c r="O18" s="130" t="s">
        <v>17</v>
      </c>
      <c r="P18" s="9"/>
      <c r="Q18" s="130" t="s">
        <v>12</v>
      </c>
      <c r="R18" s="26"/>
      <c r="U18" s="343"/>
      <c r="V18" s="343"/>
      <c r="W18" s="343"/>
      <c r="X18" s="343"/>
      <c r="Y18" s="340"/>
      <c r="Z18" s="340"/>
      <c r="AA18" s="340"/>
      <c r="AB18" s="340"/>
      <c r="AC18" s="340"/>
      <c r="AD18" s="340"/>
      <c r="AF18" s="335" t="s">
        <v>224</v>
      </c>
      <c r="AG18" s="143" t="s">
        <v>25</v>
      </c>
      <c r="AH18" s="143" t="s">
        <v>220</v>
      </c>
      <c r="AI18" s="130" t="str">
        <f>IF($P$19&lt;=1,"baixo","erro")</f>
        <v>baixo</v>
      </c>
      <c r="AJ18" s="340" t="str">
        <f>IF($AI$18="baixo","baixo",IF($AI$19="medio","medio",IF($AI$20="adequado","adequado",0)))</f>
        <v>baixo</v>
      </c>
      <c r="AK18" s="340" t="e">
        <f>IF(AJ18="Baixo",AL18,0)</f>
        <v>#VALUE!</v>
      </c>
      <c r="AL18" s="340" t="e">
        <f>(AM18*1000)/$E$18</f>
        <v>#VALUE!</v>
      </c>
      <c r="AM18" s="338">
        <v>5</v>
      </c>
      <c r="AO18" s="10"/>
      <c r="AP18" s="129">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30" t="s">
        <v>18</v>
      </c>
      <c r="P19" s="8"/>
      <c r="Q19" s="130" t="s">
        <v>12</v>
      </c>
      <c r="R19" s="26"/>
      <c r="S19" s="20"/>
      <c r="U19" s="343"/>
      <c r="V19" s="343"/>
      <c r="W19" s="343"/>
      <c r="X19" s="343"/>
      <c r="Y19" s="340"/>
      <c r="Z19" s="340"/>
      <c r="AA19" s="340"/>
      <c r="AB19" s="340"/>
      <c r="AC19" s="340"/>
      <c r="AD19" s="340"/>
      <c r="AF19" s="335"/>
      <c r="AG19" s="143" t="s">
        <v>26</v>
      </c>
      <c r="AH19" s="143" t="s">
        <v>216</v>
      </c>
      <c r="AI19" s="130" t="str">
        <f>IF(AND($P$19&gt;=1.01,$P$19&lt;=1.6),"medio","erro")</f>
        <v>erro</v>
      </c>
      <c r="AJ19" s="340"/>
      <c r="AK19" s="340"/>
      <c r="AL19" s="340"/>
      <c r="AM19" s="338"/>
      <c r="AO19" s="10"/>
      <c r="AP19" s="129">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30" t="s">
        <v>19</v>
      </c>
      <c r="P20" s="9"/>
      <c r="Q20" s="102" t="s">
        <v>23</v>
      </c>
      <c r="R20" s="26"/>
      <c r="U20" s="130" t="s">
        <v>29</v>
      </c>
      <c r="V20" s="340" t="s">
        <v>74</v>
      </c>
      <c r="W20" s="340"/>
      <c r="X20" s="340"/>
      <c r="Y20" s="340"/>
      <c r="Z20" s="340"/>
      <c r="AA20" s="340"/>
      <c r="AB20" s="340"/>
      <c r="AC20" s="340"/>
      <c r="AD20" s="340"/>
      <c r="AF20" s="335"/>
      <c r="AG20" s="143" t="s">
        <v>215</v>
      </c>
      <c r="AH20" s="143" t="s">
        <v>211</v>
      </c>
      <c r="AI20" s="130" t="str">
        <f>IF($P$19&gt;1.6,"adequado","erro")</f>
        <v>erro</v>
      </c>
      <c r="AJ20" s="340"/>
      <c r="AK20" s="340"/>
      <c r="AL20" s="340"/>
      <c r="AM20" s="338"/>
      <c r="AO20" s="10"/>
      <c r="AP20" s="129">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30" t="s">
        <v>52</v>
      </c>
      <c r="P21" s="8"/>
      <c r="Q21" s="102" t="s">
        <v>23</v>
      </c>
      <c r="R21" s="26"/>
      <c r="S21" s="20"/>
      <c r="U21" s="130" t="s">
        <v>23</v>
      </c>
      <c r="V21" s="130" t="s">
        <v>25</v>
      </c>
      <c r="W21" s="130" t="s">
        <v>26</v>
      </c>
      <c r="X21" s="130" t="s">
        <v>31</v>
      </c>
      <c r="Y21" s="130" t="s">
        <v>53</v>
      </c>
      <c r="Z21" s="340" t="s">
        <v>62</v>
      </c>
      <c r="AA21" s="340"/>
      <c r="AB21" s="340"/>
      <c r="AC21" s="130" t="s">
        <v>57</v>
      </c>
      <c r="AD21" s="130"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30" t="s">
        <v>20</v>
      </c>
      <c r="P22" s="8"/>
      <c r="Q22" s="102" t="s">
        <v>23</v>
      </c>
      <c r="R22" s="26"/>
      <c r="U22" s="130" t="s">
        <v>50</v>
      </c>
      <c r="V22" s="130" t="s">
        <v>255</v>
      </c>
      <c r="W22" s="130" t="s">
        <v>257</v>
      </c>
      <c r="X22" s="130" t="s">
        <v>258</v>
      </c>
      <c r="Y22" s="130" t="str">
        <f>IF($P$21&lt;=20,"correto","erro")</f>
        <v>correto</v>
      </c>
      <c r="Z22" s="130" t="str">
        <f>IF($P$8&lt;=0.04,"baixo","erro")</f>
        <v>baixo</v>
      </c>
      <c r="AA22" s="130" t="str">
        <f>IF(AND($P$8&gt;=0.041,$P$8&lt;=0.1),"medio","erro")</f>
        <v>erro</v>
      </c>
      <c r="AB22" s="130" t="str">
        <f>IF($P$8&gt;0.101,"adequado","erro")</f>
        <v>erro</v>
      </c>
      <c r="AC22" s="130"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30" t="s">
        <v>21</v>
      </c>
      <c r="P23" s="8"/>
      <c r="Q23" s="130" t="s">
        <v>10</v>
      </c>
      <c r="R23" s="26"/>
      <c r="U23" s="130" t="s">
        <v>61</v>
      </c>
      <c r="V23" s="130" t="s">
        <v>256</v>
      </c>
      <c r="W23" s="130" t="s">
        <v>259</v>
      </c>
      <c r="X23" s="130" t="s">
        <v>260</v>
      </c>
      <c r="Y23" s="130" t="str">
        <f>IF($P$21&gt;20,"correto","erro")</f>
        <v>erro</v>
      </c>
      <c r="Z23" s="130" t="str">
        <f>IF($P$8&lt;=0.06,"baixo","erro")</f>
        <v>baixo</v>
      </c>
      <c r="AA23" s="130" t="str">
        <f>IF(AND($P$8&gt;=0.061,$P$8&lt;=0.2),"medio","erro")</f>
        <v>erro</v>
      </c>
      <c r="AB23" s="130" t="str">
        <f>IF($P$8&gt;0.201,"adequado","erro")</f>
        <v>erro</v>
      </c>
      <c r="AC23" s="130"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30" t="s">
        <v>22</v>
      </c>
      <c r="P24" s="2" t="e">
        <f>100*(P6+P7+P8+P9)/P25</f>
        <v>#DIV/0!</v>
      </c>
      <c r="Q24" s="130"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30" t="s">
        <v>24</v>
      </c>
      <c r="P25" s="1">
        <f>(P6+P7+P8+P9+P11)</f>
        <v>0</v>
      </c>
      <c r="Q25" s="130" t="s">
        <v>55</v>
      </c>
      <c r="R25" s="26"/>
      <c r="AO25" s="10"/>
      <c r="AP25" s="414" t="s">
        <v>239</v>
      </c>
      <c r="AQ25" s="414" t="s">
        <v>240</v>
      </c>
      <c r="AR25" s="414"/>
      <c r="AS25" s="138" t="s">
        <v>84</v>
      </c>
      <c r="AT25" s="138" t="s">
        <v>87</v>
      </c>
      <c r="AU25" s="138" t="s">
        <v>85</v>
      </c>
      <c r="AV25" s="138" t="s">
        <v>86</v>
      </c>
      <c r="AW25" s="10"/>
      <c r="AX25" s="10"/>
      <c r="AY25" s="10"/>
      <c r="AZ25" s="10"/>
      <c r="BA25" s="10"/>
      <c r="BB25" s="10"/>
    </row>
    <row r="26" spans="2:54" ht="19.5" customHeight="1" thickBot="1" x14ac:dyDescent="0.3">
      <c r="B26" s="358" t="s">
        <v>253</v>
      </c>
      <c r="C26" s="359"/>
      <c r="D26" s="359"/>
      <c r="E26" s="359"/>
      <c r="F26" s="359"/>
      <c r="G26" s="359"/>
      <c r="H26" s="359"/>
      <c r="I26" s="360"/>
      <c r="M26" s="75"/>
      <c r="N26" s="135"/>
      <c r="O26" s="135"/>
      <c r="P26" s="135"/>
      <c r="Q26" s="135"/>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30" t="s">
        <v>281</v>
      </c>
      <c r="V27" s="130" t="s">
        <v>298</v>
      </c>
      <c r="W27" s="130" t="s">
        <v>75</v>
      </c>
      <c r="X27" s="130" t="s">
        <v>71</v>
      </c>
      <c r="Y27" s="130" t="s">
        <v>299</v>
      </c>
      <c r="Z27" s="130"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36"/>
      <c r="O28" s="136"/>
      <c r="P28" s="136"/>
      <c r="Q28" s="136"/>
      <c r="R28" s="74"/>
      <c r="U28" s="131" t="s">
        <v>40</v>
      </c>
      <c r="V28" s="131">
        <v>90000</v>
      </c>
      <c r="W28" s="131" t="s">
        <v>68</v>
      </c>
      <c r="X28" s="131" t="str">
        <f>CONCATENATE(U28," - ",W28)</f>
        <v>&lt; 10 - baixo</v>
      </c>
      <c r="Y28" s="131">
        <v>22000</v>
      </c>
      <c r="Z28" s="131">
        <v>98000</v>
      </c>
      <c r="AE28" s="131" t="s">
        <v>63</v>
      </c>
      <c r="AG28" s="130"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31" t="s">
        <v>40</v>
      </c>
      <c r="V29" s="131">
        <v>90000</v>
      </c>
      <c r="W29" s="131" t="s">
        <v>69</v>
      </c>
      <c r="X29" s="131" t="str">
        <f t="shared" ref="X29:X39" si="9">CONCATENATE(U29," - ",W29)</f>
        <v>&lt; 10 - medio</v>
      </c>
      <c r="Y29" s="131">
        <v>11000</v>
      </c>
      <c r="Z29" s="131">
        <v>49000</v>
      </c>
      <c r="AB29" s="413" t="s">
        <v>65</v>
      </c>
      <c r="AC29" s="413"/>
      <c r="AE29" s="131" t="s">
        <v>281</v>
      </c>
      <c r="AG29" s="130" t="s">
        <v>174</v>
      </c>
      <c r="AI29" s="30"/>
      <c r="AK29" s="130"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31" t="s">
        <v>40</v>
      </c>
      <c r="V30" s="131">
        <v>90000</v>
      </c>
      <c r="W30" s="131" t="s">
        <v>70</v>
      </c>
      <c r="X30" s="131" t="str">
        <f t="shared" si="9"/>
        <v>&lt; 10 - adequado</v>
      </c>
      <c r="Y30" s="131">
        <v>6000</v>
      </c>
      <c r="Z30" s="131">
        <v>25000</v>
      </c>
      <c r="AB30" s="139" t="s">
        <v>33</v>
      </c>
      <c r="AC30" s="139" t="e">
        <f>VLOOKUP($P$39,$U$28:$V$39,2,0)/$E$18</f>
        <v>#VALUE!</v>
      </c>
      <c r="AE30" s="131" t="s">
        <v>34</v>
      </c>
      <c r="AG30" s="130" t="s">
        <v>175</v>
      </c>
      <c r="AI30" s="30">
        <v>0</v>
      </c>
      <c r="AK30" s="130"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31" t="s">
        <v>302</v>
      </c>
      <c r="V31" s="131">
        <v>120000</v>
      </c>
      <c r="W31" s="131" t="s">
        <v>68</v>
      </c>
      <c r="X31" s="131" t="str">
        <f t="shared" si="9"/>
        <v>10,1 - 20 - baixo</v>
      </c>
      <c r="Y31" s="131">
        <v>33000</v>
      </c>
      <c r="Z31" s="131">
        <v>147000</v>
      </c>
      <c r="AB31" s="139" t="s">
        <v>66</v>
      </c>
      <c r="AC31" s="139" t="e">
        <f>VLOOKUP(AB36,X28:Z39,2,0)/$E$18</f>
        <v>#VALUE!</v>
      </c>
      <c r="AE31" s="131" t="s">
        <v>40</v>
      </c>
      <c r="AG31" s="31" t="e">
        <f>10000/((($O$32/2)+($P$32/2))*$Q$32)</f>
        <v>#DIV/0!</v>
      </c>
      <c r="AI31" s="30">
        <v>0.1</v>
      </c>
      <c r="AK31" s="130"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31" t="s">
        <v>302</v>
      </c>
      <c r="V32" s="131">
        <v>120000</v>
      </c>
      <c r="W32" s="131" t="s">
        <v>69</v>
      </c>
      <c r="X32" s="131" t="str">
        <f t="shared" si="9"/>
        <v>10,1 - 20 - medio</v>
      </c>
      <c r="Y32" s="131">
        <v>22000</v>
      </c>
      <c r="Z32" s="131">
        <v>98000</v>
      </c>
      <c r="AB32" s="139" t="s">
        <v>67</v>
      </c>
      <c r="AC32" s="139" t="e">
        <f>VLOOKUP($AB$39,X28:Z39,3,0)/$E$18</f>
        <v>#VALUE!</v>
      </c>
      <c r="AE32" s="131" t="s">
        <v>302</v>
      </c>
      <c r="AI32" s="30">
        <v>0.2</v>
      </c>
      <c r="AK32" s="130"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31" t="s">
        <v>302</v>
      </c>
      <c r="V33" s="131">
        <v>120000</v>
      </c>
      <c r="W33" s="131" t="s">
        <v>70</v>
      </c>
      <c r="X33" s="131" t="str">
        <f t="shared" si="9"/>
        <v>10,1 - 20 - adequado</v>
      </c>
      <c r="Y33" s="131">
        <v>11000</v>
      </c>
      <c r="Z33" s="131">
        <v>49000</v>
      </c>
      <c r="AE33" s="131" t="s">
        <v>279</v>
      </c>
      <c r="AI33" s="30">
        <v>0.3</v>
      </c>
      <c r="AK33" s="130"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31" t="s">
        <v>279</v>
      </c>
      <c r="V34" s="131">
        <v>150000</v>
      </c>
      <c r="W34" s="131" t="s">
        <v>68</v>
      </c>
      <c r="X34" s="131" t="str">
        <f t="shared" si="9"/>
        <v>20,1 - 30 - baixo</v>
      </c>
      <c r="Y34" s="131">
        <v>44000</v>
      </c>
      <c r="Z34" s="131">
        <v>196000</v>
      </c>
      <c r="AE34" s="131" t="s">
        <v>323</v>
      </c>
      <c r="AI34" s="30">
        <v>0.4</v>
      </c>
      <c r="AK34" s="130"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35"/>
      <c r="O35" s="135"/>
      <c r="P35" s="32" t="e">
        <f>10000/($O$30*$Q$30)</f>
        <v>#DIV/0!</v>
      </c>
      <c r="Q35" s="32" t="e">
        <f>10000/((($O$32/2)+($P$32/2))*$Q$32)</f>
        <v>#DIV/0!</v>
      </c>
      <c r="R35" s="77"/>
      <c r="U35" s="131" t="s">
        <v>279</v>
      </c>
      <c r="V35" s="131">
        <v>150000</v>
      </c>
      <c r="W35" s="131" t="s">
        <v>69</v>
      </c>
      <c r="X35" s="131" t="str">
        <f t="shared" si="9"/>
        <v>20,1 - 30 - medio</v>
      </c>
      <c r="Y35" s="131">
        <v>33000</v>
      </c>
      <c r="Z35" s="131">
        <v>147000</v>
      </c>
      <c r="AB35" s="340" t="s">
        <v>72</v>
      </c>
      <c r="AC35" s="340"/>
      <c r="AI35" s="30">
        <v>0.5</v>
      </c>
      <c r="AK35" s="130"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31" t="s">
        <v>279</v>
      </c>
      <c r="V36" s="131">
        <v>150000</v>
      </c>
      <c r="W36" s="131" t="s">
        <v>70</v>
      </c>
      <c r="X36" s="131" t="str">
        <f t="shared" si="9"/>
        <v>20,1 - 30 - adequado</v>
      </c>
      <c r="Y36" s="131">
        <v>22000</v>
      </c>
      <c r="Z36" s="131">
        <v>98000</v>
      </c>
      <c r="AB36" s="340" t="str">
        <f>CONCATENATE($P$39," - ",$AD$8)</f>
        <v>10,1 - 20 - baixo</v>
      </c>
      <c r="AC36" s="340"/>
      <c r="AI36" s="30">
        <v>0.6</v>
      </c>
      <c r="AK36" s="130"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36"/>
      <c r="O37" s="136"/>
      <c r="P37" s="136"/>
      <c r="Q37" s="136"/>
      <c r="R37" s="74"/>
      <c r="U37" s="131" t="s">
        <v>323</v>
      </c>
      <c r="V37" s="131">
        <v>180000</v>
      </c>
      <c r="W37" s="131" t="s">
        <v>68</v>
      </c>
      <c r="X37" s="131" t="str">
        <f t="shared" si="9"/>
        <v>&gt; 30 - baixo</v>
      </c>
      <c r="Y37" s="131">
        <v>55000</v>
      </c>
      <c r="Z37" s="131">
        <v>245000</v>
      </c>
      <c r="AI37" s="30">
        <v>0.7</v>
      </c>
      <c r="AK37" s="130"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31" t="s">
        <v>323</v>
      </c>
      <c r="V38" s="131">
        <v>180000</v>
      </c>
      <c r="W38" s="131" t="s">
        <v>69</v>
      </c>
      <c r="X38" s="131" t="str">
        <f t="shared" si="9"/>
        <v>&gt; 30 - medio</v>
      </c>
      <c r="Y38" s="131">
        <v>44000</v>
      </c>
      <c r="Z38" s="131">
        <v>196000</v>
      </c>
      <c r="AB38" s="340" t="s">
        <v>73</v>
      </c>
      <c r="AC38" s="340"/>
      <c r="AI38" s="30">
        <v>0.8</v>
      </c>
      <c r="AK38" s="130"/>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30" t="s">
        <v>284</v>
      </c>
      <c r="P39" s="341" t="s">
        <v>302</v>
      </c>
      <c r="Q39" s="341"/>
      <c r="R39" s="26"/>
      <c r="U39" s="131" t="s">
        <v>323</v>
      </c>
      <c r="V39" s="131">
        <v>180000</v>
      </c>
      <c r="W39" s="131" t="s">
        <v>70</v>
      </c>
      <c r="X39" s="131" t="str">
        <f t="shared" si="9"/>
        <v>&gt; 30 - adequado</v>
      </c>
      <c r="Y39" s="131">
        <v>33000</v>
      </c>
      <c r="Z39" s="131">
        <v>147000</v>
      </c>
      <c r="AB39" s="340" t="str">
        <f>CONCATENATE($P$39," - ",$AD$22)</f>
        <v>10,1 - 20 - baixo</v>
      </c>
      <c r="AC39" s="340"/>
      <c r="AI39" s="30">
        <v>0.9</v>
      </c>
      <c r="AO39" s="10"/>
      <c r="AP39" s="334" t="s">
        <v>242</v>
      </c>
      <c r="AQ39" s="334"/>
      <c r="AR39" s="129" t="s">
        <v>84</v>
      </c>
      <c r="AS39" s="129" t="s">
        <v>87</v>
      </c>
      <c r="AT39" s="129" t="s">
        <v>85</v>
      </c>
      <c r="AU39" s="129" t="s">
        <v>86</v>
      </c>
      <c r="AV39" s="129" t="s">
        <v>207</v>
      </c>
      <c r="AW39" s="129" t="s">
        <v>84</v>
      </c>
      <c r="AX39" s="129" t="s">
        <v>87</v>
      </c>
      <c r="AY39" s="129" t="s">
        <v>85</v>
      </c>
      <c r="AZ39" s="129"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24"/>
      <c r="P40" s="124"/>
      <c r="Q40" s="124"/>
      <c r="R40" s="26"/>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24"/>
      <c r="BD41" s="124"/>
      <c r="BE41" s="12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35"/>
      <c r="O43" s="135"/>
      <c r="P43" s="135"/>
      <c r="Q43" s="135"/>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36"/>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3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30"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30"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30"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30"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35"/>
      <c r="O51" s="135"/>
      <c r="P51" s="135"/>
      <c r="Q51" s="135"/>
      <c r="R51" s="77"/>
      <c r="U51" s="130" t="s">
        <v>254</v>
      </c>
      <c r="V51" s="2">
        <f>V48*$Q$47</f>
        <v>0</v>
      </c>
      <c r="AT51" s="126" t="s">
        <v>272</v>
      </c>
      <c r="AU51" s="61" t="s">
        <v>267</v>
      </c>
      <c r="AV51" s="126">
        <v>25</v>
      </c>
    </row>
    <row r="52" spans="2:50" ht="19.5" customHeight="1" thickBot="1" x14ac:dyDescent="0.3">
      <c r="B52" s="391"/>
      <c r="C52" s="391"/>
      <c r="D52" s="391"/>
      <c r="E52" s="391"/>
      <c r="F52" s="391"/>
      <c r="G52" s="391"/>
      <c r="H52" s="391"/>
      <c r="I52" s="391"/>
      <c r="AT52" s="126" t="s">
        <v>272</v>
      </c>
      <c r="AU52" s="61" t="s">
        <v>274</v>
      </c>
      <c r="AV52" s="126">
        <v>4</v>
      </c>
    </row>
    <row r="53" spans="2:50" ht="19.5" customHeight="1" thickBot="1" x14ac:dyDescent="0.3">
      <c r="B53" s="392"/>
      <c r="C53" s="392"/>
      <c r="D53" s="392"/>
      <c r="E53" s="392"/>
      <c r="F53" s="392"/>
      <c r="G53" s="392"/>
      <c r="H53" s="392"/>
      <c r="I53" s="392"/>
      <c r="M53" s="72"/>
      <c r="N53" s="136"/>
      <c r="O53" s="136"/>
      <c r="P53" s="136"/>
      <c r="Q53" s="136"/>
      <c r="R53" s="74"/>
      <c r="AP53" s="38"/>
      <c r="AQ53" s="38"/>
      <c r="AS53" s="38"/>
      <c r="AT53" s="126" t="s">
        <v>272</v>
      </c>
      <c r="AU53" s="61" t="s">
        <v>148</v>
      </c>
      <c r="AV53" s="12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26" t="s">
        <v>272</v>
      </c>
      <c r="AU54" s="61" t="s">
        <v>273</v>
      </c>
      <c r="AV54" s="12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33" t="s">
        <v>98</v>
      </c>
      <c r="Y55" s="133" t="s">
        <v>99</v>
      </c>
      <c r="Z55" s="133" t="s">
        <v>100</v>
      </c>
      <c r="AA55" s="133" t="s">
        <v>180</v>
      </c>
      <c r="AP55" s="365"/>
      <c r="AQ55" s="365"/>
      <c r="AS55" s="365"/>
      <c r="AT55" s="126" t="s">
        <v>272</v>
      </c>
      <c r="AU55" s="61" t="s">
        <v>266</v>
      </c>
      <c r="AV55" s="12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24"/>
      <c r="AQ56" s="124"/>
      <c r="AS56" s="124"/>
      <c r="AT56" s="126" t="s">
        <v>272</v>
      </c>
      <c r="AU56" s="61" t="s">
        <v>268</v>
      </c>
      <c r="AV56" s="12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24"/>
      <c r="AQ57" s="341" t="s">
        <v>283</v>
      </c>
      <c r="AR57" s="341"/>
      <c r="AS57" s="124"/>
      <c r="AT57" s="126" t="s">
        <v>272</v>
      </c>
      <c r="AU57" s="61" t="s">
        <v>269</v>
      </c>
      <c r="AV57" s="12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24"/>
      <c r="AQ58" s="341">
        <f>IFERROR(VLOOKUP($O$42,AU51:AV59,2,0),0)</f>
        <v>0</v>
      </c>
      <c r="AR58" s="341"/>
      <c r="AS58" s="124"/>
      <c r="AT58" s="126" t="s">
        <v>272</v>
      </c>
      <c r="AU58" s="61" t="s">
        <v>270</v>
      </c>
      <c r="AV58" s="12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24"/>
      <c r="AS59" s="124"/>
      <c r="AT59" s="126" t="s">
        <v>272</v>
      </c>
      <c r="AU59" s="61" t="s">
        <v>271</v>
      </c>
      <c r="AV59" s="12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24"/>
      <c r="AQ60" s="124"/>
      <c r="AS60" s="124"/>
      <c r="AT60" s="124"/>
      <c r="AU60" s="124"/>
      <c r="AV60" s="124"/>
      <c r="AW60" s="124"/>
      <c r="AX60" s="12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24"/>
      <c r="AQ61" s="124"/>
      <c r="AS61" s="124"/>
      <c r="AT61" s="124"/>
      <c r="AU61" s="124"/>
      <c r="AV61" s="124"/>
      <c r="AW61" s="124"/>
      <c r="AX61" s="12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24"/>
      <c r="AT62" s="124"/>
      <c r="AU62" s="124"/>
      <c r="AV62" s="124"/>
      <c r="AW62" s="124"/>
      <c r="AX62" s="12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24"/>
      <c r="AT63" s="124"/>
      <c r="AU63" s="124"/>
      <c r="AV63" s="124"/>
      <c r="AW63" s="124"/>
      <c r="AX63" s="12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24"/>
      <c r="AT64" s="124"/>
      <c r="AU64" s="124"/>
      <c r="AV64" s="124"/>
      <c r="AW64" s="124"/>
      <c r="AX64" s="124"/>
    </row>
    <row r="65" spans="2:50" ht="19.5" customHeight="1" x14ac:dyDescent="0.25">
      <c r="B65" s="309"/>
      <c r="C65" s="310"/>
      <c r="D65" s="310"/>
      <c r="E65" s="311"/>
      <c r="F65" s="309"/>
      <c r="G65" s="310"/>
      <c r="H65" s="310"/>
      <c r="I65" s="311"/>
      <c r="M65" s="351"/>
      <c r="N65" s="352"/>
      <c r="O65" s="124"/>
      <c r="P65" s="124"/>
      <c r="Q65" s="12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24"/>
      <c r="AT65" s="124"/>
      <c r="AU65" s="124"/>
      <c r="AV65" s="124"/>
      <c r="AW65" s="124"/>
      <c r="AX65" s="12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24"/>
      <c r="AT66" s="124"/>
      <c r="AU66" s="124"/>
      <c r="AV66" s="124"/>
      <c r="AW66" s="124"/>
      <c r="AX66" s="12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24"/>
      <c r="AT67" s="124"/>
      <c r="AU67" s="124"/>
      <c r="AV67" s="124"/>
      <c r="AW67" s="124"/>
      <c r="AX67" s="12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24"/>
      <c r="AT68" s="124"/>
      <c r="AU68" s="124"/>
      <c r="AV68" s="124"/>
      <c r="AW68" s="124"/>
      <c r="AX68" s="124"/>
    </row>
    <row r="69" spans="2:50" ht="19.5" customHeight="1" thickBot="1" x14ac:dyDescent="0.3">
      <c r="M69" s="75"/>
      <c r="N69" s="135"/>
      <c r="O69" s="135"/>
      <c r="P69" s="135"/>
      <c r="Q69" s="135"/>
      <c r="R69" s="77"/>
      <c r="AS69" s="124"/>
      <c r="AT69" s="124"/>
      <c r="AU69" s="124"/>
      <c r="AV69" s="124"/>
      <c r="AW69" s="124"/>
      <c r="AX69" s="124"/>
    </row>
    <row r="70" spans="2:50" ht="19.5" customHeight="1" thickBot="1" x14ac:dyDescent="0.3">
      <c r="AS70" s="124"/>
      <c r="AT70" s="124"/>
      <c r="AU70" s="124"/>
      <c r="AV70" s="124"/>
      <c r="AW70" s="124"/>
      <c r="AX70" s="124"/>
    </row>
    <row r="71" spans="2:50" ht="19.5" customHeight="1" x14ac:dyDescent="0.25">
      <c r="M71" s="72"/>
      <c r="N71" s="136"/>
      <c r="O71" s="136"/>
      <c r="P71" s="136"/>
      <c r="Q71" s="136"/>
      <c r="R71" s="74"/>
      <c r="U71" s="371" t="s">
        <v>125</v>
      </c>
      <c r="V71" s="371" t="s">
        <v>76</v>
      </c>
      <c r="W71" s="371" t="s">
        <v>77</v>
      </c>
      <c r="X71" s="371" t="s">
        <v>265</v>
      </c>
      <c r="Y71" s="371"/>
      <c r="Z71" s="371"/>
      <c r="AS71" s="124"/>
      <c r="AT71" s="124"/>
      <c r="AU71" s="124"/>
      <c r="AV71" s="124"/>
      <c r="AW71" s="124"/>
      <c r="AX71" s="124"/>
    </row>
    <row r="72" spans="2:50" ht="19.5" customHeight="1" x14ac:dyDescent="0.25">
      <c r="M72" s="351" t="s">
        <v>198</v>
      </c>
      <c r="N72" s="352"/>
      <c r="O72" s="400" t="s">
        <v>233</v>
      </c>
      <c r="P72" s="401"/>
      <c r="Q72" s="402"/>
      <c r="R72" s="26"/>
      <c r="U72" s="371"/>
      <c r="V72" s="371"/>
      <c r="W72" s="371"/>
      <c r="X72" s="134" t="s">
        <v>81</v>
      </c>
      <c r="Y72" s="134" t="s">
        <v>82</v>
      </c>
      <c r="Z72" s="134" t="s">
        <v>83</v>
      </c>
      <c r="AS72" s="124"/>
      <c r="AT72" s="124"/>
      <c r="AU72" s="124"/>
      <c r="AV72" s="124"/>
      <c r="AW72" s="124"/>
      <c r="AX72" s="12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24"/>
      <c r="AT73" s="124"/>
      <c r="AU73" s="124"/>
      <c r="AV73" s="124"/>
      <c r="AW73" s="124"/>
      <c r="AX73" s="12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24"/>
      <c r="AT74" s="124"/>
      <c r="AU74" s="124"/>
      <c r="AV74" s="124"/>
      <c r="AW74" s="124"/>
      <c r="AX74" s="12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24"/>
      <c r="AT75" s="124"/>
      <c r="AU75" s="124"/>
      <c r="AV75" s="124"/>
      <c r="AW75" s="124"/>
      <c r="AX75" s="12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24"/>
      <c r="AT76" s="124"/>
      <c r="AU76" s="124"/>
      <c r="AV76" s="124"/>
      <c r="AW76" s="124"/>
      <c r="AX76" s="124"/>
    </row>
    <row r="77" spans="2:50" ht="19.5" customHeight="1" x14ac:dyDescent="0.25">
      <c r="M77" s="351"/>
      <c r="N77" s="352"/>
      <c r="O77" s="124"/>
      <c r="P77" s="124"/>
      <c r="Q77" s="124"/>
      <c r="R77" s="26"/>
      <c r="U77" s="411"/>
      <c r="V77" s="37" t="str">
        <f>'Adubos e corretivos'!C108</f>
        <v>Nutrigesso Nutrion</v>
      </c>
      <c r="W77" s="37">
        <f>'Adubos e corretivos'!D108</f>
        <v>0</v>
      </c>
      <c r="X77" s="37">
        <f>'Adubos e corretivos'!E108</f>
        <v>13</v>
      </c>
      <c r="Y77" s="37">
        <f>'Adubos e corretivos'!F108</f>
        <v>0</v>
      </c>
      <c r="Z77" s="37">
        <f>'Adubos e corretivos'!G108</f>
        <v>16</v>
      </c>
      <c r="AS77" s="124"/>
      <c r="AT77" s="124"/>
      <c r="AU77" s="124"/>
      <c r="AV77" s="124"/>
      <c r="AW77" s="124"/>
      <c r="AX77" s="12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24"/>
      <c r="AT78" s="124"/>
      <c r="AU78" s="124"/>
      <c r="AV78" s="124"/>
      <c r="AW78" s="124"/>
      <c r="AX78" s="124"/>
    </row>
    <row r="79" spans="2:50" ht="19.5" customHeight="1" x14ac:dyDescent="0.25">
      <c r="M79" s="351"/>
      <c r="N79" s="352"/>
      <c r="O79" s="124"/>
      <c r="P79" s="124"/>
      <c r="Q79" s="124"/>
      <c r="R79" s="26"/>
      <c r="U79" s="411"/>
      <c r="V79" s="37">
        <f>'Adubos e corretivos'!C110</f>
        <v>0</v>
      </c>
      <c r="W79" s="37">
        <f>'Adubos e corretivos'!D110</f>
        <v>0</v>
      </c>
      <c r="X79" s="37">
        <f>'Adubos e corretivos'!E110</f>
        <v>0</v>
      </c>
      <c r="Y79" s="37">
        <f>'Adubos e corretivos'!F110</f>
        <v>0</v>
      </c>
      <c r="Z79" s="37">
        <f>'Adubos e corretivos'!G110</f>
        <v>0</v>
      </c>
      <c r="AS79" s="124"/>
      <c r="AT79" s="124"/>
      <c r="AU79" s="124"/>
      <c r="AV79" s="124"/>
      <c r="AW79" s="124"/>
      <c r="AX79" s="12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24"/>
      <c r="AT80" s="124"/>
      <c r="AU80" s="124"/>
      <c r="AV80" s="124"/>
      <c r="AW80" s="124"/>
      <c r="AX80" s="12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24"/>
      <c r="AT81" s="124"/>
      <c r="AU81" s="124"/>
      <c r="AV81" s="124"/>
      <c r="AW81" s="124"/>
      <c r="AX81" s="12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24"/>
      <c r="AT82" s="124"/>
      <c r="AU82" s="124"/>
      <c r="AV82" s="124"/>
      <c r="AW82" s="124"/>
      <c r="AX82" s="124"/>
    </row>
    <row r="83" spans="13:50" ht="19.5" customHeight="1" x14ac:dyDescent="0.25">
      <c r="M83" s="351"/>
      <c r="N83" s="352"/>
      <c r="O83" s="341"/>
      <c r="P83" s="341"/>
      <c r="Q83" s="33"/>
      <c r="R83" s="26"/>
      <c r="AS83" s="124"/>
      <c r="AT83" s="124"/>
      <c r="AU83" s="124"/>
      <c r="AV83" s="124"/>
      <c r="AW83" s="124"/>
      <c r="AX83" s="124"/>
    </row>
    <row r="84" spans="13:50" ht="19.5" customHeight="1" x14ac:dyDescent="0.25">
      <c r="M84" s="351"/>
      <c r="N84" s="352"/>
      <c r="O84" s="341"/>
      <c r="P84" s="341"/>
      <c r="Q84" s="33"/>
      <c r="R84" s="26"/>
      <c r="AS84" s="124"/>
      <c r="AT84" s="124"/>
      <c r="AU84" s="124"/>
      <c r="AV84" s="124"/>
      <c r="AW84" s="124"/>
      <c r="AX84" s="124"/>
    </row>
    <row r="85" spans="13:50" ht="19.5" customHeight="1" x14ac:dyDescent="0.25">
      <c r="M85" s="351"/>
      <c r="N85" s="352"/>
      <c r="O85" s="124"/>
      <c r="P85" s="124"/>
      <c r="Q85" s="124"/>
      <c r="R85" s="26"/>
      <c r="U85" s="370" t="s">
        <v>125</v>
      </c>
      <c r="V85" s="370" t="s">
        <v>76</v>
      </c>
      <c r="W85" s="370" t="s">
        <v>77</v>
      </c>
      <c r="X85" s="370" t="s">
        <v>78</v>
      </c>
      <c r="Y85" s="370"/>
      <c r="Z85" s="370"/>
      <c r="AA85" s="370"/>
      <c r="AB85" s="370"/>
      <c r="AC85" s="370"/>
      <c r="AD85" s="370"/>
      <c r="AE85" s="370"/>
      <c r="AS85" s="124"/>
      <c r="AT85" s="124"/>
      <c r="AU85" s="124"/>
      <c r="AV85" s="124"/>
      <c r="AW85" s="124"/>
      <c r="AX85" s="124"/>
    </row>
    <row r="86" spans="13:50" ht="19.5" customHeight="1" x14ac:dyDescent="0.25">
      <c r="M86" s="351"/>
      <c r="N86" s="352"/>
      <c r="O86" s="352" t="s">
        <v>245</v>
      </c>
      <c r="P86" s="352"/>
      <c r="Q86" s="352"/>
      <c r="R86" s="26"/>
      <c r="U86" s="370"/>
      <c r="V86" s="370"/>
      <c r="W86" s="370"/>
      <c r="X86" s="132" t="s">
        <v>106</v>
      </c>
      <c r="Y86" s="132" t="s">
        <v>79</v>
      </c>
      <c r="Z86" s="132" t="s">
        <v>66</v>
      </c>
      <c r="AA86" s="132" t="s">
        <v>80</v>
      </c>
      <c r="AB86" s="132" t="s">
        <v>67</v>
      </c>
      <c r="AC86" s="132" t="s">
        <v>176</v>
      </c>
      <c r="AD86" s="132" t="s">
        <v>177</v>
      </c>
      <c r="AE86" s="132" t="s">
        <v>190</v>
      </c>
      <c r="AS86" s="124"/>
      <c r="AT86" s="124"/>
      <c r="AU86" s="124"/>
      <c r="AV86" s="124"/>
      <c r="AW86" s="124"/>
      <c r="AX86" s="124"/>
    </row>
    <row r="87" spans="13:50" ht="19.5" customHeight="1" x14ac:dyDescent="0.25">
      <c r="M87" s="351"/>
      <c r="N87" s="352"/>
      <c r="O87" s="124"/>
      <c r="P87" s="124"/>
      <c r="Q87" s="12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24"/>
      <c r="AT87" s="124"/>
      <c r="AU87" s="124"/>
      <c r="AV87" s="124"/>
      <c r="AW87" s="124"/>
      <c r="AX87" s="12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24"/>
      <c r="AT88" s="124"/>
      <c r="AU88" s="124"/>
      <c r="AV88" s="124"/>
      <c r="AW88" s="124"/>
      <c r="AX88" s="12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24"/>
      <c r="AT89" s="124"/>
      <c r="AU89" s="124"/>
      <c r="AV89" s="124"/>
      <c r="AW89" s="124"/>
      <c r="AX89" s="12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24"/>
      <c r="AT90" s="124"/>
      <c r="AU90" s="124"/>
      <c r="AV90" s="124"/>
      <c r="AW90" s="124"/>
      <c r="AX90" s="12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24"/>
      <c r="AT91" s="124"/>
      <c r="AU91" s="124"/>
      <c r="AV91" s="124"/>
      <c r="AW91" s="124"/>
      <c r="AX91" s="12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24"/>
      <c r="AT92" s="124"/>
      <c r="AU92" s="124"/>
      <c r="AV92" s="124"/>
      <c r="AW92" s="124"/>
      <c r="AX92" s="124"/>
    </row>
    <row r="93" spans="13:50" ht="19.5" customHeight="1" x14ac:dyDescent="0.25">
      <c r="M93" s="125"/>
      <c r="N93" s="124"/>
      <c r="O93" s="124"/>
      <c r="P93" s="124"/>
      <c r="Q93" s="12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24"/>
      <c r="AT93" s="124"/>
      <c r="AU93" s="124"/>
      <c r="AV93" s="124"/>
      <c r="AW93" s="124"/>
      <c r="AX93" s="124"/>
    </row>
    <row r="94" spans="13:50" ht="19.5" customHeight="1" x14ac:dyDescent="0.25">
      <c r="M94" s="125"/>
      <c r="N94" s="12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24"/>
      <c r="AT94" s="124"/>
      <c r="AU94" s="124"/>
      <c r="AV94" s="124"/>
      <c r="AW94" s="124"/>
      <c r="AX94" s="124"/>
    </row>
    <row r="95" spans="13:50" ht="19.5" customHeight="1" thickBot="1" x14ac:dyDescent="0.3">
      <c r="M95" s="75"/>
      <c r="N95" s="135"/>
      <c r="O95" s="135"/>
      <c r="P95" s="135"/>
      <c r="Q95" s="135"/>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24"/>
      <c r="AT95" s="124"/>
      <c r="AU95" s="124"/>
      <c r="AV95" s="124"/>
      <c r="AW95" s="124"/>
      <c r="AX95" s="124"/>
    </row>
    <row r="96" spans="13:50" ht="19.5" customHeight="1" thickBot="1" x14ac:dyDescent="0.3">
      <c r="AS96" s="124"/>
      <c r="AT96" s="124"/>
      <c r="AU96" s="124"/>
      <c r="AV96" s="124"/>
      <c r="AW96" s="124"/>
      <c r="AX96" s="124"/>
    </row>
    <row r="97" spans="1:50" ht="19.5" customHeight="1" x14ac:dyDescent="0.25">
      <c r="A97" s="59"/>
      <c r="M97" s="72"/>
      <c r="N97" s="136"/>
      <c r="O97" s="136"/>
      <c r="P97" s="136"/>
      <c r="Q97" s="136"/>
      <c r="R97" s="74"/>
      <c r="AS97" s="124"/>
      <c r="AT97" s="124"/>
      <c r="AU97" s="124"/>
      <c r="AV97" s="124"/>
      <c r="AW97" s="124"/>
      <c r="AX97" s="124"/>
    </row>
    <row r="98" spans="1:50" ht="19.5" customHeight="1" x14ac:dyDescent="0.25">
      <c r="A98" s="140"/>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24"/>
      <c r="AT98" s="124"/>
      <c r="AU98" s="124"/>
      <c r="AV98" s="124"/>
      <c r="AW98" s="124"/>
      <c r="AX98" s="124"/>
    </row>
    <row r="99" spans="1:50" ht="19.5" customHeight="1" x14ac:dyDescent="0.25">
      <c r="A99" s="140"/>
      <c r="M99" s="351" t="s">
        <v>243</v>
      </c>
      <c r="N99" s="361"/>
      <c r="O99" s="45" t="e">
        <f>$AC$30</f>
        <v>#VALUE!</v>
      </c>
      <c r="P99" s="45" t="e">
        <f>$AC$31</f>
        <v>#VALUE!</v>
      </c>
      <c r="Q99" s="45" t="e">
        <f>$AC$32</f>
        <v>#VALUE!</v>
      </c>
      <c r="R99" s="26"/>
      <c r="U99" s="409"/>
      <c r="V99" s="409"/>
      <c r="W99" s="409"/>
      <c r="X99" s="128" t="s">
        <v>33</v>
      </c>
      <c r="Y99" s="128" t="s">
        <v>79</v>
      </c>
      <c r="Z99" s="128" t="s">
        <v>66</v>
      </c>
      <c r="AA99" s="128" t="s">
        <v>80</v>
      </c>
      <c r="AB99" s="128" t="s">
        <v>67</v>
      </c>
      <c r="AC99" s="128" t="s">
        <v>81</v>
      </c>
      <c r="AD99" s="128" t="s">
        <v>82</v>
      </c>
      <c r="AE99" s="128" t="s">
        <v>83</v>
      </c>
      <c r="AF99" s="128" t="s">
        <v>84</v>
      </c>
      <c r="AG99" s="128" t="s">
        <v>85</v>
      </c>
      <c r="AH99" s="128" t="s">
        <v>86</v>
      </c>
      <c r="AI99" s="128" t="s">
        <v>87</v>
      </c>
      <c r="AJ99" s="128" t="s">
        <v>88</v>
      </c>
      <c r="AK99" s="128" t="s">
        <v>89</v>
      </c>
      <c r="AL99" s="128" t="s">
        <v>106</v>
      </c>
      <c r="AM99" s="128" t="s">
        <v>90</v>
      </c>
      <c r="AN99" s="128" t="s">
        <v>91</v>
      </c>
      <c r="AO99" s="128" t="s">
        <v>92</v>
      </c>
      <c r="AS99" s="124"/>
      <c r="AT99" s="124"/>
      <c r="AU99" s="124"/>
      <c r="AV99" s="124"/>
      <c r="AW99" s="124"/>
      <c r="AX99" s="124"/>
    </row>
    <row r="100" spans="1:50" ht="19.5" customHeight="1" x14ac:dyDescent="0.25">
      <c r="A100" s="12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24"/>
      <c r="AT100" s="124"/>
      <c r="AU100" s="124"/>
      <c r="AV100" s="124"/>
      <c r="AW100" s="124"/>
      <c r="AX100" s="124"/>
    </row>
    <row r="101" spans="1:50" ht="19.5" customHeight="1" thickBot="1" x14ac:dyDescent="0.3">
      <c r="A101" s="124"/>
      <c r="B101" s="43"/>
      <c r="C101" s="43"/>
      <c r="M101" s="75"/>
      <c r="N101" s="135"/>
      <c r="O101" s="135"/>
      <c r="P101" s="135"/>
      <c r="Q101" s="135"/>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24"/>
      <c r="AT101" s="124"/>
      <c r="AU101" s="124"/>
      <c r="AV101" s="124"/>
      <c r="AW101" s="124"/>
      <c r="AX101" s="124"/>
    </row>
    <row r="102" spans="1:50" ht="19.5" customHeight="1" thickBot="1" x14ac:dyDescent="0.3">
      <c r="A102" s="12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24"/>
      <c r="AT102" s="124"/>
      <c r="AU102" s="124"/>
      <c r="AV102" s="124"/>
      <c r="AW102" s="124"/>
      <c r="AX102" s="124"/>
    </row>
    <row r="103" spans="1:50" ht="19.5" customHeight="1" x14ac:dyDescent="0.25">
      <c r="M103" s="72"/>
      <c r="N103" s="136"/>
      <c r="O103" s="136"/>
      <c r="P103" s="136"/>
      <c r="Q103" s="136"/>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24"/>
      <c r="AT103" s="124"/>
      <c r="AU103" s="124"/>
      <c r="AV103" s="124"/>
      <c r="AW103" s="124"/>
      <c r="AX103" s="12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24"/>
      <c r="AT104" s="124"/>
      <c r="AU104" s="124"/>
      <c r="AV104" s="124"/>
      <c r="AW104" s="124"/>
      <c r="AX104" s="12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24"/>
      <c r="AT105" s="124"/>
      <c r="AU105" s="124"/>
      <c r="AV105" s="124"/>
      <c r="AW105" s="124"/>
      <c r="AX105" s="12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35"/>
      <c r="O110" s="135"/>
      <c r="P110" s="135"/>
      <c r="Q110" s="135"/>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36"/>
      <c r="O112" s="136"/>
      <c r="P112" s="136"/>
      <c r="Q112" s="136"/>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2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2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2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24"/>
      <c r="D116" s="38"/>
      <c r="M116" s="75"/>
      <c r="N116" s="135"/>
      <c r="O116" s="135"/>
      <c r="P116" s="135"/>
      <c r="Q116" s="135"/>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2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2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2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2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2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24"/>
      <c r="D122" s="12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24"/>
      <c r="D123" s="12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24"/>
      <c r="D124" s="12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24"/>
      <c r="L154" s="124"/>
      <c r="M154" s="124"/>
      <c r="N154" s="124"/>
      <c r="O154" s="124"/>
      <c r="P154" s="124"/>
      <c r="Q154" s="124"/>
      <c r="R154" s="124"/>
      <c r="S154" s="12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24"/>
      <c r="L155" s="124"/>
      <c r="M155" s="124"/>
      <c r="N155" s="124"/>
      <c r="O155" s="124"/>
      <c r="P155" s="124"/>
      <c r="Q155" s="124"/>
      <c r="R155" s="124"/>
      <c r="S155" s="12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24"/>
      <c r="L156" s="124"/>
      <c r="M156" s="124"/>
      <c r="N156" s="124"/>
      <c r="O156" s="124"/>
      <c r="P156" s="124"/>
      <c r="Q156" s="124"/>
      <c r="R156" s="124"/>
      <c r="S156" s="12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24"/>
      <c r="L157" s="124"/>
      <c r="M157" s="124"/>
      <c r="N157" s="124"/>
      <c r="O157" s="124"/>
      <c r="P157" s="124"/>
      <c r="Q157" s="124"/>
      <c r="R157" s="124"/>
      <c r="S157" s="12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24"/>
      <c r="L158" s="124"/>
      <c r="M158" s="124"/>
      <c r="N158" s="415"/>
      <c r="O158" s="415"/>
      <c r="P158" s="415"/>
      <c r="Q158" s="124"/>
      <c r="R158" s="124"/>
      <c r="S158" s="12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24"/>
      <c r="L159" s="124"/>
      <c r="M159" s="124"/>
      <c r="N159" s="352"/>
      <c r="O159" s="352"/>
      <c r="P159" s="352"/>
      <c r="Q159" s="124"/>
      <c r="R159" s="12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24"/>
      <c r="L160" s="124"/>
      <c r="M160" s="124"/>
      <c r="N160" s="124"/>
      <c r="O160" s="124"/>
      <c r="P160" s="124"/>
      <c r="Q160" s="124"/>
      <c r="R160" s="12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24"/>
      <c r="L161" s="124"/>
      <c r="M161" s="124"/>
      <c r="N161" s="124"/>
      <c r="O161" s="124"/>
      <c r="P161" s="124"/>
      <c r="Q161" s="124"/>
      <c r="R161" s="12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24"/>
      <c r="L162" s="124"/>
      <c r="M162" s="124"/>
      <c r="N162" s="124"/>
      <c r="O162" s="124"/>
      <c r="P162" s="124"/>
      <c r="Q162" s="124"/>
      <c r="R162" s="12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24"/>
      <c r="L163" s="124"/>
      <c r="M163" s="124"/>
      <c r="N163" s="124"/>
      <c r="O163" s="124"/>
      <c r="P163" s="124"/>
      <c r="Q163" s="124"/>
      <c r="R163" s="12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24"/>
      <c r="L164" s="124"/>
      <c r="M164" s="124"/>
      <c r="N164" s="124"/>
      <c r="O164" s="124"/>
      <c r="P164" s="124"/>
      <c r="Q164" s="124"/>
      <c r="R164" s="12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24"/>
      <c r="L165" s="124"/>
      <c r="M165" s="124"/>
      <c r="N165" s="124"/>
      <c r="O165" s="124"/>
      <c r="P165" s="124"/>
      <c r="Q165" s="124"/>
      <c r="R165" s="12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24"/>
      <c r="L166" s="124"/>
      <c r="M166" s="124"/>
      <c r="N166" s="124"/>
      <c r="O166" s="124"/>
      <c r="P166" s="124"/>
      <c r="Q166" s="124"/>
      <c r="R166" s="12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24"/>
      <c r="L167" s="124"/>
      <c r="M167" s="124"/>
      <c r="N167" s="124"/>
      <c r="O167" s="124"/>
      <c r="P167" s="124"/>
      <c r="Q167" s="124"/>
      <c r="R167" s="12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24"/>
      <c r="L168" s="124"/>
      <c r="M168" s="124"/>
      <c r="N168" s="124"/>
      <c r="O168" s="124"/>
      <c r="P168" s="124"/>
      <c r="Q168" s="124"/>
      <c r="R168" s="12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24"/>
      <c r="L169" s="124"/>
      <c r="M169" s="124"/>
      <c r="N169" s="124"/>
      <c r="O169" s="124"/>
      <c r="P169" s="124"/>
      <c r="Q169" s="124"/>
      <c r="R169" s="12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24"/>
    </row>
    <row r="170" spans="11:44" ht="19.5" customHeight="1" x14ac:dyDescent="0.25">
      <c r="K170" s="124"/>
      <c r="L170" s="124"/>
      <c r="M170" s="124"/>
      <c r="N170" s="124"/>
      <c r="O170" s="124"/>
      <c r="P170" s="124"/>
      <c r="Q170" s="124"/>
      <c r="R170" s="12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24"/>
      <c r="L171" s="124"/>
      <c r="M171" s="124"/>
      <c r="N171" s="124"/>
      <c r="O171" s="124"/>
      <c r="P171" s="124"/>
      <c r="Q171" s="124"/>
      <c r="R171" s="12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24"/>
      <c r="L172" s="124"/>
      <c r="M172" s="124"/>
      <c r="N172" s="124"/>
      <c r="O172" s="127"/>
      <c r="P172" s="127"/>
      <c r="Q172" s="127"/>
      <c r="R172" s="12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24"/>
      <c r="L173" s="124"/>
      <c r="M173" s="124"/>
      <c r="N173" s="124"/>
      <c r="O173" s="127"/>
      <c r="P173" s="127"/>
      <c r="Q173" s="127"/>
      <c r="R173" s="12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24"/>
      <c r="L174" s="124"/>
      <c r="M174" s="124"/>
      <c r="N174" s="124"/>
      <c r="O174" s="124"/>
      <c r="P174" s="124"/>
      <c r="Q174" s="124"/>
      <c r="R174" s="12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24"/>
      <c r="L175" s="124"/>
      <c r="M175" s="124"/>
      <c r="N175" s="124"/>
      <c r="O175" s="127"/>
      <c r="P175" s="127"/>
      <c r="Q175" s="127"/>
      <c r="R175" s="124"/>
      <c r="S175" s="12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24"/>
      <c r="L176" s="124"/>
      <c r="M176" s="124"/>
      <c r="N176" s="124"/>
      <c r="O176" s="124"/>
      <c r="P176" s="124"/>
      <c r="Q176" s="124"/>
      <c r="R176" s="124"/>
      <c r="S176" s="12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24"/>
      <c r="L177" s="124"/>
      <c r="M177" s="124"/>
      <c r="N177" s="124"/>
      <c r="O177" s="124"/>
      <c r="P177" s="124"/>
      <c r="Q177" s="124"/>
      <c r="R177" s="124"/>
      <c r="S177" s="12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24"/>
      <c r="L178" s="124"/>
      <c r="M178" s="124"/>
      <c r="N178" s="124"/>
      <c r="O178" s="124"/>
      <c r="P178" s="124"/>
      <c r="Q178" s="124"/>
      <c r="R178" s="124"/>
      <c r="S178" s="12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24"/>
      <c r="L179" s="124"/>
      <c r="M179" s="124"/>
      <c r="N179" s="124"/>
      <c r="O179" s="124"/>
      <c r="P179" s="124"/>
      <c r="Q179" s="124"/>
      <c r="R179" s="124"/>
      <c r="S179" s="12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phoneticPr fontId="15" type="noConversion"/>
  <dataValidations count="5">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$AE$31:$AE$34</formula1>
    </dataValidation>
    <dataValidation type="list" allowBlank="1" showInputMessage="1" showErrorMessage="1" sqref="O68 O176 N159 O174">
      <formula1>$AG$29:$AG$30</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f>$AC$30</f>
        <v>100</v>
      </c>
      <c r="AT5" s="18">
        <f>$AC$31</f>
        <v>0</v>
      </c>
      <c r="AU5" s="18">
        <f>$AC$32</f>
        <v>100</v>
      </c>
      <c r="AV5" s="364"/>
      <c r="AW5" s="10"/>
      <c r="AX5" s="10"/>
      <c r="AY5" s="10"/>
      <c r="AZ5" s="10"/>
      <c r="BA5" s="10"/>
      <c r="BB5" s="10"/>
    </row>
    <row r="6" spans="1:54" ht="20.2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100</v>
      </c>
      <c r="AT9" s="48">
        <f>AT5-(SUM(AT6:AT8))</f>
        <v>0</v>
      </c>
      <c r="AU9" s="48">
        <f>AU5-(SUM(AU6:AU8))</f>
        <v>100</v>
      </c>
      <c r="AV9" s="48"/>
      <c r="AW9" s="10"/>
      <c r="AX9" s="10"/>
      <c r="AY9" s="10"/>
      <c r="AZ9" s="10"/>
      <c r="BA9" s="10"/>
      <c r="BB9" s="10"/>
    </row>
    <row r="10" spans="1:54" ht="20.2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t="s">
        <v>291</v>
      </c>
      <c r="AX10" s="10"/>
      <c r="AY10" s="10"/>
      <c r="AZ10" s="10"/>
      <c r="BA10" s="10"/>
      <c r="BB10" s="10"/>
    </row>
    <row r="11" spans="1:54" ht="20.2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f>AS9</f>
        <v>100</v>
      </c>
      <c r="AT11" s="18">
        <f t="shared" ref="AT11:AU11" si="0">AT9</f>
        <v>0</v>
      </c>
      <c r="AU11" s="18">
        <f t="shared" si="0"/>
        <v>100</v>
      </c>
      <c r="AV11" s="364"/>
      <c r="AW11" s="10"/>
      <c r="AX11" s="10"/>
      <c r="AY11" s="10"/>
      <c r="AZ11" s="10"/>
      <c r="BA11" s="10"/>
      <c r="BB11" s="10"/>
    </row>
    <row r="12" spans="1:54" ht="20.2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2</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100</v>
      </c>
      <c r="AT15" s="48">
        <f>AT11-(SUM(AT12:AT14))</f>
        <v>0</v>
      </c>
      <c r="AU15" s="48">
        <f>AU11-(SUM(AU12:AU14))</f>
        <v>100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100</v>
      </c>
      <c r="AT17" s="18">
        <f t="shared" ref="AT17:AU17" si="1">AT15</f>
        <v>0</v>
      </c>
      <c r="AU17" s="18">
        <f t="shared" si="1"/>
        <v>100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6</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100</v>
      </c>
      <c r="AT21" s="48">
        <f t="shared" ref="AT21:AU21" si="2">AT17-(SUM(AT18:AT20))</f>
        <v>0</v>
      </c>
      <c r="AU21" s="48">
        <f t="shared" si="2"/>
        <v>100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109" t="s">
        <v>20</v>
      </c>
      <c r="P22" s="9"/>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09" t="s">
        <v>32</v>
      </c>
      <c r="V27" s="109" t="s">
        <v>64</v>
      </c>
      <c r="W27" s="109" t="s">
        <v>75</v>
      </c>
      <c r="X27" s="109" t="s">
        <v>71</v>
      </c>
      <c r="Y27" s="109" t="s">
        <v>36</v>
      </c>
      <c r="Z27" s="109"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v>0</v>
      </c>
      <c r="V28" s="111">
        <v>50</v>
      </c>
      <c r="W28" s="111" t="s">
        <v>68</v>
      </c>
      <c r="X28" s="111" t="str">
        <f>CONCATENATE(U28," - ",W28)</f>
        <v>0 - baixo</v>
      </c>
      <c r="Y28" s="111">
        <v>10</v>
      </c>
      <c r="Z28" s="111">
        <v>10</v>
      </c>
      <c r="AE28" s="109"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v>0</v>
      </c>
      <c r="V29" s="111">
        <v>50</v>
      </c>
      <c r="W29" s="111" t="s">
        <v>69</v>
      </c>
      <c r="X29" s="111" t="str">
        <f t="shared" ref="X29:X36" si="9">CONCATENATE(U29," - ",W29)</f>
        <v>0 - medio</v>
      </c>
      <c r="Y29" s="111">
        <v>10</v>
      </c>
      <c r="Z29" s="111">
        <v>10</v>
      </c>
      <c r="AB29" s="413" t="s">
        <v>65</v>
      </c>
      <c r="AC29" s="413"/>
      <c r="AE29" s="109" t="s">
        <v>32</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v>0</v>
      </c>
      <c r="V30" s="111">
        <v>50</v>
      </c>
      <c r="W30" s="111" t="s">
        <v>70</v>
      </c>
      <c r="X30" s="111" t="str">
        <f t="shared" si="9"/>
        <v>0 - adequado</v>
      </c>
      <c r="Y30" s="111">
        <v>10</v>
      </c>
      <c r="Z30" s="111">
        <v>10</v>
      </c>
      <c r="AB30" s="121" t="s">
        <v>33</v>
      </c>
      <c r="AC30" s="121">
        <f>VLOOKUP($P$39,$U$28:$V$36,2,0)</f>
        <v>100</v>
      </c>
      <c r="AE30" s="109"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11">
        <v>1</v>
      </c>
      <c r="V31" s="111">
        <v>100</v>
      </c>
      <c r="W31" s="111" t="s">
        <v>68</v>
      </c>
      <c r="X31" s="111" t="str">
        <f t="shared" si="9"/>
        <v>1 - baixo</v>
      </c>
      <c r="Y31" s="111">
        <v>0</v>
      </c>
      <c r="Z31" s="111">
        <v>100</v>
      </c>
      <c r="AB31" s="121" t="s">
        <v>66</v>
      </c>
      <c r="AC31" s="121">
        <f>VLOOKUP(AB36,X28:Z36,2,0)</f>
        <v>0</v>
      </c>
      <c r="AE31" s="109">
        <v>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111">
        <v>1</v>
      </c>
      <c r="V32" s="111">
        <v>100</v>
      </c>
      <c r="W32" s="111" t="s">
        <v>69</v>
      </c>
      <c r="X32" s="111" t="str">
        <f t="shared" si="9"/>
        <v>1 - medio</v>
      </c>
      <c r="Y32" s="111">
        <v>0</v>
      </c>
      <c r="Z32" s="111">
        <v>60</v>
      </c>
      <c r="AB32" s="121" t="s">
        <v>67</v>
      </c>
      <c r="AC32" s="121">
        <f>VLOOKUP($AB$39,X28:Z36,3,0)</f>
        <v>100</v>
      </c>
      <c r="AE32" s="109">
        <v>1</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11">
        <v>1</v>
      </c>
      <c r="V33" s="111">
        <v>100</v>
      </c>
      <c r="W33" s="111" t="s">
        <v>70</v>
      </c>
      <c r="X33" s="111" t="str">
        <f t="shared" si="9"/>
        <v>1 - adequado</v>
      </c>
      <c r="Y33" s="111">
        <v>0</v>
      </c>
      <c r="Z33" s="111">
        <v>0</v>
      </c>
      <c r="AE33" s="109">
        <v>2</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111">
        <v>2</v>
      </c>
      <c r="V34" s="111">
        <v>200</v>
      </c>
      <c r="W34" s="111" t="s">
        <v>68</v>
      </c>
      <c r="X34" s="111" t="str">
        <f t="shared" si="9"/>
        <v>2 - baixo</v>
      </c>
      <c r="Y34" s="111">
        <v>120</v>
      </c>
      <c r="Z34" s="111">
        <v>200</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v>2</v>
      </c>
      <c r="V35" s="111">
        <v>200</v>
      </c>
      <c r="W35" s="111" t="s">
        <v>69</v>
      </c>
      <c r="X35" s="111" t="str">
        <f t="shared" si="9"/>
        <v>2 - medio</v>
      </c>
      <c r="Y35" s="111">
        <v>100</v>
      </c>
      <c r="Z35" s="111">
        <v>120</v>
      </c>
      <c r="AB35" s="340" t="s">
        <v>72</v>
      </c>
      <c r="AC35" s="340"/>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v>2</v>
      </c>
      <c r="V36" s="111">
        <v>200</v>
      </c>
      <c r="W36" s="111" t="s">
        <v>70</v>
      </c>
      <c r="X36" s="111" t="str">
        <f t="shared" si="9"/>
        <v>2 - adequado</v>
      </c>
      <c r="Y36" s="111">
        <v>0</v>
      </c>
      <c r="Z36" s="111">
        <v>0</v>
      </c>
      <c r="AB36" s="340" t="str">
        <f>CONCATENATE($P$39," - ",$AD$8)</f>
        <v>1 -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18"/>
      <c r="O37" s="118"/>
      <c r="P37" s="118"/>
      <c r="Q37" s="118"/>
      <c r="R37" s="74"/>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AB38" s="340" t="s">
        <v>73</v>
      </c>
      <c r="AC38" s="340"/>
      <c r="AI38" s="30">
        <v>0.8</v>
      </c>
      <c r="AK38" s="109"/>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109" t="s">
        <v>167</v>
      </c>
      <c r="P39" s="341">
        <v>1</v>
      </c>
      <c r="Q39" s="341"/>
      <c r="R39" s="26"/>
      <c r="AB39" s="340" t="str">
        <f>CONCATENATE($P$39," - ",$AD$22)</f>
        <v>1 -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104"/>
      <c r="P40" s="104"/>
      <c r="Q40" s="104"/>
      <c r="R40" s="26"/>
      <c r="AI40" s="30">
        <v>1</v>
      </c>
      <c r="AO40" s="10"/>
      <c r="AP40" s="334" t="str">
        <f>O105</f>
        <v>Ácido Bórico</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AO41" s="10"/>
      <c r="AP41" s="334" t="str">
        <f>O106</f>
        <v>Sulfato de cobre</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AO42" s="10"/>
      <c r="AP42" s="334" t="str">
        <f>O107</f>
        <v>Sulfato de manganês</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117"/>
      <c r="O43" s="117"/>
      <c r="P43" s="117"/>
      <c r="Q43" s="117"/>
      <c r="R43" s="77"/>
      <c r="AO43" s="10"/>
      <c r="AP43" s="334" t="str">
        <f>O108</f>
        <v>Sulfato de zinco</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118"/>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11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109"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109"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09"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117"/>
      <c r="O51" s="117"/>
      <c r="P51" s="117"/>
      <c r="Q51" s="117"/>
      <c r="R51" s="77"/>
      <c r="U51" s="109" t="s">
        <v>254</v>
      </c>
      <c r="V51" s="2">
        <f>V48*$Q$47</f>
        <v>0</v>
      </c>
      <c r="AT51" s="111">
        <v>0</v>
      </c>
      <c r="AU51" s="64" t="s">
        <v>267</v>
      </c>
      <c r="AV51" s="64" t="str">
        <f>CONCATENATE(AT51," - ",AU51)</f>
        <v>0 - Composto de lixo (COL)</v>
      </c>
      <c r="AW51" s="111">
        <v>15</v>
      </c>
    </row>
    <row r="52" spans="2:50" ht="20.25" customHeight="1" thickBot="1" x14ac:dyDescent="0.3">
      <c r="B52" s="391"/>
      <c r="C52" s="391"/>
      <c r="D52" s="391"/>
      <c r="E52" s="391"/>
      <c r="F52" s="391"/>
      <c r="G52" s="391"/>
      <c r="H52" s="391"/>
      <c r="I52" s="391"/>
      <c r="AT52" s="111">
        <v>1</v>
      </c>
      <c r="AU52" s="64" t="s">
        <v>267</v>
      </c>
      <c r="AV52" s="64" t="str">
        <f t="shared" ref="AV52:AV95" si="13">CONCATENATE(AT52," - ",AU52)</f>
        <v>1 - Composto de lixo (COL)</v>
      </c>
      <c r="AW52" s="111">
        <v>5</v>
      </c>
    </row>
    <row r="53" spans="2:50" ht="20.25" customHeight="1" thickBot="1" x14ac:dyDescent="0.3">
      <c r="B53" s="392"/>
      <c r="C53" s="392"/>
      <c r="D53" s="392"/>
      <c r="E53" s="392"/>
      <c r="F53" s="392"/>
      <c r="G53" s="392"/>
      <c r="H53" s="392"/>
      <c r="I53" s="392"/>
      <c r="M53" s="72"/>
      <c r="N53" s="118"/>
      <c r="O53" s="118"/>
      <c r="P53" s="118"/>
      <c r="Q53" s="118"/>
      <c r="R53" s="74"/>
      <c r="AP53" s="38"/>
      <c r="AQ53" s="38"/>
      <c r="AS53" s="38"/>
      <c r="AT53" s="111">
        <v>2</v>
      </c>
      <c r="AU53" s="64" t="s">
        <v>267</v>
      </c>
      <c r="AV53" s="64" t="str">
        <f t="shared" si="13"/>
        <v>2 - Composto de lixo (COL)</v>
      </c>
      <c r="AW53" s="11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11">
        <v>3</v>
      </c>
      <c r="AU54" s="64" t="s">
        <v>267</v>
      </c>
      <c r="AV54" s="64" t="str">
        <f t="shared" si="13"/>
        <v>3 - Composto de lixo (COL)</v>
      </c>
      <c r="AW54" s="111">
        <v>15</v>
      </c>
    </row>
    <row r="55" spans="2:50" ht="20.25" customHeight="1" x14ac:dyDescent="0.25">
      <c r="B55" s="372" t="str">
        <f>IF(AP40&gt;0,AP40,"-")</f>
        <v>Ácido Bórico</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11">
        <v>4</v>
      </c>
      <c r="AU55" s="64" t="s">
        <v>267</v>
      </c>
      <c r="AV55" s="64" t="str">
        <f t="shared" si="13"/>
        <v>4 - Composto de lixo (COL)</v>
      </c>
      <c r="AW55" s="111">
        <v>20</v>
      </c>
    </row>
    <row r="56" spans="2:50" ht="20.25" customHeight="1" x14ac:dyDescent="0.25">
      <c r="B56" s="372" t="str">
        <f>IF(AP41&gt;0,AP41,"-")</f>
        <v>Sulfato de cobre</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11">
        <v>0</v>
      </c>
      <c r="AU56" s="64" t="s">
        <v>274</v>
      </c>
      <c r="AV56" s="64" t="str">
        <f t="shared" si="13"/>
        <v>0 - Cama de frango corte</v>
      </c>
      <c r="AW56" s="111">
        <v>3</v>
      </c>
      <c r="AX56" s="104"/>
    </row>
    <row r="57" spans="2:50" ht="20.25" customHeight="1" x14ac:dyDescent="0.25">
      <c r="B57" s="372" t="str">
        <f>IF(AP42&gt;0,AP42,"-")</f>
        <v>Sulfato de manganês</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275</v>
      </c>
      <c r="AR57" s="341"/>
      <c r="AS57" s="104"/>
      <c r="AT57" s="111">
        <v>1</v>
      </c>
      <c r="AU57" s="64" t="s">
        <v>274</v>
      </c>
      <c r="AV57" s="64" t="str">
        <f t="shared" si="13"/>
        <v>1 - Cama de frango corte</v>
      </c>
      <c r="AW57" s="111">
        <v>1</v>
      </c>
    </row>
    <row r="58" spans="2:50" ht="20.25" customHeight="1" x14ac:dyDescent="0.25">
      <c r="B58" s="372" t="str">
        <f>IF(AP43&gt;0,AP43,"-")</f>
        <v>Sulfato de zinco</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t="str">
        <f>CONCATENATE($P$39," - ",$O$42)</f>
        <v xml:space="preserve">1 - </v>
      </c>
      <c r="AR58" s="341"/>
      <c r="AS58" s="104"/>
      <c r="AT58" s="111">
        <v>2</v>
      </c>
      <c r="AU58" s="64" t="s">
        <v>274</v>
      </c>
      <c r="AV58" s="64" t="str">
        <f t="shared" si="13"/>
        <v>2 - Cama de frango corte</v>
      </c>
      <c r="AW58" s="11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Q59" s="338">
        <f>IFERROR(VLOOKUP(AQ58,AV51:AW95,2,0),0)</f>
        <v>0</v>
      </c>
      <c r="AR59" s="338"/>
      <c r="AS59" s="104"/>
      <c r="AT59" s="111">
        <v>3</v>
      </c>
      <c r="AU59" s="64" t="s">
        <v>274</v>
      </c>
      <c r="AV59" s="64" t="str">
        <f t="shared" si="13"/>
        <v>3 - Cama de frango corte</v>
      </c>
      <c r="AW59" s="11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11">
        <v>4</v>
      </c>
      <c r="AU60" s="64" t="s">
        <v>274</v>
      </c>
      <c r="AV60" s="64" t="str">
        <f t="shared" si="13"/>
        <v>4 - Cama de frango corte</v>
      </c>
      <c r="AW60" s="11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11">
        <v>0</v>
      </c>
      <c r="AU61" s="64" t="s">
        <v>148</v>
      </c>
      <c r="AV61" s="64" t="str">
        <f t="shared" si="13"/>
        <v>0 - Esterco de galinha</v>
      </c>
      <c r="AW61" s="11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11">
        <v>1</v>
      </c>
      <c r="AU62" s="64" t="s">
        <v>148</v>
      </c>
      <c r="AV62" s="64" t="str">
        <f t="shared" si="13"/>
        <v>1 - Esterco de galinha</v>
      </c>
      <c r="AW62" s="11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11">
        <v>2</v>
      </c>
      <c r="AU63" s="64" t="s">
        <v>148</v>
      </c>
      <c r="AV63" s="64" t="str">
        <f t="shared" si="13"/>
        <v>2 - Esterco de galinha</v>
      </c>
      <c r="AW63" s="11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11">
        <v>3</v>
      </c>
      <c r="AU64" s="64" t="s">
        <v>148</v>
      </c>
      <c r="AV64" s="64" t="str">
        <f t="shared" si="13"/>
        <v>3 - Esterco de galinha</v>
      </c>
      <c r="AW64" s="111">
        <v>3</v>
      </c>
    </row>
    <row r="65" spans="2:49" ht="20.2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11">
        <v>4</v>
      </c>
      <c r="AU65" s="64" t="s">
        <v>148</v>
      </c>
      <c r="AV65" s="64" t="str">
        <f t="shared" si="13"/>
        <v>4 - Esterco de galinha</v>
      </c>
      <c r="AW65" s="11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11">
        <v>0</v>
      </c>
      <c r="AU66" s="64" t="s">
        <v>273</v>
      </c>
      <c r="AV66" s="64" t="str">
        <f t="shared" si="13"/>
        <v>0 - Esterco Bovino curtido</v>
      </c>
      <c r="AW66" s="11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11">
        <v>1</v>
      </c>
      <c r="AU67" s="64" t="s">
        <v>273</v>
      </c>
      <c r="AV67" s="64" t="str">
        <f t="shared" si="13"/>
        <v>1 - Esterco Bovino curtido</v>
      </c>
      <c r="AW67" s="111">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11">
        <v>2</v>
      </c>
      <c r="AU68" s="64" t="s">
        <v>273</v>
      </c>
      <c r="AV68" s="64" t="str">
        <f t="shared" si="13"/>
        <v>2 - Esterco Bovino curtido</v>
      </c>
      <c r="AW68" s="111">
        <v>10</v>
      </c>
    </row>
    <row r="69" spans="2:49" ht="20.25" customHeight="1" thickBot="1" x14ac:dyDescent="0.3">
      <c r="M69" s="75"/>
      <c r="N69" s="117"/>
      <c r="O69" s="117"/>
      <c r="P69" s="117"/>
      <c r="Q69" s="117"/>
      <c r="R69" s="77"/>
      <c r="AT69" s="111">
        <v>3</v>
      </c>
      <c r="AU69" s="64" t="s">
        <v>273</v>
      </c>
      <c r="AV69" s="64" t="str">
        <f t="shared" si="13"/>
        <v>3 - Esterco Bovino curtido</v>
      </c>
      <c r="AW69" s="111">
        <v>15</v>
      </c>
    </row>
    <row r="70" spans="2:49" ht="20.25" customHeight="1" thickBot="1" x14ac:dyDescent="0.3">
      <c r="AT70" s="111">
        <v>4</v>
      </c>
      <c r="AU70" s="64" t="s">
        <v>273</v>
      </c>
      <c r="AV70" s="64" t="str">
        <f t="shared" si="13"/>
        <v>4 - Esterco Bovino curtido</v>
      </c>
      <c r="AW70" s="111">
        <v>20</v>
      </c>
    </row>
    <row r="71" spans="2:49" ht="20.25" customHeight="1" x14ac:dyDescent="0.25">
      <c r="M71" s="72"/>
      <c r="N71" s="118"/>
      <c r="O71" s="118"/>
      <c r="P71" s="118"/>
      <c r="Q71" s="118"/>
      <c r="R71" s="74"/>
      <c r="U71" s="371" t="s">
        <v>125</v>
      </c>
      <c r="V71" s="371" t="s">
        <v>76</v>
      </c>
      <c r="W71" s="371" t="s">
        <v>77</v>
      </c>
      <c r="X71" s="371" t="s">
        <v>265</v>
      </c>
      <c r="Y71" s="371"/>
      <c r="Z71" s="371"/>
      <c r="AT71" s="111">
        <v>0</v>
      </c>
      <c r="AU71" s="64" t="s">
        <v>273</v>
      </c>
      <c r="AV71" s="64" t="str">
        <f t="shared" si="13"/>
        <v>0 - Esterco Bovino curtido</v>
      </c>
      <c r="AW71" s="111">
        <v>15</v>
      </c>
    </row>
    <row r="72" spans="2:49" ht="20.25" customHeight="1" x14ac:dyDescent="0.25">
      <c r="M72" s="351" t="s">
        <v>198</v>
      </c>
      <c r="N72" s="352"/>
      <c r="O72" s="400" t="s">
        <v>233</v>
      </c>
      <c r="P72" s="401"/>
      <c r="Q72" s="402"/>
      <c r="R72" s="26"/>
      <c r="U72" s="371"/>
      <c r="V72" s="371"/>
      <c r="W72" s="371"/>
      <c r="X72" s="114" t="s">
        <v>81</v>
      </c>
      <c r="Y72" s="114" t="s">
        <v>82</v>
      </c>
      <c r="Z72" s="114" t="s">
        <v>83</v>
      </c>
      <c r="AT72" s="111">
        <v>1</v>
      </c>
      <c r="AU72" s="64" t="s">
        <v>266</v>
      </c>
      <c r="AV72" s="64" t="str">
        <f t="shared" si="13"/>
        <v>1 - Esterco de equino</v>
      </c>
      <c r="AW72" s="11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11">
        <v>2</v>
      </c>
      <c r="AU73" s="64" t="s">
        <v>266</v>
      </c>
      <c r="AV73" s="64" t="str">
        <f t="shared" si="13"/>
        <v>2 - Esterco de equino</v>
      </c>
      <c r="AW73" s="111">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111">
        <v>3</v>
      </c>
      <c r="AU74" s="64" t="s">
        <v>266</v>
      </c>
      <c r="AV74" s="64" t="str">
        <f t="shared" si="13"/>
        <v>3 - Esterco de equino</v>
      </c>
      <c r="AW74" s="111">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111">
        <v>4</v>
      </c>
      <c r="AU75" s="64" t="s">
        <v>266</v>
      </c>
      <c r="AV75" s="64" t="str">
        <f t="shared" si="13"/>
        <v>4 - Esterco de equino</v>
      </c>
      <c r="AW75" s="11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11">
        <v>0</v>
      </c>
      <c r="AU76" s="64" t="s">
        <v>273</v>
      </c>
      <c r="AV76" s="64" t="str">
        <f t="shared" si="13"/>
        <v>0 - Esterco Bovino curtido</v>
      </c>
      <c r="AW76" s="111">
        <v>3</v>
      </c>
    </row>
    <row r="77" spans="2:49" ht="20.2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T77" s="111">
        <v>1</v>
      </c>
      <c r="AU77" s="64" t="s">
        <v>268</v>
      </c>
      <c r="AV77" s="64" t="str">
        <f t="shared" si="13"/>
        <v>1 - Esterco de suínos</v>
      </c>
      <c r="AW77" s="11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11">
        <v>2</v>
      </c>
      <c r="AU78" s="64" t="s">
        <v>268</v>
      </c>
      <c r="AV78" s="64" t="str">
        <f t="shared" si="13"/>
        <v>2 - Esterco de suínos</v>
      </c>
      <c r="AW78" s="111">
        <v>2</v>
      </c>
    </row>
    <row r="79" spans="2:49" ht="20.2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T79" s="111">
        <v>3</v>
      </c>
      <c r="AU79" s="64" t="s">
        <v>268</v>
      </c>
      <c r="AV79" s="64" t="str">
        <f t="shared" si="13"/>
        <v>3 - Esterco de suínos</v>
      </c>
      <c r="AW79" s="11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11">
        <v>4</v>
      </c>
      <c r="AU80" s="64" t="s">
        <v>268</v>
      </c>
      <c r="AV80" s="64" t="str">
        <f t="shared" si="13"/>
        <v>4 - Esterco de suínos</v>
      </c>
      <c r="AW80" s="11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11">
        <v>0</v>
      </c>
      <c r="AU81" s="64" t="s">
        <v>269</v>
      </c>
      <c r="AV81" s="64" t="str">
        <f t="shared" si="13"/>
        <v>0 - Esterco de ovinos</v>
      </c>
      <c r="AW81" s="111">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111">
        <v>1</v>
      </c>
      <c r="AU82" s="64" t="s">
        <v>269</v>
      </c>
      <c r="AV82" s="64" t="str">
        <f t="shared" si="13"/>
        <v>1 - Esterco de ovinos</v>
      </c>
      <c r="AW82" s="111">
        <v>1</v>
      </c>
    </row>
    <row r="83" spans="13:49" ht="20.25" customHeight="1" x14ac:dyDescent="0.25">
      <c r="M83" s="351"/>
      <c r="N83" s="352"/>
      <c r="O83" s="341"/>
      <c r="P83" s="341"/>
      <c r="Q83" s="33"/>
      <c r="R83" s="26"/>
      <c r="AT83" s="111">
        <v>2</v>
      </c>
      <c r="AU83" s="64" t="s">
        <v>269</v>
      </c>
      <c r="AV83" s="64" t="str">
        <f t="shared" si="13"/>
        <v>2 - Esterco de ovinos</v>
      </c>
      <c r="AW83" s="111">
        <v>2</v>
      </c>
    </row>
    <row r="84" spans="13:49" ht="20.25" customHeight="1" x14ac:dyDescent="0.25">
      <c r="M84" s="351"/>
      <c r="N84" s="352"/>
      <c r="O84" s="341"/>
      <c r="P84" s="341"/>
      <c r="Q84" s="33"/>
      <c r="R84" s="26"/>
      <c r="AT84" s="111">
        <v>3</v>
      </c>
      <c r="AU84" s="64" t="s">
        <v>269</v>
      </c>
      <c r="AV84" s="64" t="str">
        <f t="shared" si="13"/>
        <v>3 - Esterco de ovinos</v>
      </c>
      <c r="AW84" s="111">
        <v>3</v>
      </c>
    </row>
    <row r="85" spans="13:49" ht="20.2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T85" s="111">
        <v>4</v>
      </c>
      <c r="AU85" s="64" t="s">
        <v>269</v>
      </c>
      <c r="AV85" s="64" t="str">
        <f t="shared" si="13"/>
        <v>4 - Esterco de ovinos</v>
      </c>
      <c r="AW85" s="111">
        <v>4</v>
      </c>
    </row>
    <row r="86" spans="13:49" ht="20.2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T86" s="111">
        <v>0</v>
      </c>
      <c r="AU86" s="64" t="s">
        <v>270</v>
      </c>
      <c r="AV86" s="64" t="str">
        <f t="shared" si="13"/>
        <v>0 - Lodo de esgosto</v>
      </c>
      <c r="AW86" s="111">
        <v>3</v>
      </c>
    </row>
    <row r="87" spans="13:49" ht="20.25" customHeight="1" x14ac:dyDescent="0.25">
      <c r="M87" s="351"/>
      <c r="N87" s="352"/>
      <c r="O87" s="104"/>
      <c r="P87" s="104"/>
      <c r="Q87" s="10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11">
        <v>1</v>
      </c>
      <c r="AU87" s="64" t="s">
        <v>270</v>
      </c>
      <c r="AV87" s="64" t="str">
        <f t="shared" si="13"/>
        <v>1 - Lodo de esgosto</v>
      </c>
      <c r="AW87" s="11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11">
        <v>2</v>
      </c>
      <c r="AU88" s="64" t="s">
        <v>270</v>
      </c>
      <c r="AV88" s="64" t="str">
        <f t="shared" si="13"/>
        <v>2 - Lodo de esgosto</v>
      </c>
      <c r="AW88" s="11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11">
        <v>3</v>
      </c>
      <c r="AU89" s="64" t="s">
        <v>270</v>
      </c>
      <c r="AV89" s="64" t="str">
        <f t="shared" si="13"/>
        <v>3 - Lodo de esgosto</v>
      </c>
      <c r="AW89" s="111">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11">
        <v>4</v>
      </c>
      <c r="AU90" s="64" t="s">
        <v>270</v>
      </c>
      <c r="AV90" s="64" t="str">
        <f t="shared" si="13"/>
        <v>4 - Lodo de esgosto</v>
      </c>
      <c r="AW90" s="111">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11">
        <v>0</v>
      </c>
      <c r="AU91" s="64" t="s">
        <v>271</v>
      </c>
      <c r="AV91" s="64" t="str">
        <f t="shared" si="13"/>
        <v>0 - Compostos orgânicos</v>
      </c>
      <c r="AW91" s="11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11">
        <v>1</v>
      </c>
      <c r="AU92" s="64" t="s">
        <v>271</v>
      </c>
      <c r="AV92" s="64" t="str">
        <f t="shared" si="13"/>
        <v>1 - Compostos orgânicos</v>
      </c>
      <c r="AW92" s="111">
        <v>1</v>
      </c>
    </row>
    <row r="93" spans="13:49" ht="20.25" customHeight="1" x14ac:dyDescent="0.25">
      <c r="M93" s="105"/>
      <c r="N93" s="104"/>
      <c r="O93" s="104"/>
      <c r="P93" s="104"/>
      <c r="Q93" s="10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11">
        <v>2</v>
      </c>
      <c r="AU93" s="64" t="s">
        <v>271</v>
      </c>
      <c r="AV93" s="64" t="str">
        <f t="shared" si="13"/>
        <v>2 - Compostos orgânicos</v>
      </c>
      <c r="AW93" s="111">
        <v>2</v>
      </c>
    </row>
    <row r="94" spans="13:49" ht="20.25" customHeight="1" x14ac:dyDescent="0.25">
      <c r="M94" s="105"/>
      <c r="N94" s="10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11">
        <v>3</v>
      </c>
      <c r="AU94" s="64" t="s">
        <v>271</v>
      </c>
      <c r="AV94" s="64" t="str">
        <f t="shared" si="13"/>
        <v>3 - Compostos orgânicos</v>
      </c>
      <c r="AW94" s="111">
        <v>3</v>
      </c>
    </row>
    <row r="95" spans="13:49" ht="20.25" customHeight="1" thickBot="1" x14ac:dyDescent="0.3">
      <c r="M95" s="75"/>
      <c r="N95" s="117"/>
      <c r="O95" s="117"/>
      <c r="P95" s="117"/>
      <c r="Q95" s="117"/>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11">
        <v>4</v>
      </c>
      <c r="AU95" s="64" t="s">
        <v>271</v>
      </c>
      <c r="AV95" s="64" t="str">
        <f t="shared" si="13"/>
        <v>4 - Compostos orgânicos</v>
      </c>
      <c r="AW95" s="111">
        <v>4</v>
      </c>
    </row>
    <row r="96" spans="13:49" ht="20.25" customHeight="1" thickBot="1" x14ac:dyDescent="0.3"/>
    <row r="97" spans="1:41" ht="20.25" customHeight="1" x14ac:dyDescent="0.25">
      <c r="A97" s="59"/>
      <c r="M97" s="72"/>
      <c r="N97" s="118"/>
      <c r="O97" s="118"/>
      <c r="P97" s="118"/>
      <c r="Q97" s="118"/>
      <c r="R97" s="74"/>
    </row>
    <row r="98" spans="1:41" ht="20.2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22"/>
      <c r="M99" s="351" t="s">
        <v>243</v>
      </c>
      <c r="N99" s="361"/>
      <c r="O99" s="45">
        <f>$AC$30</f>
        <v>100</v>
      </c>
      <c r="P99" s="45">
        <f>$AC$31</f>
        <v>0</v>
      </c>
      <c r="Q99" s="45">
        <f>$AC$32</f>
        <v>100</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row>
    <row r="100" spans="1:41" ht="20.25" customHeight="1" x14ac:dyDescent="0.25">
      <c r="A100" s="104"/>
      <c r="M100" s="351" t="s">
        <v>251</v>
      </c>
      <c r="N100" s="361"/>
      <c r="O100" s="2">
        <f>AS21</f>
        <v>100</v>
      </c>
      <c r="P100" s="2">
        <f>AT21</f>
        <v>0</v>
      </c>
      <c r="Q100" s="2">
        <f>AU21</f>
        <v>100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t="s">
        <v>301</v>
      </c>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t="s">
        <v>238</v>
      </c>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t="s">
        <v>96</v>
      </c>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t="s">
        <v>97</v>
      </c>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20.2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$AE$31:$AE$33</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f>$AC$30</f>
        <v>60</v>
      </c>
      <c r="AT5" s="18">
        <f>$AC$31</f>
        <v>60</v>
      </c>
      <c r="AU5" s="18">
        <f>$AC$32</f>
        <v>60</v>
      </c>
      <c r="AV5" s="364"/>
      <c r="AW5" s="10"/>
      <c r="AX5" s="10"/>
      <c r="AY5" s="10"/>
      <c r="AZ5" s="10"/>
      <c r="BA5" s="10"/>
      <c r="BB5" s="10"/>
    </row>
    <row r="6" spans="1:54" ht="20.2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60</v>
      </c>
      <c r="AT9" s="48">
        <f>AT5-(SUM(AT6:AT8))</f>
        <v>60</v>
      </c>
      <c r="AU9" s="48">
        <f>AU5-(SUM(AU6:AU8))</f>
        <v>60</v>
      </c>
      <c r="AV9" s="48"/>
      <c r="AW9" s="10"/>
      <c r="AX9" s="10"/>
      <c r="AY9" s="10"/>
      <c r="AZ9" s="10"/>
      <c r="BA9" s="10"/>
      <c r="BB9" s="10"/>
    </row>
    <row r="10" spans="1:54" ht="20.2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t="s">
        <v>291</v>
      </c>
      <c r="AX10" s="10"/>
      <c r="AY10" s="10"/>
      <c r="AZ10" s="10"/>
      <c r="BA10" s="10"/>
      <c r="BB10" s="10"/>
    </row>
    <row r="11" spans="1:54" ht="20.2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f>AS9</f>
        <v>60</v>
      </c>
      <c r="AT11" s="18">
        <f t="shared" ref="AT11:AU11" si="0">AT9</f>
        <v>60</v>
      </c>
      <c r="AU11" s="18">
        <f t="shared" si="0"/>
        <v>60</v>
      </c>
      <c r="AV11" s="364"/>
      <c r="AW11" s="10"/>
      <c r="AX11" s="10"/>
      <c r="AY11" s="10"/>
      <c r="AZ11" s="10"/>
      <c r="BA11" s="10"/>
      <c r="BB11" s="10"/>
    </row>
    <row r="12" spans="1:54" ht="20.2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2</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60</v>
      </c>
      <c r="AT15" s="48">
        <f>AT11-(SUM(AT12:AT14))</f>
        <v>60</v>
      </c>
      <c r="AU15" s="48">
        <f>AU11-(SUM(AU12:AU14))</f>
        <v>60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f>AS15</f>
        <v>60</v>
      </c>
      <c r="AT17" s="18">
        <f t="shared" ref="AT17:AU17" si="1">AT15</f>
        <v>60</v>
      </c>
      <c r="AU17" s="18">
        <f t="shared" si="1"/>
        <v>60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6</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f>AS17-(SUM(AS18:AS20))</f>
        <v>60</v>
      </c>
      <c r="AT21" s="48">
        <f t="shared" ref="AT21:AU21" si="2">AT17-(SUM(AT18:AT20))</f>
        <v>60</v>
      </c>
      <c r="AU21" s="48">
        <f t="shared" si="2"/>
        <v>60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109" t="s">
        <v>20</v>
      </c>
      <c r="P22" s="9"/>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09" t="s">
        <v>32</v>
      </c>
      <c r="V27" s="109" t="s">
        <v>64</v>
      </c>
      <c r="W27" s="109" t="s">
        <v>75</v>
      </c>
      <c r="X27" s="109" t="s">
        <v>71</v>
      </c>
      <c r="Y27" s="109" t="s">
        <v>36</v>
      </c>
      <c r="Z27" s="109"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v>0</v>
      </c>
      <c r="V28" s="111">
        <v>50</v>
      </c>
      <c r="W28" s="111" t="s">
        <v>68</v>
      </c>
      <c r="X28" s="111" t="str">
        <f>CONCATENATE(U28," - ",W28)</f>
        <v>0 - baixo</v>
      </c>
      <c r="Y28" s="111">
        <v>10</v>
      </c>
      <c r="Z28" s="111">
        <v>10</v>
      </c>
      <c r="AE28" s="109"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v>0</v>
      </c>
      <c r="V29" s="111">
        <v>50</v>
      </c>
      <c r="W29" s="111" t="s">
        <v>69</v>
      </c>
      <c r="X29" s="111" t="str">
        <f t="shared" ref="X29:X42" si="9">CONCATENATE(U29," - ",W29)</f>
        <v>0 - medio</v>
      </c>
      <c r="Y29" s="111">
        <v>10</v>
      </c>
      <c r="Z29" s="111">
        <v>10</v>
      </c>
      <c r="AB29" s="413" t="s">
        <v>65</v>
      </c>
      <c r="AC29" s="413"/>
      <c r="AE29" s="109" t="s">
        <v>32</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v>0</v>
      </c>
      <c r="V30" s="111">
        <v>50</v>
      </c>
      <c r="W30" s="111" t="s">
        <v>70</v>
      </c>
      <c r="X30" s="111" t="str">
        <f t="shared" si="9"/>
        <v>0 - adequado</v>
      </c>
      <c r="Y30" s="111">
        <v>10</v>
      </c>
      <c r="Z30" s="111">
        <v>10</v>
      </c>
      <c r="AB30" s="121" t="s">
        <v>33</v>
      </c>
      <c r="AC30" s="121">
        <f>VLOOKUP($P$39,$U$28:$V$42,2,0)</f>
        <v>60</v>
      </c>
      <c r="AE30" s="109"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111">
        <v>1</v>
      </c>
      <c r="V31" s="111">
        <v>15</v>
      </c>
      <c r="W31" s="111" t="s">
        <v>68</v>
      </c>
      <c r="X31" s="111" t="str">
        <f t="shared" si="9"/>
        <v>1 - baixo</v>
      </c>
      <c r="Y31" s="111">
        <v>15</v>
      </c>
      <c r="Z31" s="111">
        <v>15</v>
      </c>
      <c r="AB31" s="121" t="s">
        <v>66</v>
      </c>
      <c r="AC31" s="121">
        <f>VLOOKUP(AB36,X28:Z42,2,0)</f>
        <v>60</v>
      </c>
      <c r="AE31" s="109">
        <v>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111">
        <v>1</v>
      </c>
      <c r="V32" s="111">
        <v>15</v>
      </c>
      <c r="W32" s="111" t="s">
        <v>69</v>
      </c>
      <c r="X32" s="111" t="str">
        <f t="shared" si="9"/>
        <v>1 - medio</v>
      </c>
      <c r="Y32" s="111">
        <v>10</v>
      </c>
      <c r="Z32" s="111">
        <v>10</v>
      </c>
      <c r="AB32" s="121" t="s">
        <v>67</v>
      </c>
      <c r="AC32" s="121">
        <f>VLOOKUP($AB$39,X28:Z42,3,0)</f>
        <v>60</v>
      </c>
      <c r="AE32" s="109">
        <v>1</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111">
        <v>1</v>
      </c>
      <c r="V33" s="111">
        <v>15</v>
      </c>
      <c r="W33" s="111" t="s">
        <v>70</v>
      </c>
      <c r="X33" s="111" t="str">
        <f t="shared" si="9"/>
        <v>1 - adequado</v>
      </c>
      <c r="Y33" s="111">
        <v>0</v>
      </c>
      <c r="Z33" s="111">
        <v>0</v>
      </c>
      <c r="AE33" s="109">
        <v>2</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111">
        <v>2</v>
      </c>
      <c r="V34" s="111">
        <v>30</v>
      </c>
      <c r="W34" s="111" t="s">
        <v>68</v>
      </c>
      <c r="X34" s="111" t="str">
        <f t="shared" si="9"/>
        <v>2 - baixo</v>
      </c>
      <c r="Y34" s="111">
        <v>30</v>
      </c>
      <c r="Z34" s="111">
        <v>30</v>
      </c>
      <c r="AE34" s="109">
        <v>3</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v>2</v>
      </c>
      <c r="V35" s="111">
        <v>30</v>
      </c>
      <c r="W35" s="111" t="s">
        <v>69</v>
      </c>
      <c r="X35" s="111" t="str">
        <f t="shared" si="9"/>
        <v>2 - medio</v>
      </c>
      <c r="Y35" s="111">
        <v>15</v>
      </c>
      <c r="Z35" s="111">
        <v>15</v>
      </c>
      <c r="AB35" s="340" t="s">
        <v>72</v>
      </c>
      <c r="AC35" s="340"/>
      <c r="AE35" s="109">
        <v>4</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v>2</v>
      </c>
      <c r="V36" s="111">
        <v>30</v>
      </c>
      <c r="W36" s="111" t="s">
        <v>70</v>
      </c>
      <c r="X36" s="111" t="str">
        <f t="shared" si="9"/>
        <v>2 - adequado</v>
      </c>
      <c r="Y36" s="111">
        <v>0</v>
      </c>
      <c r="Z36" s="111">
        <v>0</v>
      </c>
      <c r="AB36" s="340" t="str">
        <f>CONCATENATE($P$39," - ",$AD$8)</f>
        <v>4 -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118"/>
      <c r="O37" s="118"/>
      <c r="P37" s="118"/>
      <c r="Q37" s="118"/>
      <c r="R37" s="74"/>
      <c r="U37" s="111">
        <v>3</v>
      </c>
      <c r="V37" s="111">
        <v>45</v>
      </c>
      <c r="W37" s="111" t="s">
        <v>68</v>
      </c>
      <c r="X37" s="111" t="str">
        <f t="shared" si="9"/>
        <v>3 - baixo</v>
      </c>
      <c r="Y37" s="111">
        <v>45</v>
      </c>
      <c r="Z37" s="111">
        <v>45</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111">
        <v>3</v>
      </c>
      <c r="V38" s="111">
        <v>45</v>
      </c>
      <c r="W38" s="111" t="s">
        <v>69</v>
      </c>
      <c r="X38" s="111" t="str">
        <f t="shared" si="9"/>
        <v>3 - medio</v>
      </c>
      <c r="Y38" s="111">
        <v>25</v>
      </c>
      <c r="Z38" s="111">
        <v>25</v>
      </c>
      <c r="AB38" s="340" t="s">
        <v>73</v>
      </c>
      <c r="AC38" s="340"/>
      <c r="AI38" s="30">
        <v>0.8</v>
      </c>
      <c r="AK38" s="109"/>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109" t="s">
        <v>167</v>
      </c>
      <c r="P39" s="341">
        <v>4</v>
      </c>
      <c r="Q39" s="341"/>
      <c r="R39" s="26"/>
      <c r="U39" s="111">
        <v>3</v>
      </c>
      <c r="V39" s="111">
        <v>45</v>
      </c>
      <c r="W39" s="111" t="s">
        <v>70</v>
      </c>
      <c r="X39" s="111" t="str">
        <f t="shared" si="9"/>
        <v>3 - adequado</v>
      </c>
      <c r="Y39" s="111">
        <v>0</v>
      </c>
      <c r="Z39" s="111">
        <v>0</v>
      </c>
      <c r="AB39" s="340" t="str">
        <f>CONCATENATE($P$39," - ",$AD$22)</f>
        <v>4 -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104"/>
      <c r="P40" s="104"/>
      <c r="Q40" s="104"/>
      <c r="R40" s="26"/>
      <c r="U40" s="111">
        <v>4</v>
      </c>
      <c r="V40" s="111">
        <v>60</v>
      </c>
      <c r="W40" s="111" t="s">
        <v>68</v>
      </c>
      <c r="X40" s="111" t="str">
        <f t="shared" si="9"/>
        <v>4 - baixo</v>
      </c>
      <c r="Y40" s="111">
        <v>60</v>
      </c>
      <c r="Z40" s="111">
        <v>60</v>
      </c>
      <c r="AI40" s="30">
        <v>1</v>
      </c>
      <c r="AO40" s="10"/>
      <c r="AP40" s="334" t="str">
        <f>O105</f>
        <v>Ácido Bórico</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U41" s="111">
        <v>4</v>
      </c>
      <c r="V41" s="111">
        <v>60</v>
      </c>
      <c r="W41" s="111" t="s">
        <v>69</v>
      </c>
      <c r="X41" s="111" t="str">
        <f t="shared" si="9"/>
        <v>4 - medio</v>
      </c>
      <c r="Y41" s="111">
        <v>30</v>
      </c>
      <c r="Z41" s="111">
        <v>30</v>
      </c>
      <c r="AO41" s="10"/>
      <c r="AP41" s="334" t="str">
        <f>O106</f>
        <v>Sulfato de cobre</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U42" s="111">
        <v>4</v>
      </c>
      <c r="V42" s="111">
        <v>60</v>
      </c>
      <c r="W42" s="111" t="s">
        <v>70</v>
      </c>
      <c r="X42" s="111" t="str">
        <f t="shared" si="9"/>
        <v>4 - adequado</v>
      </c>
      <c r="Y42" s="111">
        <v>0</v>
      </c>
      <c r="Z42" s="111">
        <v>0</v>
      </c>
      <c r="AO42" s="10"/>
      <c r="AP42" s="334" t="str">
        <f>O107</f>
        <v>Sulfato de manganês</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117"/>
      <c r="O43" s="117"/>
      <c r="P43" s="117"/>
      <c r="Q43" s="117"/>
      <c r="R43" s="77"/>
      <c r="AO43" s="10"/>
      <c r="AP43" s="334" t="str">
        <f>O108</f>
        <v>Sulfato de zinco</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118"/>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11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109"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109"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109"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117"/>
      <c r="O51" s="117"/>
      <c r="P51" s="117"/>
      <c r="Q51" s="117"/>
      <c r="R51" s="77"/>
      <c r="U51" s="109" t="s">
        <v>254</v>
      </c>
      <c r="V51" s="2">
        <f>V48*$Q$47</f>
        <v>0</v>
      </c>
      <c r="AT51" s="111">
        <v>0</v>
      </c>
      <c r="AU51" s="64" t="s">
        <v>267</v>
      </c>
      <c r="AV51" s="64" t="str">
        <f>CONCATENATE(AT51," - ",AU51)</f>
        <v>0 - Composto de lixo (COL)</v>
      </c>
      <c r="AW51" s="111">
        <v>15</v>
      </c>
    </row>
    <row r="52" spans="2:50" ht="20.25" customHeight="1" thickBot="1" x14ac:dyDescent="0.3">
      <c r="B52" s="391"/>
      <c r="C52" s="391"/>
      <c r="D52" s="391"/>
      <c r="E52" s="391"/>
      <c r="F52" s="391"/>
      <c r="G52" s="391"/>
      <c r="H52" s="391"/>
      <c r="I52" s="391"/>
      <c r="AT52" s="111">
        <v>1</v>
      </c>
      <c r="AU52" s="64" t="s">
        <v>267</v>
      </c>
      <c r="AV52" s="64" t="str">
        <f t="shared" ref="AV52:AV95" si="13">CONCATENATE(AT52," - ",AU52)</f>
        <v>1 - Composto de lixo (COL)</v>
      </c>
      <c r="AW52" s="111">
        <v>5</v>
      </c>
    </row>
    <row r="53" spans="2:50" ht="20.25" customHeight="1" thickBot="1" x14ac:dyDescent="0.3">
      <c r="B53" s="392"/>
      <c r="C53" s="392"/>
      <c r="D53" s="392"/>
      <c r="E53" s="392"/>
      <c r="F53" s="392"/>
      <c r="G53" s="392"/>
      <c r="H53" s="392"/>
      <c r="I53" s="392"/>
      <c r="M53" s="72"/>
      <c r="N53" s="118"/>
      <c r="O53" s="118"/>
      <c r="P53" s="118"/>
      <c r="Q53" s="118"/>
      <c r="R53" s="74"/>
      <c r="AP53" s="38"/>
      <c r="AQ53" s="38"/>
      <c r="AS53" s="38"/>
      <c r="AT53" s="111">
        <v>2</v>
      </c>
      <c r="AU53" s="64" t="s">
        <v>267</v>
      </c>
      <c r="AV53" s="64" t="str">
        <f t="shared" si="13"/>
        <v>2 - Composto de lixo (COL)</v>
      </c>
      <c r="AW53" s="111">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11">
        <v>3</v>
      </c>
      <c r="AU54" s="64" t="s">
        <v>267</v>
      </c>
      <c r="AV54" s="64" t="str">
        <f t="shared" si="13"/>
        <v>3 - Composto de lixo (COL)</v>
      </c>
      <c r="AW54" s="111">
        <v>15</v>
      </c>
    </row>
    <row r="55" spans="2:50" ht="20.25" customHeight="1" x14ac:dyDescent="0.25">
      <c r="B55" s="372" t="str">
        <f>IF(AP40&gt;0,AP40,"-")</f>
        <v>Ácido Bórico</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11">
        <v>4</v>
      </c>
      <c r="AU55" s="64" t="s">
        <v>267</v>
      </c>
      <c r="AV55" s="64" t="str">
        <f t="shared" si="13"/>
        <v>4 - Composto de lixo (COL)</v>
      </c>
      <c r="AW55" s="111">
        <v>20</v>
      </c>
    </row>
    <row r="56" spans="2:50" ht="20.25" customHeight="1" x14ac:dyDescent="0.25">
      <c r="B56" s="372" t="str">
        <f>IF(AP41&gt;0,AP41,"-")</f>
        <v>Sulfato de cobre</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11">
        <v>0</v>
      </c>
      <c r="AU56" s="64" t="s">
        <v>274</v>
      </c>
      <c r="AV56" s="64" t="str">
        <f t="shared" si="13"/>
        <v>0 - Cama de frango corte</v>
      </c>
      <c r="AW56" s="111">
        <v>3</v>
      </c>
      <c r="AX56" s="104"/>
    </row>
    <row r="57" spans="2:50" ht="20.25" customHeight="1" x14ac:dyDescent="0.25">
      <c r="B57" s="372" t="str">
        <f>IF(AP42&gt;0,AP42,"-")</f>
        <v>Sulfato de manganês</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275</v>
      </c>
      <c r="AR57" s="341"/>
      <c r="AS57" s="104"/>
      <c r="AT57" s="111">
        <v>1</v>
      </c>
      <c r="AU57" s="64" t="s">
        <v>274</v>
      </c>
      <c r="AV57" s="64" t="str">
        <f t="shared" si="13"/>
        <v>1 - Cama de frango corte</v>
      </c>
      <c r="AW57" s="111">
        <v>1</v>
      </c>
    </row>
    <row r="58" spans="2:50" ht="20.25" customHeight="1" x14ac:dyDescent="0.25">
      <c r="B58" s="372" t="str">
        <f>IF(AP43&gt;0,AP43,"-")</f>
        <v>Sulfato de zinco</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t="str">
        <f>CONCATENATE($P$39," - ",$O$42)</f>
        <v xml:space="preserve">4 - </v>
      </c>
      <c r="AR58" s="341"/>
      <c r="AS58" s="104"/>
      <c r="AT58" s="111">
        <v>2</v>
      </c>
      <c r="AU58" s="64" t="s">
        <v>274</v>
      </c>
      <c r="AV58" s="64" t="str">
        <f t="shared" si="13"/>
        <v>2 - Cama de frango corte</v>
      </c>
      <c r="AW58" s="111">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Q59" s="338">
        <f>IFERROR(VLOOKUP(AQ58,AV51:AW95,2,0),0)</f>
        <v>0</v>
      </c>
      <c r="AR59" s="338"/>
      <c r="AS59" s="104"/>
      <c r="AT59" s="111">
        <v>3</v>
      </c>
      <c r="AU59" s="64" t="s">
        <v>274</v>
      </c>
      <c r="AV59" s="64" t="str">
        <f t="shared" si="13"/>
        <v>3 - Cama de frango corte</v>
      </c>
      <c r="AW59" s="111">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11">
        <v>4</v>
      </c>
      <c r="AU60" s="64" t="s">
        <v>274</v>
      </c>
      <c r="AV60" s="64" t="str">
        <f t="shared" si="13"/>
        <v>4 - Cama de frango corte</v>
      </c>
      <c r="AW60" s="111">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11">
        <v>0</v>
      </c>
      <c r="AU61" s="64" t="s">
        <v>148</v>
      </c>
      <c r="AV61" s="64" t="str">
        <f t="shared" si="13"/>
        <v>0 - Esterco de galinha</v>
      </c>
      <c r="AW61" s="111">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111">
        <v>1</v>
      </c>
      <c r="AU62" s="64" t="s">
        <v>148</v>
      </c>
      <c r="AV62" s="64" t="str">
        <f t="shared" si="13"/>
        <v>1 - Esterco de galinha</v>
      </c>
      <c r="AW62" s="111">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111">
        <v>2</v>
      </c>
      <c r="AU63" s="64" t="s">
        <v>148</v>
      </c>
      <c r="AV63" s="64" t="str">
        <f t="shared" si="13"/>
        <v>2 - Esterco de galinha</v>
      </c>
      <c r="AW63" s="111">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111">
        <v>3</v>
      </c>
      <c r="AU64" s="64" t="s">
        <v>148</v>
      </c>
      <c r="AV64" s="64" t="str">
        <f t="shared" si="13"/>
        <v>3 - Esterco de galinha</v>
      </c>
      <c r="AW64" s="111">
        <v>3</v>
      </c>
    </row>
    <row r="65" spans="2:49" ht="20.2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111">
        <v>4</v>
      </c>
      <c r="AU65" s="64" t="s">
        <v>148</v>
      </c>
      <c r="AV65" s="64" t="str">
        <f t="shared" si="13"/>
        <v>4 - Esterco de galinha</v>
      </c>
      <c r="AW65" s="111">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111">
        <v>0</v>
      </c>
      <c r="AU66" s="64" t="s">
        <v>273</v>
      </c>
      <c r="AV66" s="64" t="str">
        <f t="shared" si="13"/>
        <v>0 - Esterco Bovino curtido</v>
      </c>
      <c r="AW66" s="111">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111">
        <v>1</v>
      </c>
      <c r="AU67" s="64" t="s">
        <v>273</v>
      </c>
      <c r="AV67" s="64" t="str">
        <f t="shared" si="13"/>
        <v>1 - Esterco Bovino curtido</v>
      </c>
      <c r="AW67" s="111">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111">
        <v>2</v>
      </c>
      <c r="AU68" s="64" t="s">
        <v>273</v>
      </c>
      <c r="AV68" s="64" t="str">
        <f t="shared" si="13"/>
        <v>2 - Esterco Bovino curtido</v>
      </c>
      <c r="AW68" s="111">
        <v>10</v>
      </c>
    </row>
    <row r="69" spans="2:49" ht="20.25" customHeight="1" thickBot="1" x14ac:dyDescent="0.3">
      <c r="M69" s="75"/>
      <c r="N69" s="117"/>
      <c r="O69" s="117"/>
      <c r="P69" s="117"/>
      <c r="Q69" s="117"/>
      <c r="R69" s="77"/>
      <c r="AT69" s="111">
        <v>3</v>
      </c>
      <c r="AU69" s="64" t="s">
        <v>273</v>
      </c>
      <c r="AV69" s="64" t="str">
        <f t="shared" si="13"/>
        <v>3 - Esterco Bovino curtido</v>
      </c>
      <c r="AW69" s="111">
        <v>15</v>
      </c>
    </row>
    <row r="70" spans="2:49" ht="20.25" customHeight="1" thickBot="1" x14ac:dyDescent="0.3">
      <c r="AT70" s="111">
        <v>4</v>
      </c>
      <c r="AU70" s="64" t="s">
        <v>273</v>
      </c>
      <c r="AV70" s="64" t="str">
        <f t="shared" si="13"/>
        <v>4 - Esterco Bovino curtido</v>
      </c>
      <c r="AW70" s="111">
        <v>20</v>
      </c>
    </row>
    <row r="71" spans="2:49" ht="20.25" customHeight="1" x14ac:dyDescent="0.25">
      <c r="M71" s="72"/>
      <c r="N71" s="118"/>
      <c r="O71" s="118"/>
      <c r="P71" s="118"/>
      <c r="Q71" s="118"/>
      <c r="R71" s="74"/>
      <c r="U71" s="371" t="s">
        <v>125</v>
      </c>
      <c r="V71" s="371" t="s">
        <v>76</v>
      </c>
      <c r="W71" s="371" t="s">
        <v>77</v>
      </c>
      <c r="X71" s="371" t="s">
        <v>265</v>
      </c>
      <c r="Y71" s="371"/>
      <c r="Z71" s="371"/>
      <c r="AT71" s="111">
        <v>0</v>
      </c>
      <c r="AU71" s="64" t="s">
        <v>273</v>
      </c>
      <c r="AV71" s="64" t="str">
        <f t="shared" si="13"/>
        <v>0 - Esterco Bovino curtido</v>
      </c>
      <c r="AW71" s="111">
        <v>15</v>
      </c>
    </row>
    <row r="72" spans="2:49" ht="20.25" customHeight="1" x14ac:dyDescent="0.25">
      <c r="M72" s="351" t="s">
        <v>198</v>
      </c>
      <c r="N72" s="352"/>
      <c r="O72" s="400" t="s">
        <v>233</v>
      </c>
      <c r="P72" s="401"/>
      <c r="Q72" s="402"/>
      <c r="R72" s="26"/>
      <c r="U72" s="371"/>
      <c r="V72" s="371"/>
      <c r="W72" s="371"/>
      <c r="X72" s="114" t="s">
        <v>81</v>
      </c>
      <c r="Y72" s="114" t="s">
        <v>82</v>
      </c>
      <c r="Z72" s="114" t="s">
        <v>83</v>
      </c>
      <c r="AT72" s="111">
        <v>1</v>
      </c>
      <c r="AU72" s="64" t="s">
        <v>266</v>
      </c>
      <c r="AV72" s="64" t="str">
        <f t="shared" si="13"/>
        <v>1 - Esterco de equino</v>
      </c>
      <c r="AW72" s="111">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111">
        <v>2</v>
      </c>
      <c r="AU73" s="64" t="s">
        <v>266</v>
      </c>
      <c r="AV73" s="64" t="str">
        <f t="shared" si="13"/>
        <v>2 - Esterco de equino</v>
      </c>
      <c r="AW73" s="111">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111">
        <v>3</v>
      </c>
      <c r="AU74" s="64" t="s">
        <v>266</v>
      </c>
      <c r="AV74" s="64" t="str">
        <f t="shared" si="13"/>
        <v>3 - Esterco de equino</v>
      </c>
      <c r="AW74" s="111">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111">
        <v>4</v>
      </c>
      <c r="AU75" s="64" t="s">
        <v>266</v>
      </c>
      <c r="AV75" s="64" t="str">
        <f t="shared" si="13"/>
        <v>4 - Esterco de equino</v>
      </c>
      <c r="AW75" s="111">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111">
        <v>0</v>
      </c>
      <c r="AU76" s="64" t="s">
        <v>273</v>
      </c>
      <c r="AV76" s="64" t="str">
        <f t="shared" si="13"/>
        <v>0 - Esterco Bovino curtido</v>
      </c>
      <c r="AW76" s="111">
        <v>3</v>
      </c>
    </row>
    <row r="77" spans="2:49" ht="20.2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T77" s="111">
        <v>1</v>
      </c>
      <c r="AU77" s="64" t="s">
        <v>268</v>
      </c>
      <c r="AV77" s="64" t="str">
        <f t="shared" si="13"/>
        <v>1 - Esterco de suínos</v>
      </c>
      <c r="AW77" s="111">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111">
        <v>2</v>
      </c>
      <c r="AU78" s="64" t="s">
        <v>268</v>
      </c>
      <c r="AV78" s="64" t="str">
        <f t="shared" si="13"/>
        <v>2 - Esterco de suínos</v>
      </c>
      <c r="AW78" s="111">
        <v>2</v>
      </c>
    </row>
    <row r="79" spans="2:49" ht="20.2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T79" s="111">
        <v>3</v>
      </c>
      <c r="AU79" s="64" t="s">
        <v>268</v>
      </c>
      <c r="AV79" s="64" t="str">
        <f t="shared" si="13"/>
        <v>3 - Esterco de suínos</v>
      </c>
      <c r="AW79" s="111">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111">
        <v>4</v>
      </c>
      <c r="AU80" s="64" t="s">
        <v>268</v>
      </c>
      <c r="AV80" s="64" t="str">
        <f t="shared" si="13"/>
        <v>4 - Esterco de suínos</v>
      </c>
      <c r="AW80" s="111">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111">
        <v>0</v>
      </c>
      <c r="AU81" s="64" t="s">
        <v>269</v>
      </c>
      <c r="AV81" s="64" t="str">
        <f t="shared" si="13"/>
        <v>0 - Esterco de ovinos</v>
      </c>
      <c r="AW81" s="111">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111">
        <v>1</v>
      </c>
      <c r="AU82" s="64" t="s">
        <v>269</v>
      </c>
      <c r="AV82" s="64" t="str">
        <f t="shared" si="13"/>
        <v>1 - Esterco de ovinos</v>
      </c>
      <c r="AW82" s="111">
        <v>1</v>
      </c>
    </row>
    <row r="83" spans="13:49" ht="20.25" customHeight="1" x14ac:dyDescent="0.25">
      <c r="M83" s="351"/>
      <c r="N83" s="352"/>
      <c r="O83" s="341"/>
      <c r="P83" s="341"/>
      <c r="Q83" s="33"/>
      <c r="R83" s="26"/>
      <c r="AT83" s="111">
        <v>2</v>
      </c>
      <c r="AU83" s="64" t="s">
        <v>269</v>
      </c>
      <c r="AV83" s="64" t="str">
        <f t="shared" si="13"/>
        <v>2 - Esterco de ovinos</v>
      </c>
      <c r="AW83" s="111">
        <v>2</v>
      </c>
    </row>
    <row r="84" spans="13:49" ht="20.25" customHeight="1" x14ac:dyDescent="0.25">
      <c r="M84" s="351"/>
      <c r="N84" s="352"/>
      <c r="O84" s="341"/>
      <c r="P84" s="341"/>
      <c r="Q84" s="33"/>
      <c r="R84" s="26"/>
      <c r="AT84" s="111">
        <v>3</v>
      </c>
      <c r="AU84" s="64" t="s">
        <v>269</v>
      </c>
      <c r="AV84" s="64" t="str">
        <f t="shared" si="13"/>
        <v>3 - Esterco de ovinos</v>
      </c>
      <c r="AW84" s="111">
        <v>3</v>
      </c>
    </row>
    <row r="85" spans="13:49" ht="20.2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T85" s="111">
        <v>4</v>
      </c>
      <c r="AU85" s="64" t="s">
        <v>269</v>
      </c>
      <c r="AV85" s="64" t="str">
        <f t="shared" si="13"/>
        <v>4 - Esterco de ovinos</v>
      </c>
      <c r="AW85" s="111">
        <v>4</v>
      </c>
    </row>
    <row r="86" spans="13:49" ht="20.2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T86" s="111">
        <v>0</v>
      </c>
      <c r="AU86" s="64" t="s">
        <v>270</v>
      </c>
      <c r="AV86" s="64" t="str">
        <f t="shared" si="13"/>
        <v>0 - Lodo de esgosto</v>
      </c>
      <c r="AW86" s="111">
        <v>3</v>
      </c>
    </row>
    <row r="87" spans="13:49" ht="20.25" customHeight="1" x14ac:dyDescent="0.25">
      <c r="M87" s="351"/>
      <c r="N87" s="352"/>
      <c r="O87" s="104"/>
      <c r="P87" s="104"/>
      <c r="Q87" s="104"/>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111">
        <v>1</v>
      </c>
      <c r="AU87" s="64" t="s">
        <v>270</v>
      </c>
      <c r="AV87" s="64" t="str">
        <f t="shared" si="13"/>
        <v>1 - Lodo de esgosto</v>
      </c>
      <c r="AW87" s="111">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111">
        <v>2</v>
      </c>
      <c r="AU88" s="64" t="s">
        <v>270</v>
      </c>
      <c r="AV88" s="64" t="str">
        <f t="shared" si="13"/>
        <v>2 - Lodo de esgosto</v>
      </c>
      <c r="AW88" s="111">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111">
        <v>3</v>
      </c>
      <c r="AU89" s="64" t="s">
        <v>270</v>
      </c>
      <c r="AV89" s="64" t="str">
        <f t="shared" si="13"/>
        <v>3 - Lodo de esgosto</v>
      </c>
      <c r="AW89" s="111">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111">
        <v>4</v>
      </c>
      <c r="AU90" s="64" t="s">
        <v>270</v>
      </c>
      <c r="AV90" s="64" t="str">
        <f t="shared" si="13"/>
        <v>4 - Lodo de esgosto</v>
      </c>
      <c r="AW90" s="111">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111">
        <v>0</v>
      </c>
      <c r="AU91" s="64" t="s">
        <v>271</v>
      </c>
      <c r="AV91" s="64" t="str">
        <f t="shared" si="13"/>
        <v>0 - Compostos orgânicos</v>
      </c>
      <c r="AW91" s="111">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111">
        <v>1</v>
      </c>
      <c r="AU92" s="64" t="s">
        <v>271</v>
      </c>
      <c r="AV92" s="64" t="str">
        <f t="shared" si="13"/>
        <v>1 - Compostos orgânicos</v>
      </c>
      <c r="AW92" s="111">
        <v>1</v>
      </c>
    </row>
    <row r="93" spans="13:49" ht="20.25" customHeight="1" x14ac:dyDescent="0.25">
      <c r="M93" s="105"/>
      <c r="N93" s="104"/>
      <c r="O93" s="104"/>
      <c r="P93" s="104"/>
      <c r="Q93" s="104"/>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111">
        <v>2</v>
      </c>
      <c r="AU93" s="64" t="s">
        <v>271</v>
      </c>
      <c r="AV93" s="64" t="str">
        <f t="shared" si="13"/>
        <v>2 - Compostos orgânicos</v>
      </c>
      <c r="AW93" s="111">
        <v>2</v>
      </c>
    </row>
    <row r="94" spans="13:49" ht="20.25" customHeight="1" x14ac:dyDescent="0.25">
      <c r="M94" s="105"/>
      <c r="N94" s="104"/>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111">
        <v>3</v>
      </c>
      <c r="AU94" s="64" t="s">
        <v>271</v>
      </c>
      <c r="AV94" s="64" t="str">
        <f t="shared" si="13"/>
        <v>3 - Compostos orgânicos</v>
      </c>
      <c r="AW94" s="111">
        <v>3</v>
      </c>
    </row>
    <row r="95" spans="13:49" ht="20.25" customHeight="1" thickBot="1" x14ac:dyDescent="0.3">
      <c r="M95" s="75"/>
      <c r="N95" s="117"/>
      <c r="O95" s="117"/>
      <c r="P95" s="117"/>
      <c r="Q95" s="117"/>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111">
        <v>4</v>
      </c>
      <c r="AU95" s="64" t="s">
        <v>271</v>
      </c>
      <c r="AV95" s="64" t="str">
        <f t="shared" si="13"/>
        <v>4 - Compostos orgânicos</v>
      </c>
      <c r="AW95" s="111">
        <v>4</v>
      </c>
    </row>
    <row r="96" spans="13:49" ht="20.25" customHeight="1" thickBot="1" x14ac:dyDescent="0.3"/>
    <row r="97" spans="1:41" ht="20.25" customHeight="1" x14ac:dyDescent="0.25">
      <c r="A97" s="59"/>
      <c r="M97" s="72"/>
      <c r="N97" s="118"/>
      <c r="O97" s="118"/>
      <c r="P97" s="118"/>
      <c r="Q97" s="118"/>
      <c r="R97" s="74"/>
    </row>
    <row r="98" spans="1:41" ht="20.2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122"/>
      <c r="M99" s="351" t="s">
        <v>243</v>
      </c>
      <c r="N99" s="361"/>
      <c r="O99" s="45">
        <f>$AC$30</f>
        <v>60</v>
      </c>
      <c r="P99" s="45">
        <f>$AC$31</f>
        <v>60</v>
      </c>
      <c r="Q99" s="45">
        <f>$AC$32</f>
        <v>60</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row>
    <row r="100" spans="1:41" ht="20.25" customHeight="1" x14ac:dyDescent="0.25">
      <c r="A100" s="104"/>
      <c r="M100" s="351" t="s">
        <v>251</v>
      </c>
      <c r="N100" s="361"/>
      <c r="O100" s="2">
        <f>AS21</f>
        <v>60</v>
      </c>
      <c r="P100" s="2">
        <f>AT21</f>
        <v>60</v>
      </c>
      <c r="Q100" s="2">
        <f>AU21</f>
        <v>60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t="s">
        <v>301</v>
      </c>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t="s">
        <v>238</v>
      </c>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t="s">
        <v>96</v>
      </c>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t="s">
        <v>97</v>
      </c>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20.2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O68:Q68"/>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AQ59:AR5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$AE$31:$AE$35</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7"/>
  <sheetViews>
    <sheetView showGridLines="0" zoomScaleNormal="100" workbookViewId="0">
      <selection activeCell="B2" sqref="B2:F17"/>
    </sheetView>
  </sheetViews>
  <sheetFormatPr defaultRowHeight="15" x14ac:dyDescent="0.25"/>
  <cols>
    <col min="2" max="2" width="14.140625" customWidth="1"/>
    <col min="9" max="9" width="21.7109375" bestFit="1" customWidth="1"/>
  </cols>
  <sheetData>
    <row r="2" spans="2:16" ht="20.25" customHeight="1" x14ac:dyDescent="0.25">
      <c r="B2" s="462" t="s">
        <v>358</v>
      </c>
      <c r="C2" s="462"/>
      <c r="D2" s="462"/>
      <c r="E2" s="462"/>
      <c r="F2" s="462"/>
      <c r="G2" s="149"/>
      <c r="H2" s="149"/>
    </row>
    <row r="3" spans="2:16" ht="20.25" customHeight="1" x14ac:dyDescent="0.25">
      <c r="B3" s="463"/>
      <c r="C3" s="463"/>
      <c r="D3" s="463"/>
      <c r="E3" s="463"/>
      <c r="F3" s="463"/>
      <c r="G3" s="149"/>
      <c r="H3" s="457" t="s">
        <v>125</v>
      </c>
      <c r="I3" s="457" t="s">
        <v>76</v>
      </c>
      <c r="J3" s="457" t="s">
        <v>78</v>
      </c>
      <c r="K3" s="457"/>
      <c r="L3" s="457"/>
      <c r="M3" s="457"/>
      <c r="O3" s="455" t="s">
        <v>296</v>
      </c>
      <c r="P3" s="455"/>
    </row>
    <row r="4" spans="2:16" ht="20.25" customHeight="1" x14ac:dyDescent="0.25">
      <c r="B4" s="150" t="s">
        <v>324</v>
      </c>
      <c r="C4" s="456" t="s">
        <v>364</v>
      </c>
      <c r="D4" s="456"/>
      <c r="E4" s="456"/>
      <c r="F4" s="456"/>
      <c r="H4" s="461"/>
      <c r="I4" s="461"/>
      <c r="J4" s="162" t="s">
        <v>98</v>
      </c>
      <c r="K4" s="162" t="s">
        <v>99</v>
      </c>
      <c r="L4" s="163" t="s">
        <v>100</v>
      </c>
      <c r="M4" s="162" t="s">
        <v>180</v>
      </c>
    </row>
    <row r="5" spans="2:16" x14ac:dyDescent="0.25">
      <c r="B5" s="151" t="s">
        <v>434</v>
      </c>
      <c r="C5" s="453">
        <v>60</v>
      </c>
      <c r="D5" s="453"/>
      <c r="E5" s="453"/>
      <c r="F5" s="453"/>
      <c r="H5" s="458" t="s">
        <v>170</v>
      </c>
      <c r="I5" s="156" t="s">
        <v>126</v>
      </c>
      <c r="J5" s="157">
        <v>51.8</v>
      </c>
      <c r="K5" s="157">
        <v>1</v>
      </c>
      <c r="L5" s="158">
        <v>90.16</v>
      </c>
      <c r="M5" s="157">
        <f t="shared" ref="M5:M17" si="0">J5+K5</f>
        <v>52.8</v>
      </c>
    </row>
    <row r="6" spans="2:16" x14ac:dyDescent="0.25">
      <c r="B6" s="151" t="s">
        <v>348</v>
      </c>
      <c r="C6" s="453">
        <v>50</v>
      </c>
      <c r="D6" s="453"/>
      <c r="E6" s="453"/>
      <c r="F6" s="453"/>
      <c r="G6" s="149"/>
      <c r="H6" s="459"/>
      <c r="I6" s="153" t="s">
        <v>127</v>
      </c>
      <c r="J6" s="154">
        <v>28.8</v>
      </c>
      <c r="K6" s="154">
        <v>17.399999999999999</v>
      </c>
      <c r="L6" s="155">
        <v>89.01</v>
      </c>
      <c r="M6" s="154">
        <f t="shared" si="0"/>
        <v>46.2</v>
      </c>
    </row>
    <row r="7" spans="2:16" x14ac:dyDescent="0.25">
      <c r="B7" s="151" t="s">
        <v>349</v>
      </c>
      <c r="C7" s="453">
        <v>70</v>
      </c>
      <c r="D7" s="453"/>
      <c r="E7" s="453"/>
      <c r="F7" s="453"/>
      <c r="H7" s="459"/>
      <c r="I7" s="153" t="s">
        <v>128</v>
      </c>
      <c r="J7" s="154">
        <v>41.78</v>
      </c>
      <c r="K7" s="154">
        <v>2.2200000000000002</v>
      </c>
      <c r="L7" s="155">
        <v>80.239999999999995</v>
      </c>
      <c r="M7" s="154">
        <f t="shared" si="0"/>
        <v>44</v>
      </c>
    </row>
    <row r="8" spans="2:16" x14ac:dyDescent="0.25">
      <c r="B8" s="151" t="s">
        <v>350</v>
      </c>
      <c r="C8" s="453">
        <v>70</v>
      </c>
      <c r="D8" s="453"/>
      <c r="E8" s="453"/>
      <c r="F8" s="453"/>
      <c r="H8" s="459"/>
      <c r="I8" s="153" t="s">
        <v>129</v>
      </c>
      <c r="J8" s="154">
        <v>28</v>
      </c>
      <c r="K8" s="154">
        <v>15</v>
      </c>
      <c r="L8" s="155">
        <v>80</v>
      </c>
      <c r="M8" s="154">
        <f t="shared" si="0"/>
        <v>43</v>
      </c>
    </row>
    <row r="9" spans="2:16" x14ac:dyDescent="0.25">
      <c r="B9" s="151" t="s">
        <v>351</v>
      </c>
      <c r="C9" s="453">
        <v>70</v>
      </c>
      <c r="D9" s="453"/>
      <c r="E9" s="453"/>
      <c r="F9" s="453"/>
      <c r="H9" s="459"/>
      <c r="I9" s="153" t="s">
        <v>130</v>
      </c>
      <c r="J9" s="154">
        <v>32</v>
      </c>
      <c r="K9" s="154">
        <v>15</v>
      </c>
      <c r="L9" s="155">
        <v>94</v>
      </c>
      <c r="M9" s="154">
        <f t="shared" si="0"/>
        <v>47</v>
      </c>
    </row>
    <row r="10" spans="2:16" x14ac:dyDescent="0.25">
      <c r="B10" s="151" t="s">
        <v>352</v>
      </c>
      <c r="C10" s="453">
        <v>70</v>
      </c>
      <c r="D10" s="453"/>
      <c r="E10" s="453"/>
      <c r="F10" s="453"/>
      <c r="H10" s="459"/>
      <c r="I10" s="153" t="s">
        <v>131</v>
      </c>
      <c r="J10" s="154">
        <v>51.6</v>
      </c>
      <c r="K10" s="154">
        <v>2</v>
      </c>
      <c r="L10" s="155">
        <v>82.1</v>
      </c>
      <c r="M10" s="154">
        <f t="shared" si="0"/>
        <v>53.6</v>
      </c>
    </row>
    <row r="11" spans="2:16" x14ac:dyDescent="0.25">
      <c r="B11" s="151" t="s">
        <v>353</v>
      </c>
      <c r="C11" s="453">
        <v>60</v>
      </c>
      <c r="D11" s="453"/>
      <c r="E11" s="453"/>
      <c r="F11" s="453"/>
      <c r="H11" s="459"/>
      <c r="I11" s="153" t="s">
        <v>132</v>
      </c>
      <c r="J11" s="154">
        <v>29.7</v>
      </c>
      <c r="K11" s="154">
        <v>21.6</v>
      </c>
      <c r="L11" s="155">
        <v>99.3</v>
      </c>
      <c r="M11" s="154">
        <f t="shared" si="0"/>
        <v>51.3</v>
      </c>
    </row>
    <row r="12" spans="2:16" x14ac:dyDescent="0.25">
      <c r="B12" s="151" t="s">
        <v>354</v>
      </c>
      <c r="C12" s="453">
        <v>80</v>
      </c>
      <c r="D12" s="453"/>
      <c r="E12" s="453"/>
      <c r="F12" s="453"/>
      <c r="H12" s="459"/>
      <c r="I12" s="153" t="s">
        <v>133</v>
      </c>
      <c r="J12" s="154">
        <v>40</v>
      </c>
      <c r="K12" s="154">
        <v>20</v>
      </c>
      <c r="L12" s="155">
        <v>96</v>
      </c>
      <c r="M12" s="154">
        <f t="shared" si="0"/>
        <v>60</v>
      </c>
    </row>
    <row r="13" spans="2:16" x14ac:dyDescent="0.25">
      <c r="B13" s="151" t="s">
        <v>359</v>
      </c>
      <c r="C13" s="453">
        <v>70</v>
      </c>
      <c r="D13" s="453"/>
      <c r="E13" s="453"/>
      <c r="F13" s="453"/>
      <c r="H13" s="459"/>
      <c r="I13" s="153" t="s">
        <v>134</v>
      </c>
      <c r="J13" s="154">
        <v>34.299999999999997</v>
      </c>
      <c r="K13" s="154">
        <v>16.2</v>
      </c>
      <c r="L13" s="155">
        <v>95.25</v>
      </c>
      <c r="M13" s="154">
        <f t="shared" si="0"/>
        <v>50.5</v>
      </c>
    </row>
    <row r="14" spans="2:16" x14ac:dyDescent="0.25">
      <c r="B14" s="151" t="s">
        <v>360</v>
      </c>
      <c r="C14" s="453">
        <v>70</v>
      </c>
      <c r="D14" s="453"/>
      <c r="E14" s="453"/>
      <c r="F14" s="453"/>
      <c r="H14" s="459"/>
      <c r="I14" s="153" t="s">
        <v>138</v>
      </c>
      <c r="J14" s="154">
        <v>53.2</v>
      </c>
      <c r="K14" s="154">
        <v>1</v>
      </c>
      <c r="L14" s="155">
        <v>90.52</v>
      </c>
      <c r="M14" s="154">
        <f t="shared" si="0"/>
        <v>54.2</v>
      </c>
    </row>
    <row r="15" spans="2:16" x14ac:dyDescent="0.25">
      <c r="B15" s="151" t="s">
        <v>355</v>
      </c>
      <c r="C15" s="453">
        <v>60</v>
      </c>
      <c r="D15" s="453"/>
      <c r="E15" s="453"/>
      <c r="F15" s="453"/>
      <c r="H15" s="459"/>
      <c r="I15" s="153" t="s">
        <v>137</v>
      </c>
      <c r="J15" s="154">
        <v>42.1</v>
      </c>
      <c r="K15" s="154">
        <v>5.25</v>
      </c>
      <c r="L15" s="155">
        <v>77.8</v>
      </c>
      <c r="M15" s="154">
        <f t="shared" si="0"/>
        <v>47.35</v>
      </c>
    </row>
    <row r="16" spans="2:16" x14ac:dyDescent="0.25">
      <c r="B16" s="151" t="s">
        <v>356</v>
      </c>
      <c r="C16" s="453">
        <v>50</v>
      </c>
      <c r="D16" s="453"/>
      <c r="E16" s="453"/>
      <c r="F16" s="453"/>
      <c r="H16" s="459"/>
      <c r="I16" s="153" t="s">
        <v>136</v>
      </c>
      <c r="J16" s="154">
        <v>48</v>
      </c>
      <c r="K16" s="154">
        <v>5</v>
      </c>
      <c r="L16" s="155">
        <v>90.62</v>
      </c>
      <c r="M16" s="154">
        <f t="shared" si="0"/>
        <v>53</v>
      </c>
    </row>
    <row r="17" spans="2:13" x14ac:dyDescent="0.25">
      <c r="B17" s="152" t="s">
        <v>357</v>
      </c>
      <c r="C17" s="454">
        <v>50</v>
      </c>
      <c r="D17" s="454"/>
      <c r="E17" s="454"/>
      <c r="F17" s="454"/>
      <c r="H17" s="460"/>
      <c r="I17" s="159" t="s">
        <v>135</v>
      </c>
      <c r="J17" s="160">
        <v>36</v>
      </c>
      <c r="K17" s="160">
        <v>15</v>
      </c>
      <c r="L17" s="161">
        <v>92.54</v>
      </c>
      <c r="M17" s="160">
        <f t="shared" si="0"/>
        <v>51</v>
      </c>
    </row>
  </sheetData>
  <mergeCells count="20">
    <mergeCell ref="I3:I4"/>
    <mergeCell ref="B2:F3"/>
    <mergeCell ref="C13:F13"/>
    <mergeCell ref="C14:F14"/>
    <mergeCell ref="C15:F15"/>
    <mergeCell ref="C16:F16"/>
    <mergeCell ref="C17:F17"/>
    <mergeCell ref="O3:P3"/>
    <mergeCell ref="C9:F9"/>
    <mergeCell ref="C10:F10"/>
    <mergeCell ref="C11:F11"/>
    <mergeCell ref="C12:F12"/>
    <mergeCell ref="C4:F4"/>
    <mergeCell ref="C5:F5"/>
    <mergeCell ref="C6:F6"/>
    <mergeCell ref="C7:F7"/>
    <mergeCell ref="C8:F8"/>
    <mergeCell ref="J3:M3"/>
    <mergeCell ref="H5:H17"/>
    <mergeCell ref="H3:H4"/>
  </mergeCells>
  <phoneticPr fontId="15" type="noConversion"/>
  <hyperlinks>
    <hyperlink ref="O3" location="Apresentação!A1" display="Voltar"/>
  </hyperlinks>
  <pageMargins left="0.511811024" right="0.511811024" top="0.78740157499999996" bottom="0.78740157499999996" header="0.31496062000000002" footer="0.31496062000000002"/>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7"/>
  <sheetViews>
    <sheetView showGridLines="0" zoomScaleNormal="100" workbookViewId="0">
      <selection activeCell="M3" sqref="M3:N3"/>
    </sheetView>
  </sheetViews>
  <sheetFormatPr defaultRowHeight="15" x14ac:dyDescent="0.25"/>
  <cols>
    <col min="2" max="5" width="14.140625" customWidth="1"/>
    <col min="6" max="6" width="17.140625" customWidth="1"/>
    <col min="7" max="7" width="17.28515625" customWidth="1"/>
    <col min="8" max="8" width="14.5703125" customWidth="1"/>
    <col min="9" max="9" width="16.7109375" customWidth="1"/>
    <col min="10" max="10" width="14.7109375" customWidth="1"/>
  </cols>
  <sheetData>
    <row r="2" spans="2:14" ht="20.25" customHeight="1" x14ac:dyDescent="0.25">
      <c r="B2" s="464" t="s">
        <v>467</v>
      </c>
      <c r="C2" s="464"/>
      <c r="D2" s="464"/>
      <c r="E2" s="464"/>
      <c r="F2" s="464"/>
      <c r="G2" s="464"/>
      <c r="H2" s="464"/>
      <c r="I2" s="464"/>
      <c r="J2" s="464"/>
      <c r="K2" s="149"/>
    </row>
    <row r="3" spans="2:14" ht="20.25" customHeight="1" x14ac:dyDescent="0.25">
      <c r="B3" s="465"/>
      <c r="C3" s="465"/>
      <c r="D3" s="465"/>
      <c r="E3" s="465"/>
      <c r="F3" s="465"/>
      <c r="G3" s="465"/>
      <c r="H3" s="465"/>
      <c r="I3" s="465"/>
      <c r="J3" s="465"/>
      <c r="K3" s="149"/>
      <c r="M3" s="455" t="s">
        <v>296</v>
      </c>
      <c r="N3" s="455"/>
    </row>
    <row r="4" spans="2:14" ht="20.25" customHeight="1" x14ac:dyDescent="0.25">
      <c r="B4" s="202" t="s">
        <v>324</v>
      </c>
      <c r="C4" s="466" t="s">
        <v>438</v>
      </c>
      <c r="D4" s="466"/>
      <c r="E4" s="466"/>
      <c r="F4" s="466"/>
      <c r="G4" s="466" t="s">
        <v>439</v>
      </c>
      <c r="H4" s="466"/>
      <c r="I4" s="466"/>
      <c r="J4" s="466"/>
    </row>
    <row r="5" spans="2:14" x14ac:dyDescent="0.25">
      <c r="B5" s="150" t="s">
        <v>434</v>
      </c>
      <c r="C5" s="456" t="s">
        <v>437</v>
      </c>
      <c r="D5" s="456"/>
      <c r="E5" s="456"/>
      <c r="F5" s="456"/>
      <c r="G5" s="456" t="s">
        <v>453</v>
      </c>
      <c r="H5" s="456"/>
      <c r="I5" s="456"/>
      <c r="J5" s="456"/>
    </row>
    <row r="6" spans="2:14" x14ac:dyDescent="0.25">
      <c r="B6" s="467" t="s">
        <v>348</v>
      </c>
      <c r="C6" s="471" t="s">
        <v>440</v>
      </c>
      <c r="D6" s="471"/>
      <c r="E6" s="471"/>
      <c r="F6" s="471"/>
      <c r="G6" s="471"/>
      <c r="H6" s="471"/>
      <c r="I6" s="471"/>
      <c r="J6" s="471"/>
      <c r="K6" s="149"/>
    </row>
    <row r="7" spans="2:14" ht="15" customHeight="1" x14ac:dyDescent="0.25">
      <c r="B7" s="473"/>
      <c r="C7" s="469" t="s">
        <v>461</v>
      </c>
      <c r="D7" s="469"/>
      <c r="E7" s="469"/>
      <c r="F7" s="469"/>
      <c r="G7" s="469" t="s">
        <v>441</v>
      </c>
      <c r="H7" s="469"/>
      <c r="I7" s="469"/>
      <c r="J7" s="469"/>
    </row>
    <row r="8" spans="2:14" x14ac:dyDescent="0.25">
      <c r="B8" s="468"/>
      <c r="C8" s="470"/>
      <c r="D8" s="470"/>
      <c r="E8" s="470"/>
      <c r="F8" s="470"/>
      <c r="G8" s="470"/>
      <c r="H8" s="470"/>
      <c r="I8" s="470"/>
      <c r="J8" s="470"/>
    </row>
    <row r="9" spans="2:14" x14ac:dyDescent="0.25">
      <c r="B9" s="150" t="s">
        <v>349</v>
      </c>
      <c r="C9" s="474" t="s">
        <v>458</v>
      </c>
      <c r="D9" s="474"/>
      <c r="E9" s="474"/>
      <c r="F9" s="474"/>
      <c r="G9" s="456" t="s">
        <v>459</v>
      </c>
      <c r="H9" s="456"/>
      <c r="I9" s="456"/>
      <c r="J9" s="456"/>
    </row>
    <row r="10" spans="2:14" x14ac:dyDescent="0.25">
      <c r="B10" s="467" t="s">
        <v>350</v>
      </c>
      <c r="C10" s="475" t="s">
        <v>460</v>
      </c>
      <c r="D10" s="475"/>
      <c r="E10" s="475"/>
      <c r="F10" s="475"/>
      <c r="G10" s="200"/>
      <c r="H10" s="200"/>
      <c r="I10" s="200"/>
      <c r="J10" s="200"/>
    </row>
    <row r="11" spans="2:14" x14ac:dyDescent="0.25">
      <c r="B11" s="473"/>
      <c r="C11" s="469" t="s">
        <v>442</v>
      </c>
      <c r="D11" s="469"/>
      <c r="E11" s="469"/>
      <c r="F11" s="469"/>
      <c r="G11" s="199"/>
      <c r="H11" s="199"/>
      <c r="I11" s="199"/>
      <c r="J11" s="199"/>
    </row>
    <row r="12" spans="2:14" ht="15" customHeight="1" x14ac:dyDescent="0.25">
      <c r="B12" s="473"/>
      <c r="C12" s="469" t="s">
        <v>443</v>
      </c>
      <c r="D12" s="469"/>
      <c r="E12" s="469"/>
      <c r="F12" s="469"/>
      <c r="G12" s="199"/>
      <c r="H12" s="199"/>
      <c r="I12" s="199"/>
      <c r="J12" s="199"/>
    </row>
    <row r="13" spans="2:14" x14ac:dyDescent="0.25">
      <c r="B13" s="473"/>
      <c r="C13" s="469"/>
      <c r="D13" s="469"/>
      <c r="E13" s="469"/>
      <c r="F13" s="469"/>
      <c r="G13" s="199"/>
      <c r="H13" s="199"/>
      <c r="I13" s="199"/>
      <c r="J13" s="199"/>
    </row>
    <row r="14" spans="2:14" x14ac:dyDescent="0.25">
      <c r="B14" s="468"/>
      <c r="C14" s="454"/>
      <c r="D14" s="454"/>
      <c r="E14" s="454"/>
      <c r="F14" s="454"/>
      <c r="G14" s="454"/>
      <c r="H14" s="454"/>
      <c r="I14" s="454"/>
      <c r="J14" s="454"/>
    </row>
    <row r="15" spans="2:14" x14ac:dyDescent="0.25">
      <c r="B15" s="151" t="s">
        <v>351</v>
      </c>
      <c r="C15" s="472" t="s">
        <v>444</v>
      </c>
      <c r="D15" s="472"/>
      <c r="E15" s="472"/>
      <c r="F15" s="472"/>
      <c r="G15" s="453" t="s">
        <v>455</v>
      </c>
      <c r="H15" s="453"/>
      <c r="I15" s="453"/>
      <c r="J15" s="453"/>
    </row>
    <row r="16" spans="2:14" x14ac:dyDescent="0.25">
      <c r="B16" s="467" t="s">
        <v>352</v>
      </c>
      <c r="C16" s="471" t="s">
        <v>462</v>
      </c>
      <c r="D16" s="471"/>
      <c r="E16" s="471"/>
      <c r="F16" s="471"/>
      <c r="G16" s="471" t="s">
        <v>463</v>
      </c>
      <c r="H16" s="471"/>
      <c r="I16" s="471"/>
      <c r="J16" s="471"/>
    </row>
    <row r="17" spans="2:10" x14ac:dyDescent="0.25">
      <c r="B17" s="468"/>
      <c r="C17" s="454" t="s">
        <v>445</v>
      </c>
      <c r="D17" s="454"/>
      <c r="E17" s="454"/>
      <c r="F17" s="454"/>
      <c r="G17" s="454"/>
      <c r="H17" s="454"/>
      <c r="I17" s="454"/>
      <c r="J17" s="454"/>
    </row>
    <row r="18" spans="2:10" x14ac:dyDescent="0.25">
      <c r="B18" s="150" t="s">
        <v>353</v>
      </c>
      <c r="C18" s="456" t="s">
        <v>446</v>
      </c>
      <c r="D18" s="456"/>
      <c r="E18" s="456"/>
      <c r="F18" s="456"/>
      <c r="G18" s="456" t="s">
        <v>464</v>
      </c>
      <c r="H18" s="456"/>
      <c r="I18" s="456"/>
      <c r="J18" s="456"/>
    </row>
    <row r="19" spans="2:10" x14ac:dyDescent="0.25">
      <c r="B19" s="150" t="s">
        <v>354</v>
      </c>
      <c r="C19" s="456" t="s">
        <v>447</v>
      </c>
      <c r="D19" s="456"/>
      <c r="E19" s="456"/>
      <c r="F19" s="456"/>
      <c r="G19" s="456" t="s">
        <v>465</v>
      </c>
      <c r="H19" s="456"/>
      <c r="I19" s="456"/>
      <c r="J19" s="456"/>
    </row>
    <row r="20" spans="2:10" x14ac:dyDescent="0.25">
      <c r="B20" s="150" t="s">
        <v>359</v>
      </c>
      <c r="C20" s="456" t="s">
        <v>448</v>
      </c>
      <c r="D20" s="456"/>
      <c r="E20" s="456"/>
      <c r="F20" s="456"/>
      <c r="G20" s="456" t="s">
        <v>454</v>
      </c>
      <c r="H20" s="456"/>
      <c r="I20" s="456"/>
      <c r="J20" s="456"/>
    </row>
    <row r="21" spans="2:10" x14ac:dyDescent="0.25">
      <c r="B21" s="150" t="s">
        <v>360</v>
      </c>
      <c r="C21" s="456" t="s">
        <v>449</v>
      </c>
      <c r="D21" s="456"/>
      <c r="E21" s="456"/>
      <c r="F21" s="456"/>
      <c r="G21" s="456" t="s">
        <v>457</v>
      </c>
      <c r="H21" s="456"/>
      <c r="I21" s="456"/>
      <c r="J21" s="456"/>
    </row>
    <row r="22" spans="2:10" x14ac:dyDescent="0.25">
      <c r="B22" s="150" t="s">
        <v>355</v>
      </c>
      <c r="C22" s="456" t="s">
        <v>450</v>
      </c>
      <c r="D22" s="456"/>
      <c r="E22" s="456"/>
      <c r="F22" s="456"/>
      <c r="G22" s="456" t="s">
        <v>466</v>
      </c>
      <c r="H22" s="456"/>
      <c r="I22" s="456"/>
      <c r="J22" s="456"/>
    </row>
    <row r="23" spans="2:10" x14ac:dyDescent="0.25">
      <c r="B23" s="150" t="s">
        <v>356</v>
      </c>
      <c r="C23" s="456" t="s">
        <v>451</v>
      </c>
      <c r="D23" s="456"/>
      <c r="E23" s="456"/>
      <c r="F23" s="456"/>
      <c r="G23" s="456"/>
      <c r="H23" s="456"/>
      <c r="I23" s="456"/>
      <c r="J23" s="456"/>
    </row>
    <row r="24" spans="2:10" x14ac:dyDescent="0.25">
      <c r="B24" s="150" t="s">
        <v>357</v>
      </c>
      <c r="C24" s="456" t="s">
        <v>452</v>
      </c>
      <c r="D24" s="456"/>
      <c r="E24" s="456"/>
      <c r="F24" s="456"/>
      <c r="G24" s="456"/>
      <c r="H24" s="456"/>
      <c r="I24" s="456"/>
      <c r="J24" s="456"/>
    </row>
    <row r="27" spans="2:10" x14ac:dyDescent="0.25">
      <c r="B27" s="201" t="s">
        <v>456</v>
      </c>
    </row>
  </sheetData>
  <mergeCells count="40">
    <mergeCell ref="C23:F23"/>
    <mergeCell ref="C24:F24"/>
    <mergeCell ref="C7:F8"/>
    <mergeCell ref="B6:B8"/>
    <mergeCell ref="C9:F9"/>
    <mergeCell ref="C10:F10"/>
    <mergeCell ref="C11:F11"/>
    <mergeCell ref="C17:F17"/>
    <mergeCell ref="C18:F18"/>
    <mergeCell ref="C19:F19"/>
    <mergeCell ref="C20:F20"/>
    <mergeCell ref="C21:F21"/>
    <mergeCell ref="C22:F22"/>
    <mergeCell ref="C12:F13"/>
    <mergeCell ref="B10:B14"/>
    <mergeCell ref="C16:F16"/>
    <mergeCell ref="G21:J21"/>
    <mergeCell ref="G22:J22"/>
    <mergeCell ref="G23:J23"/>
    <mergeCell ref="G24:J24"/>
    <mergeCell ref="C4:F4"/>
    <mergeCell ref="C5:F5"/>
    <mergeCell ref="C6:F6"/>
    <mergeCell ref="C14:F14"/>
    <mergeCell ref="C15:F15"/>
    <mergeCell ref="G5:J5"/>
    <mergeCell ref="G6:J6"/>
    <mergeCell ref="G9:J9"/>
    <mergeCell ref="G14:J14"/>
    <mergeCell ref="G15:J15"/>
    <mergeCell ref="G17:J17"/>
    <mergeCell ref="G18:J18"/>
    <mergeCell ref="G19:J19"/>
    <mergeCell ref="G20:J20"/>
    <mergeCell ref="B2:J3"/>
    <mergeCell ref="M3:N3"/>
    <mergeCell ref="G4:J4"/>
    <mergeCell ref="B16:B17"/>
    <mergeCell ref="G7:J8"/>
    <mergeCell ref="G16:J16"/>
  </mergeCells>
  <phoneticPr fontId="15" type="noConversion"/>
  <hyperlinks>
    <hyperlink ref="M3" location="Apresentação!A1" display="Voltar"/>
  </hyperlinks>
  <pageMargins left="0.511811024" right="0.511811024" top="0.78740157499999996" bottom="0.78740157499999996" header="0.31496062000000002" footer="0.31496062000000002"/>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84"/>
  <sheetViews>
    <sheetView showGridLines="0" workbookViewId="0">
      <selection activeCell="K5" sqref="K5:L5"/>
    </sheetView>
  </sheetViews>
  <sheetFormatPr defaultRowHeight="15" x14ac:dyDescent="0.25"/>
  <cols>
    <col min="2" max="2" width="13.42578125" customWidth="1"/>
    <col min="3" max="3" width="31" customWidth="1"/>
    <col min="4" max="4" width="10.5703125" customWidth="1"/>
    <col min="5" max="5" width="14.140625" customWidth="1"/>
    <col min="6" max="6" width="30" bestFit="1" customWidth="1"/>
    <col min="8" max="8" width="19.140625" customWidth="1"/>
    <col min="9" max="9" width="17.85546875" customWidth="1"/>
  </cols>
  <sheetData>
    <row r="3" spans="2:12" x14ac:dyDescent="0.25">
      <c r="B3" s="476" t="s">
        <v>432</v>
      </c>
      <c r="C3" s="476"/>
      <c r="D3" s="476"/>
      <c r="E3" s="476"/>
      <c r="F3" s="476"/>
    </row>
    <row r="4" spans="2:12" ht="15.75" thickBot="1" x14ac:dyDescent="0.3">
      <c r="B4" s="477"/>
      <c r="C4" s="477"/>
      <c r="D4" s="477"/>
      <c r="E4" s="477"/>
      <c r="F4" s="477"/>
    </row>
    <row r="5" spans="2:12" ht="18" x14ac:dyDescent="0.25">
      <c r="B5" s="479" t="s">
        <v>365</v>
      </c>
      <c r="C5" s="488" t="s">
        <v>366</v>
      </c>
      <c r="D5" s="489"/>
      <c r="E5" s="489"/>
      <c r="F5" s="490"/>
      <c r="G5" s="151"/>
      <c r="H5" s="487" t="s">
        <v>367</v>
      </c>
      <c r="I5" s="487"/>
      <c r="K5" s="455" t="s">
        <v>296</v>
      </c>
      <c r="L5" s="455"/>
    </row>
    <row r="6" spans="2:12" ht="16.5" customHeight="1" thickBot="1" x14ac:dyDescent="0.3">
      <c r="B6" s="480"/>
      <c r="C6" s="491"/>
      <c r="D6" s="492"/>
      <c r="E6" s="492"/>
      <c r="F6" s="493"/>
      <c r="G6" s="151"/>
      <c r="H6" s="165"/>
      <c r="I6" s="164"/>
    </row>
    <row r="7" spans="2:12" ht="16.5" thickBot="1" x14ac:dyDescent="0.3">
      <c r="B7" s="180"/>
      <c r="C7" s="175" t="s">
        <v>368</v>
      </c>
      <c r="D7" s="176" t="s">
        <v>369</v>
      </c>
      <c r="E7" s="177">
        <f>B7*0.394</f>
        <v>0</v>
      </c>
      <c r="F7" s="175" t="s">
        <v>370</v>
      </c>
      <c r="G7" s="151"/>
      <c r="H7" s="166" t="s">
        <v>371</v>
      </c>
      <c r="I7" s="164"/>
    </row>
    <row r="8" spans="2:12" ht="16.5" thickBot="1" x14ac:dyDescent="0.3">
      <c r="B8" s="180"/>
      <c r="C8" s="175" t="s">
        <v>372</v>
      </c>
      <c r="D8" s="176" t="s">
        <v>369</v>
      </c>
      <c r="E8" s="177">
        <f>B8*39.37</f>
        <v>0</v>
      </c>
      <c r="F8" s="175" t="s">
        <v>370</v>
      </c>
      <c r="G8" s="151"/>
      <c r="H8" s="165"/>
      <c r="I8" s="164"/>
    </row>
    <row r="9" spans="2:12" ht="18.75" thickBot="1" x14ac:dyDescent="0.3">
      <c r="B9" s="180"/>
      <c r="C9" s="175" t="s">
        <v>372</v>
      </c>
      <c r="D9" s="176" t="s">
        <v>369</v>
      </c>
      <c r="E9" s="177">
        <f>B9*3.281</f>
        <v>0</v>
      </c>
      <c r="F9" s="175" t="s">
        <v>373</v>
      </c>
      <c r="G9" s="151"/>
      <c r="H9" s="478" t="s">
        <v>374</v>
      </c>
      <c r="I9" s="478"/>
    </row>
    <row r="10" spans="2:12" ht="16.5" thickBot="1" x14ac:dyDescent="0.3">
      <c r="B10" s="180"/>
      <c r="C10" s="175" t="s">
        <v>375</v>
      </c>
      <c r="D10" s="176" t="s">
        <v>369</v>
      </c>
      <c r="E10" s="177">
        <f>B10*0.621</f>
        <v>0</v>
      </c>
      <c r="F10" s="175" t="s">
        <v>376</v>
      </c>
      <c r="G10" s="151"/>
      <c r="H10" s="165"/>
      <c r="I10" s="164"/>
    </row>
    <row r="11" spans="2:12" ht="20.25" thickBot="1" x14ac:dyDescent="0.3">
      <c r="B11" s="180"/>
      <c r="C11" s="175" t="s">
        <v>377</v>
      </c>
      <c r="D11" s="176" t="s">
        <v>369</v>
      </c>
      <c r="E11" s="177">
        <f>B11*2.54</f>
        <v>0</v>
      </c>
      <c r="F11" s="175" t="s">
        <v>378</v>
      </c>
      <c r="G11" s="151"/>
      <c r="H11" s="478" t="s">
        <v>379</v>
      </c>
      <c r="I11" s="478"/>
    </row>
    <row r="12" spans="2:12" ht="16.5" thickBot="1" x14ac:dyDescent="0.3">
      <c r="B12" s="180"/>
      <c r="C12" s="175" t="s">
        <v>380</v>
      </c>
      <c r="D12" s="176" t="s">
        <v>369</v>
      </c>
      <c r="E12" s="177">
        <f>B12*0.305</f>
        <v>0</v>
      </c>
      <c r="F12" s="175" t="s">
        <v>381</v>
      </c>
      <c r="G12" s="151"/>
      <c r="H12" s="168"/>
      <c r="I12" s="164"/>
    </row>
    <row r="13" spans="2:12" ht="20.25" thickBot="1" x14ac:dyDescent="0.3">
      <c r="B13" s="180"/>
      <c r="C13" s="175" t="s">
        <v>380</v>
      </c>
      <c r="D13" s="176" t="s">
        <v>369</v>
      </c>
      <c r="E13" s="177">
        <f>B13*30.48</f>
        <v>0</v>
      </c>
      <c r="F13" s="175" t="s">
        <v>378</v>
      </c>
      <c r="G13" s="151"/>
      <c r="H13" s="478" t="s">
        <v>382</v>
      </c>
      <c r="I13" s="478"/>
    </row>
    <row r="14" spans="2:12" ht="15.75" thickBot="1" x14ac:dyDescent="0.3">
      <c r="B14" s="181"/>
      <c r="C14" s="175" t="s">
        <v>383</v>
      </c>
      <c r="D14" s="176" t="s">
        <v>369</v>
      </c>
      <c r="E14" s="177">
        <f>B14*1.61</f>
        <v>0</v>
      </c>
      <c r="F14" s="175" t="s">
        <v>384</v>
      </c>
      <c r="G14" s="151"/>
      <c r="H14" s="168"/>
      <c r="I14" s="170"/>
    </row>
    <row r="15" spans="2:12" ht="18.75" thickBot="1" x14ac:dyDescent="0.3">
      <c r="B15" s="182"/>
      <c r="C15" s="182"/>
      <c r="D15" s="182"/>
      <c r="E15" s="182"/>
      <c r="F15" s="182"/>
      <c r="G15" s="151"/>
      <c r="H15" s="478" t="s">
        <v>385</v>
      </c>
      <c r="I15" s="478"/>
    </row>
    <row r="16" spans="2:12" ht="15.75" thickBot="1" x14ac:dyDescent="0.3">
      <c r="B16" s="183"/>
      <c r="C16" s="481" t="s">
        <v>386</v>
      </c>
      <c r="D16" s="482"/>
      <c r="E16" s="482"/>
      <c r="F16" s="483"/>
      <c r="G16" s="151"/>
      <c r="H16" s="168"/>
      <c r="I16" s="170"/>
    </row>
    <row r="17" spans="2:9" ht="18.75" thickBot="1" x14ac:dyDescent="0.3">
      <c r="B17" s="184"/>
      <c r="C17" s="175" t="s">
        <v>388</v>
      </c>
      <c r="D17" s="176" t="s">
        <v>369</v>
      </c>
      <c r="E17" s="177">
        <f>B17*0.2642</f>
        <v>0</v>
      </c>
      <c r="F17" s="175" t="s">
        <v>389</v>
      </c>
      <c r="G17" s="151"/>
      <c r="H17" s="478" t="s">
        <v>387</v>
      </c>
      <c r="I17" s="478"/>
    </row>
    <row r="18" spans="2:9" ht="15.75" thickBot="1" x14ac:dyDescent="0.3">
      <c r="B18" s="180"/>
      <c r="C18" s="175" t="s">
        <v>390</v>
      </c>
      <c r="D18" s="176" t="s">
        <v>369</v>
      </c>
      <c r="E18" s="177">
        <f>B18*264.2</f>
        <v>0</v>
      </c>
      <c r="F18" s="175" t="s">
        <v>389</v>
      </c>
      <c r="G18" s="151"/>
      <c r="H18" s="165"/>
      <c r="I18" s="170"/>
    </row>
    <row r="19" spans="2:9" ht="18.75" thickBot="1" x14ac:dyDescent="0.3">
      <c r="B19" s="180"/>
      <c r="C19" s="175" t="s">
        <v>390</v>
      </c>
      <c r="D19" s="176" t="s">
        <v>369</v>
      </c>
      <c r="E19" s="177">
        <f>B19*35.31</f>
        <v>0</v>
      </c>
      <c r="F19" s="175" t="s">
        <v>392</v>
      </c>
      <c r="G19" s="151"/>
      <c r="H19" s="478" t="s">
        <v>391</v>
      </c>
      <c r="I19" s="478"/>
    </row>
    <row r="20" spans="2:9" ht="15.75" thickBot="1" x14ac:dyDescent="0.3">
      <c r="B20" s="180"/>
      <c r="C20" s="175" t="s">
        <v>393</v>
      </c>
      <c r="D20" s="176" t="s">
        <v>369</v>
      </c>
      <c r="E20" s="177">
        <f>B20*3.785</f>
        <v>0</v>
      </c>
      <c r="F20" s="175" t="s">
        <v>394</v>
      </c>
      <c r="G20" s="151"/>
      <c r="H20" s="165"/>
      <c r="I20" s="170"/>
    </row>
    <row r="21" spans="2:9" ht="18.75" thickBot="1" x14ac:dyDescent="0.3">
      <c r="B21" s="180"/>
      <c r="C21" s="175" t="s">
        <v>393</v>
      </c>
      <c r="D21" s="176" t="s">
        <v>369</v>
      </c>
      <c r="E21" s="177">
        <f>B21*0.134</f>
        <v>0</v>
      </c>
      <c r="F21" s="175" t="s">
        <v>392</v>
      </c>
      <c r="G21" s="151"/>
      <c r="H21" s="478" t="s">
        <v>395</v>
      </c>
      <c r="I21" s="478"/>
    </row>
    <row r="22" spans="2:9" ht="15.75" thickBot="1" x14ac:dyDescent="0.3">
      <c r="B22" s="180"/>
      <c r="C22" s="175" t="s">
        <v>396</v>
      </c>
      <c r="D22" s="176" t="s">
        <v>369</v>
      </c>
      <c r="E22" s="177">
        <f>B22*28.32</f>
        <v>0</v>
      </c>
      <c r="F22" s="175" t="s">
        <v>394</v>
      </c>
      <c r="G22" s="151"/>
      <c r="H22" s="165"/>
      <c r="I22" s="170"/>
    </row>
    <row r="23" spans="2:9" ht="18.75" thickBot="1" x14ac:dyDescent="0.3">
      <c r="B23" s="181"/>
      <c r="C23" s="175" t="s">
        <v>396</v>
      </c>
      <c r="D23" s="176" t="s">
        <v>369</v>
      </c>
      <c r="E23" s="177">
        <f>B23*7.481</f>
        <v>0</v>
      </c>
      <c r="F23" s="175" t="s">
        <v>389</v>
      </c>
      <c r="G23" s="151"/>
      <c r="H23" s="478" t="s">
        <v>397</v>
      </c>
      <c r="I23" s="478"/>
    </row>
    <row r="24" spans="2:9" x14ac:dyDescent="0.25">
      <c r="B24" s="183"/>
      <c r="C24" s="185"/>
      <c r="D24" s="185"/>
      <c r="E24" s="186"/>
      <c r="F24" s="186"/>
      <c r="G24" s="151"/>
      <c r="H24" s="165"/>
      <c r="I24" s="170"/>
    </row>
    <row r="25" spans="2:9" ht="15.75" thickBot="1" x14ac:dyDescent="0.3">
      <c r="B25" s="183"/>
      <c r="C25" s="185"/>
      <c r="D25" s="185"/>
      <c r="E25" s="186"/>
      <c r="F25" s="186"/>
      <c r="G25" s="151"/>
      <c r="H25" s="165"/>
      <c r="I25" s="170"/>
    </row>
    <row r="26" spans="2:9" ht="20.25" thickBot="1" x14ac:dyDescent="0.3">
      <c r="B26" s="183"/>
      <c r="C26" s="481" t="s">
        <v>399</v>
      </c>
      <c r="D26" s="482"/>
      <c r="E26" s="482"/>
      <c r="F26" s="483"/>
      <c r="G26" s="151"/>
      <c r="H26" s="166" t="s">
        <v>398</v>
      </c>
      <c r="I26" s="170"/>
    </row>
    <row r="27" spans="2:9" ht="15.75" thickBot="1" x14ac:dyDescent="0.3">
      <c r="B27" s="184"/>
      <c r="C27" s="175" t="s">
        <v>400</v>
      </c>
      <c r="D27" s="176" t="s">
        <v>369</v>
      </c>
      <c r="E27" s="177">
        <f>B27*2.205</f>
        <v>0</v>
      </c>
      <c r="F27" s="175" t="s">
        <v>401</v>
      </c>
      <c r="G27" s="151"/>
      <c r="H27" s="165"/>
      <c r="I27" s="170"/>
    </row>
    <row r="28" spans="2:9" ht="20.25" thickBot="1" x14ac:dyDescent="0.3">
      <c r="B28" s="180"/>
      <c r="C28" s="175" t="s">
        <v>400</v>
      </c>
      <c r="D28" s="176" t="s">
        <v>369</v>
      </c>
      <c r="E28" s="177">
        <f>B28*35.27</f>
        <v>0</v>
      </c>
      <c r="F28" s="175" t="s">
        <v>403</v>
      </c>
      <c r="G28" s="151"/>
      <c r="H28" s="166" t="s">
        <v>402</v>
      </c>
      <c r="I28" s="170"/>
    </row>
    <row r="29" spans="2:9" ht="15.75" thickBot="1" x14ac:dyDescent="0.3">
      <c r="B29" s="180"/>
      <c r="C29" s="175" t="s">
        <v>404</v>
      </c>
      <c r="D29" s="176" t="s">
        <v>369</v>
      </c>
      <c r="E29" s="177">
        <f>B29*0.454</f>
        <v>0</v>
      </c>
      <c r="F29" s="175" t="s">
        <v>405</v>
      </c>
      <c r="G29" s="151"/>
      <c r="H29" s="165"/>
      <c r="I29" s="170"/>
    </row>
    <row r="30" spans="2:9" ht="16.5" thickBot="1" x14ac:dyDescent="0.3">
      <c r="B30" s="181"/>
      <c r="C30" s="175" t="s">
        <v>407</v>
      </c>
      <c r="D30" s="176" t="s">
        <v>369</v>
      </c>
      <c r="E30" s="177">
        <f>B30*28.35</f>
        <v>0</v>
      </c>
      <c r="F30" s="175" t="s">
        <v>408</v>
      </c>
      <c r="G30" s="151"/>
      <c r="H30" s="166" t="s">
        <v>406</v>
      </c>
      <c r="I30" s="164"/>
    </row>
    <row r="31" spans="2:9" x14ac:dyDescent="0.25">
      <c r="B31" s="183"/>
      <c r="C31" s="185"/>
      <c r="D31" s="185"/>
      <c r="E31" s="186"/>
      <c r="F31" s="186"/>
      <c r="G31" s="151"/>
      <c r="H31" s="165"/>
      <c r="I31" s="170"/>
    </row>
    <row r="32" spans="2:9" ht="16.5" thickBot="1" x14ac:dyDescent="0.3">
      <c r="B32" s="183"/>
      <c r="C32" s="187"/>
      <c r="D32" s="187"/>
      <c r="E32" s="187"/>
      <c r="F32" s="187"/>
      <c r="G32" s="151"/>
      <c r="H32" s="166" t="s">
        <v>409</v>
      </c>
      <c r="I32" s="164"/>
    </row>
    <row r="33" spans="2:9" ht="16.5" thickBot="1" x14ac:dyDescent="0.3">
      <c r="B33" s="183"/>
      <c r="C33" s="488" t="s">
        <v>410</v>
      </c>
      <c r="D33" s="489"/>
      <c r="E33" s="489"/>
      <c r="F33" s="490"/>
      <c r="G33" s="151"/>
      <c r="H33" s="165"/>
      <c r="I33" s="164"/>
    </row>
    <row r="34" spans="2:9" ht="20.25" thickBot="1" x14ac:dyDescent="0.3">
      <c r="B34" s="188"/>
      <c r="C34" s="189" t="s">
        <v>55</v>
      </c>
      <c r="D34" s="190" t="s">
        <v>369</v>
      </c>
      <c r="E34" s="191">
        <f>B34*391</f>
        <v>0</v>
      </c>
      <c r="F34" s="192" t="s">
        <v>412</v>
      </c>
      <c r="G34" s="151"/>
      <c r="H34" s="166" t="s">
        <v>411</v>
      </c>
      <c r="I34" s="164"/>
    </row>
    <row r="35" spans="2:9" ht="15.75" x14ac:dyDescent="0.25">
      <c r="B35" s="183"/>
      <c r="C35" s="187"/>
      <c r="D35" s="187"/>
      <c r="E35" s="187"/>
      <c r="F35" s="187"/>
      <c r="G35" s="151"/>
      <c r="H35" s="164"/>
      <c r="I35" s="164"/>
    </row>
    <row r="36" spans="2:9" ht="15.75" x14ac:dyDescent="0.25">
      <c r="B36" s="183"/>
      <c r="C36" s="187"/>
      <c r="D36" s="187"/>
      <c r="E36" s="187"/>
      <c r="F36" s="187"/>
      <c r="G36" s="151"/>
      <c r="H36" s="164"/>
      <c r="I36" s="164"/>
    </row>
    <row r="37" spans="2:9" ht="16.5" thickBot="1" x14ac:dyDescent="0.3">
      <c r="B37" s="183"/>
      <c r="C37" s="187"/>
      <c r="D37" s="187"/>
      <c r="E37" s="187"/>
      <c r="F37" s="187"/>
      <c r="G37" s="151"/>
      <c r="H37" s="164"/>
      <c r="I37" s="164"/>
    </row>
    <row r="38" spans="2:9" ht="16.5" thickBot="1" x14ac:dyDescent="0.3">
      <c r="B38" s="183"/>
      <c r="C38" s="481" t="s">
        <v>413</v>
      </c>
      <c r="D38" s="482"/>
      <c r="E38" s="482"/>
      <c r="F38" s="483"/>
      <c r="G38" s="151"/>
      <c r="H38" s="164"/>
      <c r="I38" s="164"/>
    </row>
    <row r="39" spans="2:9" ht="16.5" thickBot="1" x14ac:dyDescent="0.3">
      <c r="B39" s="184"/>
      <c r="C39" s="175" t="s">
        <v>414</v>
      </c>
      <c r="D39" s="176" t="s">
        <v>369</v>
      </c>
      <c r="E39" s="177">
        <f>B39*3.6</f>
        <v>0</v>
      </c>
      <c r="F39" s="175" t="s">
        <v>415</v>
      </c>
      <c r="G39" s="151"/>
      <c r="H39" s="164"/>
      <c r="I39" s="164"/>
    </row>
    <row r="40" spans="2:9" ht="16.5" thickBot="1" x14ac:dyDescent="0.3">
      <c r="B40" s="180"/>
      <c r="C40" s="175" t="s">
        <v>414</v>
      </c>
      <c r="D40" s="176" t="s">
        <v>369</v>
      </c>
      <c r="E40" s="177">
        <f>B40*951.12</f>
        <v>0</v>
      </c>
      <c r="F40" s="175" t="s">
        <v>416</v>
      </c>
      <c r="G40" s="151"/>
      <c r="H40" s="164"/>
      <c r="I40" s="164"/>
    </row>
    <row r="41" spans="2:9" ht="16.5" thickBot="1" x14ac:dyDescent="0.3">
      <c r="B41" s="180"/>
      <c r="C41" s="175" t="s">
        <v>417</v>
      </c>
      <c r="D41" s="176" t="s">
        <v>369</v>
      </c>
      <c r="E41" s="177">
        <f>B41*0.2642</f>
        <v>0</v>
      </c>
      <c r="F41" s="175" t="s">
        <v>418</v>
      </c>
      <c r="G41" s="151"/>
      <c r="H41" s="164"/>
      <c r="I41" s="164"/>
    </row>
    <row r="42" spans="2:9" ht="16.5" thickBot="1" x14ac:dyDescent="0.3">
      <c r="B42" s="180"/>
      <c r="C42" s="175" t="s">
        <v>417</v>
      </c>
      <c r="D42" s="176" t="s">
        <v>369</v>
      </c>
      <c r="E42" s="177">
        <f>B42*15.85</f>
        <v>0</v>
      </c>
      <c r="F42" s="175" t="s">
        <v>416</v>
      </c>
      <c r="G42" s="151"/>
      <c r="H42" s="164"/>
      <c r="I42" s="164"/>
    </row>
    <row r="43" spans="2:9" ht="16.5" thickBot="1" x14ac:dyDescent="0.3">
      <c r="B43" s="180"/>
      <c r="C43" s="175" t="s">
        <v>415</v>
      </c>
      <c r="D43" s="176" t="s">
        <v>369</v>
      </c>
      <c r="E43" s="177">
        <f>B43*0.278</f>
        <v>0</v>
      </c>
      <c r="F43" s="175" t="s">
        <v>414</v>
      </c>
      <c r="G43" s="151"/>
      <c r="H43" s="164"/>
      <c r="I43" s="164"/>
    </row>
    <row r="44" spans="2:9" ht="16.5" thickBot="1" x14ac:dyDescent="0.3">
      <c r="B44" s="180"/>
      <c r="C44" s="175" t="s">
        <v>415</v>
      </c>
      <c r="D44" s="176" t="s">
        <v>369</v>
      </c>
      <c r="E44" s="177">
        <f>B44*16.67</f>
        <v>0</v>
      </c>
      <c r="F44" s="175" t="s">
        <v>417</v>
      </c>
      <c r="G44" s="151"/>
      <c r="H44" s="164"/>
      <c r="I44" s="164"/>
    </row>
    <row r="45" spans="2:9" ht="16.5" thickBot="1" x14ac:dyDescent="0.3">
      <c r="B45" s="180"/>
      <c r="C45" s="175" t="s">
        <v>415</v>
      </c>
      <c r="D45" s="176" t="s">
        <v>369</v>
      </c>
      <c r="E45" s="177">
        <f>B45*4.403</f>
        <v>0</v>
      </c>
      <c r="F45" s="175" t="s">
        <v>418</v>
      </c>
      <c r="G45" s="151"/>
      <c r="H45" s="164"/>
      <c r="I45" s="164"/>
    </row>
    <row r="46" spans="2:9" ht="16.5" thickBot="1" x14ac:dyDescent="0.3">
      <c r="B46" s="180"/>
      <c r="C46" s="175" t="s">
        <v>415</v>
      </c>
      <c r="D46" s="176" t="s">
        <v>369</v>
      </c>
      <c r="E46" s="177">
        <f>B46*264.18</f>
        <v>0</v>
      </c>
      <c r="F46" s="175" t="s">
        <v>416</v>
      </c>
      <c r="G46" s="151"/>
      <c r="H46" s="164"/>
      <c r="I46" s="164"/>
    </row>
    <row r="47" spans="2:9" ht="16.5" thickBot="1" x14ac:dyDescent="0.3">
      <c r="B47" s="180"/>
      <c r="C47" s="175" t="s">
        <v>418</v>
      </c>
      <c r="D47" s="176" t="s">
        <v>369</v>
      </c>
      <c r="E47" s="177">
        <f>B47*0.0631</f>
        <v>0</v>
      </c>
      <c r="F47" s="175" t="s">
        <v>414</v>
      </c>
      <c r="G47" s="151"/>
      <c r="H47" s="164"/>
      <c r="I47" s="164"/>
    </row>
    <row r="48" spans="2:9" ht="16.5" thickBot="1" x14ac:dyDescent="0.3">
      <c r="B48" s="180"/>
      <c r="C48" s="175" t="s">
        <v>418</v>
      </c>
      <c r="D48" s="176" t="s">
        <v>369</v>
      </c>
      <c r="E48" s="177">
        <f>B48*3.785</f>
        <v>0</v>
      </c>
      <c r="F48" s="175" t="s">
        <v>417</v>
      </c>
      <c r="G48" s="151"/>
      <c r="H48" s="164"/>
      <c r="I48" s="164"/>
    </row>
    <row r="49" spans="2:9" ht="16.5" thickBot="1" x14ac:dyDescent="0.3">
      <c r="B49" s="180"/>
      <c r="C49" s="175" t="s">
        <v>418</v>
      </c>
      <c r="D49" s="176" t="s">
        <v>369</v>
      </c>
      <c r="E49" s="177">
        <f>B49*0.227</f>
        <v>0</v>
      </c>
      <c r="F49" s="175" t="s">
        <v>415</v>
      </c>
      <c r="G49" s="151"/>
      <c r="H49" s="164"/>
      <c r="I49" s="164"/>
    </row>
    <row r="50" spans="2:9" ht="16.5" thickBot="1" x14ac:dyDescent="0.3">
      <c r="B50" s="180"/>
      <c r="C50" s="175" t="s">
        <v>416</v>
      </c>
      <c r="D50" s="176" t="s">
        <v>369</v>
      </c>
      <c r="E50" s="177">
        <f>B50*0.0631</f>
        <v>0</v>
      </c>
      <c r="F50" s="175" t="s">
        <v>417</v>
      </c>
      <c r="G50" s="151"/>
      <c r="H50" s="164"/>
      <c r="I50" s="164"/>
    </row>
    <row r="51" spans="2:9" ht="16.5" thickBot="1" x14ac:dyDescent="0.3">
      <c r="B51" s="181"/>
      <c r="C51" s="175" t="s">
        <v>416</v>
      </c>
      <c r="D51" s="176" t="s">
        <v>369</v>
      </c>
      <c r="E51" s="177">
        <f>B51*0.00379</f>
        <v>0</v>
      </c>
      <c r="F51" s="175" t="s">
        <v>415</v>
      </c>
      <c r="G51" s="151"/>
      <c r="H51" s="164"/>
      <c r="I51" s="164"/>
    </row>
    <row r="52" spans="2:9" ht="15.75" x14ac:dyDescent="0.25">
      <c r="B52" s="183"/>
      <c r="C52" s="185"/>
      <c r="D52" s="185"/>
      <c r="E52" s="186"/>
      <c r="F52" s="186"/>
      <c r="G52" s="151"/>
      <c r="H52" s="164"/>
      <c r="I52" s="164"/>
    </row>
    <row r="53" spans="2:9" ht="16.5" thickBot="1" x14ac:dyDescent="0.3">
      <c r="B53" s="183"/>
      <c r="C53" s="185"/>
      <c r="D53" s="185"/>
      <c r="E53" s="186"/>
      <c r="F53" s="186"/>
      <c r="G53" s="151"/>
      <c r="H53" s="164"/>
      <c r="I53" s="164"/>
    </row>
    <row r="54" spans="2:9" ht="16.5" thickBot="1" x14ac:dyDescent="0.3">
      <c r="B54" s="183"/>
      <c r="C54" s="481" t="s">
        <v>419</v>
      </c>
      <c r="D54" s="482"/>
      <c r="E54" s="482"/>
      <c r="F54" s="483"/>
      <c r="G54" s="151"/>
      <c r="H54" s="164"/>
      <c r="I54" s="164"/>
    </row>
    <row r="55" spans="2:9" ht="16.5" thickBot="1" x14ac:dyDescent="0.3">
      <c r="B55" s="184"/>
      <c r="C55" s="175" t="s">
        <v>420</v>
      </c>
      <c r="D55" s="176" t="s">
        <v>369</v>
      </c>
      <c r="E55" s="177">
        <f>B55*0.9863</f>
        <v>0</v>
      </c>
      <c r="F55" s="175" t="s">
        <v>421</v>
      </c>
      <c r="G55" s="151"/>
      <c r="H55" s="164"/>
      <c r="I55" s="164"/>
    </row>
    <row r="56" spans="2:9" ht="15.75" thickBot="1" x14ac:dyDescent="0.3">
      <c r="B56" s="180"/>
      <c r="C56" s="175" t="s">
        <v>421</v>
      </c>
      <c r="D56" s="176" t="s">
        <v>369</v>
      </c>
      <c r="E56" s="177">
        <f>B56*1.014</f>
        <v>0</v>
      </c>
      <c r="F56" s="175" t="s">
        <v>420</v>
      </c>
      <c r="G56" s="151"/>
      <c r="H56" s="170"/>
      <c r="I56" s="170"/>
    </row>
    <row r="57" spans="2:9" ht="15.75" thickBot="1" x14ac:dyDescent="0.3">
      <c r="B57" s="180"/>
      <c r="C57" s="175" t="s">
        <v>421</v>
      </c>
      <c r="D57" s="176" t="s">
        <v>369</v>
      </c>
      <c r="E57" s="177">
        <f>B57*0.7453</f>
        <v>0</v>
      </c>
      <c r="F57" s="175" t="s">
        <v>422</v>
      </c>
      <c r="G57" s="151"/>
      <c r="H57" s="170"/>
      <c r="I57" s="170"/>
    </row>
    <row r="58" spans="2:9" ht="15.75" thickBot="1" x14ac:dyDescent="0.3">
      <c r="B58" s="181"/>
      <c r="C58" s="175" t="s">
        <v>423</v>
      </c>
      <c r="D58" s="176" t="s">
        <v>369</v>
      </c>
      <c r="E58" s="177">
        <f>B58*0.001341</f>
        <v>0</v>
      </c>
      <c r="F58" s="175" t="s">
        <v>421</v>
      </c>
      <c r="G58" s="151"/>
      <c r="H58" s="170"/>
      <c r="I58" s="170"/>
    </row>
    <row r="59" spans="2:9" x14ac:dyDescent="0.25">
      <c r="B59" s="171"/>
      <c r="C59" s="173"/>
      <c r="D59" s="173"/>
      <c r="E59" s="174"/>
      <c r="F59" s="174"/>
      <c r="G59" s="151"/>
      <c r="H59" s="170"/>
      <c r="I59" s="170"/>
    </row>
    <row r="60" spans="2:9" ht="15.75" thickBot="1" x14ac:dyDescent="0.3">
      <c r="B60" s="171"/>
      <c r="C60" s="173"/>
      <c r="D60" s="173"/>
      <c r="E60" s="174"/>
      <c r="F60" s="174"/>
      <c r="G60" s="151"/>
      <c r="H60" s="170"/>
      <c r="I60" s="170"/>
    </row>
    <row r="61" spans="2:9" ht="16.5" thickBot="1" x14ac:dyDescent="0.3">
      <c r="B61" s="171"/>
      <c r="C61" s="484" t="s">
        <v>424</v>
      </c>
      <c r="D61" s="485"/>
      <c r="E61" s="485"/>
      <c r="F61" s="486"/>
      <c r="G61" s="151"/>
      <c r="H61" s="170"/>
      <c r="I61" s="170"/>
    </row>
    <row r="62" spans="2:9" ht="24.75" customHeight="1" thickBot="1" x14ac:dyDescent="0.3">
      <c r="B62" s="172"/>
      <c r="C62" s="175" t="s">
        <v>425</v>
      </c>
      <c r="D62" s="176" t="s">
        <v>369</v>
      </c>
      <c r="E62" s="177">
        <f>B62*0.703</f>
        <v>0</v>
      </c>
      <c r="F62" s="175" t="s">
        <v>426</v>
      </c>
      <c r="G62" s="151"/>
      <c r="H62" s="170"/>
      <c r="I62" s="170"/>
    </row>
    <row r="63" spans="2:9" ht="15.75" thickBot="1" x14ac:dyDescent="0.3">
      <c r="B63" s="167"/>
      <c r="C63" s="175" t="s">
        <v>425</v>
      </c>
      <c r="D63" s="176" t="s">
        <v>369</v>
      </c>
      <c r="E63" s="177">
        <f>B63*2.31</f>
        <v>0</v>
      </c>
      <c r="F63" s="175" t="s">
        <v>427</v>
      </c>
      <c r="G63" s="151"/>
      <c r="H63" s="170"/>
      <c r="I63" s="170"/>
    </row>
    <row r="64" spans="2:9" ht="23.25" customHeight="1" thickBot="1" x14ac:dyDescent="0.3">
      <c r="B64" s="167"/>
      <c r="C64" s="175" t="s">
        <v>425</v>
      </c>
      <c r="D64" s="176" t="s">
        <v>369</v>
      </c>
      <c r="E64" s="177">
        <f>B64*0.0703</f>
        <v>0</v>
      </c>
      <c r="F64" s="178" t="s">
        <v>433</v>
      </c>
      <c r="G64" s="151"/>
      <c r="H64" s="170"/>
      <c r="I64" s="170"/>
    </row>
    <row r="65" spans="2:9" ht="15.75" thickBot="1" x14ac:dyDescent="0.3">
      <c r="B65" s="167"/>
      <c r="C65" s="175" t="s">
        <v>425</v>
      </c>
      <c r="D65" s="176" t="s">
        <v>369</v>
      </c>
      <c r="E65" s="177">
        <f>B65*51.72</f>
        <v>0</v>
      </c>
      <c r="F65" s="175" t="s">
        <v>428</v>
      </c>
      <c r="G65" s="151"/>
      <c r="H65" s="170"/>
      <c r="I65" s="170"/>
    </row>
    <row r="66" spans="2:9" ht="15.75" thickBot="1" x14ac:dyDescent="0.3">
      <c r="B66" s="167"/>
      <c r="C66" s="175" t="s">
        <v>426</v>
      </c>
      <c r="D66" s="176" t="s">
        <v>369</v>
      </c>
      <c r="E66" s="177">
        <f>B66*1.422</f>
        <v>0</v>
      </c>
      <c r="F66" s="175" t="s">
        <v>425</v>
      </c>
      <c r="G66" s="151"/>
      <c r="H66" s="170"/>
      <c r="I66" s="170"/>
    </row>
    <row r="67" spans="2:9" ht="15.75" thickBot="1" x14ac:dyDescent="0.3">
      <c r="B67" s="167"/>
      <c r="C67" s="175" t="s">
        <v>426</v>
      </c>
      <c r="D67" s="176" t="s">
        <v>369</v>
      </c>
      <c r="E67" s="177">
        <f>B67*3.28</f>
        <v>0</v>
      </c>
      <c r="F67" s="175" t="s">
        <v>427</v>
      </c>
      <c r="G67" s="151"/>
      <c r="H67" s="170"/>
      <c r="I67" s="170"/>
    </row>
    <row r="68" spans="2:9" ht="26.25" customHeight="1" thickBot="1" x14ac:dyDescent="0.3">
      <c r="B68" s="167"/>
      <c r="C68" s="175" t="s">
        <v>426</v>
      </c>
      <c r="D68" s="176" t="s">
        <v>369</v>
      </c>
      <c r="E68" s="177">
        <f>B68*0.1</f>
        <v>0</v>
      </c>
      <c r="F68" s="179" t="s">
        <v>433</v>
      </c>
      <c r="G68" s="151"/>
      <c r="H68" s="170"/>
      <c r="I68" s="170"/>
    </row>
    <row r="69" spans="2:9" ht="15.75" thickBot="1" x14ac:dyDescent="0.3">
      <c r="B69" s="167"/>
      <c r="C69" s="175" t="s">
        <v>426</v>
      </c>
      <c r="D69" s="176" t="s">
        <v>369</v>
      </c>
      <c r="E69" s="177">
        <f>B69*73.56</f>
        <v>0</v>
      </c>
      <c r="F69" s="175" t="s">
        <v>428</v>
      </c>
      <c r="G69" s="151"/>
      <c r="H69" s="170"/>
      <c r="I69" s="170"/>
    </row>
    <row r="70" spans="2:9" ht="15.75" thickBot="1" x14ac:dyDescent="0.3">
      <c r="B70" s="167"/>
      <c r="C70" s="175" t="s">
        <v>427</v>
      </c>
      <c r="D70" s="176" t="s">
        <v>369</v>
      </c>
      <c r="E70" s="177">
        <f>B70*0.433</f>
        <v>0</v>
      </c>
      <c r="F70" s="175" t="s">
        <v>425</v>
      </c>
      <c r="G70" s="151"/>
      <c r="H70" s="151"/>
      <c r="I70" s="151"/>
    </row>
    <row r="71" spans="2:9" ht="22.5" customHeight="1" thickBot="1" x14ac:dyDescent="0.3">
      <c r="B71" s="169"/>
      <c r="C71" s="175" t="s">
        <v>427</v>
      </c>
      <c r="D71" s="176" t="s">
        <v>369</v>
      </c>
      <c r="E71" s="177">
        <f>B71*0.304</f>
        <v>0</v>
      </c>
      <c r="F71" s="175" t="s">
        <v>426</v>
      </c>
      <c r="G71" s="151"/>
      <c r="H71" s="151"/>
      <c r="I71" s="151"/>
    </row>
    <row r="72" spans="2:9" ht="22.5" customHeight="1" thickBot="1" x14ac:dyDescent="0.3">
      <c r="B72" s="172"/>
      <c r="C72" s="175" t="s">
        <v>427</v>
      </c>
      <c r="D72" s="176" t="s">
        <v>369</v>
      </c>
      <c r="E72" s="177">
        <f>B72*0.0305</f>
        <v>0</v>
      </c>
      <c r="F72" s="179" t="s">
        <v>433</v>
      </c>
      <c r="G72" s="151"/>
      <c r="H72" s="151"/>
      <c r="I72" s="151"/>
    </row>
    <row r="73" spans="2:9" ht="15.75" thickBot="1" x14ac:dyDescent="0.3">
      <c r="B73" s="167"/>
      <c r="C73" s="175" t="s">
        <v>427</v>
      </c>
      <c r="D73" s="176" t="s">
        <v>369</v>
      </c>
      <c r="E73" s="177">
        <f>B73*22.43</f>
        <v>0</v>
      </c>
      <c r="F73" s="175" t="s">
        <v>428</v>
      </c>
      <c r="G73" s="151"/>
      <c r="H73" s="151"/>
      <c r="I73" s="151"/>
    </row>
    <row r="74" spans="2:9" ht="15.75" thickBot="1" x14ac:dyDescent="0.3">
      <c r="B74" s="167"/>
      <c r="C74" s="175" t="s">
        <v>433</v>
      </c>
      <c r="D74" s="176" t="s">
        <v>369</v>
      </c>
      <c r="E74" s="177">
        <f>B74*14.22</f>
        <v>0</v>
      </c>
      <c r="F74" s="175" t="s">
        <v>425</v>
      </c>
      <c r="G74" s="151"/>
      <c r="H74" s="151"/>
      <c r="I74" s="151"/>
    </row>
    <row r="75" spans="2:9" ht="21.75" customHeight="1" thickBot="1" x14ac:dyDescent="0.3">
      <c r="B75" s="167"/>
      <c r="C75" s="176" t="s">
        <v>433</v>
      </c>
      <c r="D75" s="176" t="s">
        <v>369</v>
      </c>
      <c r="E75" s="177">
        <f>B75*10</f>
        <v>0</v>
      </c>
      <c r="F75" s="175" t="s">
        <v>426</v>
      </c>
      <c r="G75" s="151"/>
      <c r="H75" s="151"/>
      <c r="I75" s="151"/>
    </row>
    <row r="76" spans="2:9" ht="15.75" thickBot="1" x14ac:dyDescent="0.3">
      <c r="B76" s="167"/>
      <c r="C76" s="175" t="s">
        <v>433</v>
      </c>
      <c r="D76" s="176" t="s">
        <v>369</v>
      </c>
      <c r="E76" s="177">
        <f>B76*736</f>
        <v>0</v>
      </c>
      <c r="F76" s="175" t="s">
        <v>428</v>
      </c>
      <c r="G76" s="151"/>
      <c r="H76" s="151"/>
      <c r="I76" s="151"/>
    </row>
    <row r="77" spans="2:9" ht="15.75" thickBot="1" x14ac:dyDescent="0.3">
      <c r="B77" s="167"/>
      <c r="C77" s="175" t="s">
        <v>428</v>
      </c>
      <c r="D77" s="176" t="s">
        <v>369</v>
      </c>
      <c r="E77" s="177">
        <f>B77*0.0193</f>
        <v>0</v>
      </c>
      <c r="F77" s="175" t="s">
        <v>425</v>
      </c>
      <c r="G77" s="151"/>
      <c r="H77" s="151"/>
      <c r="I77" s="151"/>
    </row>
    <row r="78" spans="2:9" ht="25.5" customHeight="1" thickBot="1" x14ac:dyDescent="0.3">
      <c r="B78" s="167"/>
      <c r="C78" s="175" t="s">
        <v>428</v>
      </c>
      <c r="D78" s="176" t="s">
        <v>369</v>
      </c>
      <c r="E78" s="177">
        <f>B78*0.0136</f>
        <v>0</v>
      </c>
      <c r="F78" s="175" t="s">
        <v>426</v>
      </c>
      <c r="G78" s="151"/>
      <c r="H78" s="151"/>
      <c r="I78" s="151"/>
    </row>
    <row r="79" spans="2:9" ht="15.75" thickBot="1" x14ac:dyDescent="0.3">
      <c r="B79" s="167"/>
      <c r="C79" s="175" t="s">
        <v>428</v>
      </c>
      <c r="D79" s="176" t="s">
        <v>369</v>
      </c>
      <c r="E79" s="177">
        <f>B79*0.0446</f>
        <v>0</v>
      </c>
      <c r="F79" s="175" t="s">
        <v>427</v>
      </c>
      <c r="G79" s="151"/>
      <c r="H79" s="151"/>
      <c r="I79" s="151"/>
    </row>
    <row r="80" spans="2:9" ht="23.25" customHeight="1" thickBot="1" x14ac:dyDescent="0.3">
      <c r="B80" s="167"/>
      <c r="C80" s="175" t="s">
        <v>428</v>
      </c>
      <c r="D80" s="176" t="s">
        <v>369</v>
      </c>
      <c r="E80" s="177">
        <f>B80*0.0014</f>
        <v>0</v>
      </c>
      <c r="F80" s="179" t="s">
        <v>433</v>
      </c>
      <c r="G80" s="151"/>
      <c r="H80" s="151"/>
      <c r="I80" s="151"/>
    </row>
    <row r="81" spans="2:9" ht="15.75" thickBot="1" x14ac:dyDescent="0.3">
      <c r="B81" s="167"/>
      <c r="C81" s="175" t="s">
        <v>433</v>
      </c>
      <c r="D81" s="176" t="s">
        <v>369</v>
      </c>
      <c r="E81" s="177">
        <f>B81*1.03</f>
        <v>0</v>
      </c>
      <c r="F81" s="175" t="s">
        <v>429</v>
      </c>
      <c r="G81" s="151"/>
      <c r="H81" s="151"/>
      <c r="I81" s="151"/>
    </row>
    <row r="82" spans="2:9" ht="15.75" thickBot="1" x14ac:dyDescent="0.3">
      <c r="B82" s="167"/>
      <c r="C82" s="175" t="s">
        <v>433</v>
      </c>
      <c r="D82" s="176" t="s">
        <v>369</v>
      </c>
      <c r="E82" s="177">
        <f>B82*1</f>
        <v>0</v>
      </c>
      <c r="F82" s="175" t="s">
        <v>430</v>
      </c>
      <c r="G82" s="151"/>
      <c r="H82" s="151"/>
      <c r="I82" s="151"/>
    </row>
    <row r="83" spans="2:9" ht="15.75" thickBot="1" x14ac:dyDescent="0.3">
      <c r="B83" s="169"/>
      <c r="C83" s="175" t="s">
        <v>431</v>
      </c>
      <c r="D83" s="176" t="s">
        <v>369</v>
      </c>
      <c r="E83" s="177">
        <f>B83*10</f>
        <v>0</v>
      </c>
      <c r="F83" s="175" t="s">
        <v>430</v>
      </c>
      <c r="G83" s="151"/>
      <c r="H83" s="151"/>
      <c r="I83" s="151"/>
    </row>
    <row r="84" spans="2:9" x14ac:dyDescent="0.25">
      <c r="B84" s="151"/>
      <c r="C84" s="151"/>
      <c r="D84" s="151"/>
      <c r="E84" s="151"/>
      <c r="F84" s="151"/>
      <c r="G84" s="151"/>
      <c r="H84" s="151"/>
      <c r="I84" s="151"/>
    </row>
  </sheetData>
  <mergeCells count="19">
    <mergeCell ref="C61:F61"/>
    <mergeCell ref="H5:I5"/>
    <mergeCell ref="H9:I9"/>
    <mergeCell ref="H11:I11"/>
    <mergeCell ref="H13:I13"/>
    <mergeCell ref="H15:I15"/>
    <mergeCell ref="H17:I17"/>
    <mergeCell ref="H19:I19"/>
    <mergeCell ref="H21:I21"/>
    <mergeCell ref="C5:F6"/>
    <mergeCell ref="C16:F16"/>
    <mergeCell ref="C26:F26"/>
    <mergeCell ref="C33:F33"/>
    <mergeCell ref="C38:F38"/>
    <mergeCell ref="B3:F4"/>
    <mergeCell ref="K5:L5"/>
    <mergeCell ref="H23:I23"/>
    <mergeCell ref="B5:B6"/>
    <mergeCell ref="C54:F54"/>
  </mergeCells>
  <hyperlinks>
    <hyperlink ref="K5" location="Apresentação!A1" display="Voltar"/>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35"/>
  <sheetViews>
    <sheetView zoomScale="55" zoomScaleNormal="55" workbookViewId="0">
      <pane ySplit="2" topLeftCell="A3" activePane="bottomLeft" state="frozen"/>
      <selection activeCell="A2" sqref="A2"/>
      <selection pane="bottomLeft" activeCell="D11" sqref="D11"/>
    </sheetView>
  </sheetViews>
  <sheetFormatPr defaultColWidth="11.42578125" defaultRowHeight="18" x14ac:dyDescent="0.25"/>
  <cols>
    <col min="1" max="1" width="11.42578125" style="225"/>
    <col min="2" max="2" width="25.140625" style="225" customWidth="1"/>
    <col min="3" max="3" width="76.7109375" style="225" bestFit="1" customWidth="1"/>
    <col min="4" max="4" width="17.28515625" style="225" bestFit="1" customWidth="1"/>
    <col min="5" max="5" width="36.140625" style="225" bestFit="1" customWidth="1"/>
    <col min="6" max="6" width="11" style="225" bestFit="1" customWidth="1"/>
    <col min="7" max="7" width="13.28515625" style="225" bestFit="1" customWidth="1"/>
    <col min="8" max="9" width="11" style="225" bestFit="1" customWidth="1"/>
    <col min="10" max="10" width="11.5703125" style="225" bestFit="1" customWidth="1"/>
    <col min="11" max="11" width="12.140625" style="225" bestFit="1" customWidth="1"/>
    <col min="12" max="12" width="31.42578125" style="225" bestFit="1" customWidth="1"/>
    <col min="13" max="13" width="11.5703125" style="225" bestFit="1" customWidth="1"/>
    <col min="14" max="14" width="9.28515625" style="225" bestFit="1" customWidth="1"/>
    <col min="15" max="16" width="8.7109375" style="225" bestFit="1" customWidth="1"/>
    <col min="17" max="17" width="9.28515625" style="225" bestFit="1" customWidth="1"/>
    <col min="18" max="19" width="8.7109375" style="225" bestFit="1" customWidth="1"/>
    <col min="20" max="20" width="37.28515625" style="225" bestFit="1" customWidth="1"/>
    <col min="21" max="21" width="29.85546875" style="225" bestFit="1" customWidth="1"/>
    <col min="22" max="22" width="30.42578125" style="225" bestFit="1" customWidth="1"/>
    <col min="23" max="24" width="11.42578125" style="225"/>
    <col min="25" max="25" width="65" style="225" bestFit="1" customWidth="1"/>
    <col min="26" max="30" width="11.42578125" style="225"/>
    <col min="31" max="31" width="13" style="225" bestFit="1" customWidth="1"/>
    <col min="32" max="44" width="11.42578125" style="225"/>
    <col min="45" max="45" width="65" style="225" bestFit="1" customWidth="1"/>
    <col min="46" max="16384" width="11.42578125" style="225"/>
  </cols>
  <sheetData>
    <row r="1" spans="2:22" x14ac:dyDescent="0.25">
      <c r="B1" s="291" t="s">
        <v>125</v>
      </c>
      <c r="C1" s="291" t="s">
        <v>76</v>
      </c>
      <c r="D1" s="291" t="s">
        <v>77</v>
      </c>
      <c r="E1" s="291" t="s">
        <v>78</v>
      </c>
      <c r="F1" s="291"/>
      <c r="G1" s="291"/>
      <c r="H1" s="291"/>
      <c r="I1" s="291"/>
      <c r="J1" s="291"/>
      <c r="K1" s="291"/>
      <c r="L1" s="291"/>
      <c r="M1" s="291"/>
      <c r="N1" s="291"/>
      <c r="O1" s="291"/>
      <c r="P1" s="291"/>
      <c r="Q1" s="291"/>
      <c r="R1" s="291"/>
      <c r="S1" s="291"/>
      <c r="T1" s="291"/>
      <c r="U1" s="291"/>
      <c r="V1" s="291"/>
    </row>
    <row r="2" spans="2:22" x14ac:dyDescent="0.25">
      <c r="B2" s="291"/>
      <c r="C2" s="291"/>
      <c r="D2" s="291"/>
      <c r="E2" s="232" t="s">
        <v>33</v>
      </c>
      <c r="F2" s="232" t="s">
        <v>79</v>
      </c>
      <c r="G2" s="232" t="s">
        <v>66</v>
      </c>
      <c r="H2" s="232" t="s">
        <v>80</v>
      </c>
      <c r="I2" s="232" t="s">
        <v>67</v>
      </c>
      <c r="J2" s="232" t="s">
        <v>81</v>
      </c>
      <c r="K2" s="232" t="s">
        <v>82</v>
      </c>
      <c r="L2" s="232" t="s">
        <v>83</v>
      </c>
      <c r="M2" s="232" t="s">
        <v>84</v>
      </c>
      <c r="N2" s="232" t="s">
        <v>85</v>
      </c>
      <c r="O2" s="232" t="s">
        <v>86</v>
      </c>
      <c r="P2" s="232" t="s">
        <v>87</v>
      </c>
      <c r="Q2" s="232" t="s">
        <v>88</v>
      </c>
      <c r="R2" s="232" t="s">
        <v>89</v>
      </c>
      <c r="S2" s="232" t="s">
        <v>106</v>
      </c>
      <c r="T2" s="232" t="s">
        <v>90</v>
      </c>
      <c r="U2" s="232" t="s">
        <v>91</v>
      </c>
      <c r="V2" s="232" t="s">
        <v>92</v>
      </c>
    </row>
    <row r="3" spans="2:22" ht="18" customHeight="1" x14ac:dyDescent="0.25">
      <c r="B3" s="292" t="s">
        <v>209</v>
      </c>
      <c r="C3" s="230" t="s">
        <v>523</v>
      </c>
      <c r="D3" s="262">
        <f>70/25</f>
        <v>2.8</v>
      </c>
      <c r="E3" s="233">
        <v>45</v>
      </c>
      <c r="F3" s="233"/>
      <c r="G3" s="233"/>
      <c r="H3" s="233"/>
      <c r="I3" s="233"/>
      <c r="J3" s="233"/>
      <c r="K3" s="233"/>
      <c r="L3" s="233"/>
      <c r="M3" s="233"/>
      <c r="N3" s="233"/>
      <c r="O3" s="233"/>
      <c r="P3" s="233"/>
      <c r="Q3" s="233"/>
      <c r="R3" s="233"/>
      <c r="S3" s="233"/>
      <c r="T3" s="233">
        <v>45</v>
      </c>
      <c r="U3" s="233">
        <v>0</v>
      </c>
      <c r="V3" s="233"/>
    </row>
    <row r="4" spans="2:22" x14ac:dyDescent="0.25">
      <c r="B4" s="292"/>
      <c r="C4" s="234" t="s">
        <v>95</v>
      </c>
      <c r="D4" s="263">
        <f>43/25</f>
        <v>1.72</v>
      </c>
      <c r="E4" s="235">
        <v>20</v>
      </c>
      <c r="F4" s="235"/>
      <c r="G4" s="235"/>
      <c r="H4" s="235"/>
      <c r="I4" s="235"/>
      <c r="J4" s="235"/>
      <c r="K4" s="235"/>
      <c r="L4" s="235">
        <v>24</v>
      </c>
      <c r="M4" s="235"/>
      <c r="N4" s="235"/>
      <c r="O4" s="235"/>
      <c r="P4" s="235"/>
      <c r="Q4" s="235"/>
      <c r="R4" s="235"/>
      <c r="S4" s="235"/>
      <c r="T4" s="235">
        <v>20</v>
      </c>
      <c r="U4" s="235">
        <v>0</v>
      </c>
      <c r="V4" s="235"/>
    </row>
    <row r="5" spans="2:22" x14ac:dyDescent="0.25">
      <c r="B5" s="292"/>
      <c r="C5" s="230" t="s">
        <v>93</v>
      </c>
      <c r="D5" s="262"/>
      <c r="E5" s="233">
        <v>29</v>
      </c>
      <c r="F5" s="233"/>
      <c r="G5" s="233"/>
      <c r="H5" s="233"/>
      <c r="I5" s="233"/>
      <c r="J5" s="233"/>
      <c r="K5" s="233">
        <v>1</v>
      </c>
      <c r="L5" s="233">
        <v>1</v>
      </c>
      <c r="M5" s="233"/>
      <c r="N5" s="233"/>
      <c r="O5" s="233">
        <v>1</v>
      </c>
      <c r="P5" s="233"/>
      <c r="Q5" s="233"/>
      <c r="R5" s="233"/>
      <c r="S5" s="233"/>
      <c r="T5" s="233">
        <v>14.5</v>
      </c>
      <c r="U5" s="233">
        <v>14.5</v>
      </c>
      <c r="V5" s="233">
        <v>1.5</v>
      </c>
    </row>
    <row r="6" spans="2:22" x14ac:dyDescent="0.25">
      <c r="B6" s="292"/>
      <c r="C6" s="234" t="s">
        <v>192</v>
      </c>
      <c r="D6" s="263">
        <f>64/25</f>
        <v>2.56</v>
      </c>
      <c r="E6" s="235">
        <v>15</v>
      </c>
      <c r="F6" s="235"/>
      <c r="G6" s="235"/>
      <c r="H6" s="235"/>
      <c r="I6" s="235"/>
      <c r="J6" s="235">
        <v>19</v>
      </c>
      <c r="K6" s="235"/>
      <c r="L6" s="235"/>
      <c r="M6" s="235"/>
      <c r="N6" s="235"/>
      <c r="O6" s="235"/>
      <c r="P6" s="235"/>
      <c r="Q6" s="235"/>
      <c r="R6" s="235"/>
      <c r="S6" s="235"/>
      <c r="T6" s="235">
        <v>1</v>
      </c>
      <c r="U6" s="235">
        <v>14</v>
      </c>
      <c r="V6" s="235">
        <v>1.18</v>
      </c>
    </row>
    <row r="7" spans="2:22" x14ac:dyDescent="0.25">
      <c r="B7" s="292"/>
      <c r="C7" s="230" t="s">
        <v>94</v>
      </c>
      <c r="D7" s="262">
        <v>4.5999999999999996</v>
      </c>
      <c r="E7" s="233">
        <v>11</v>
      </c>
      <c r="F7" s="233"/>
      <c r="G7" s="233"/>
      <c r="H7" s="233"/>
      <c r="I7" s="233"/>
      <c r="J7" s="233"/>
      <c r="K7" s="233">
        <v>9.5</v>
      </c>
      <c r="L7" s="233"/>
      <c r="M7" s="233"/>
      <c r="N7" s="233"/>
      <c r="O7" s="233"/>
      <c r="P7" s="233"/>
      <c r="Q7" s="233"/>
      <c r="R7" s="233"/>
      <c r="S7" s="233"/>
      <c r="T7" s="233">
        <v>0</v>
      </c>
      <c r="U7" s="233">
        <v>11</v>
      </c>
      <c r="V7" s="233">
        <v>0.9</v>
      </c>
    </row>
    <row r="8" spans="2:22" x14ac:dyDescent="0.25">
      <c r="B8" s="292"/>
      <c r="C8" s="234" t="s">
        <v>524</v>
      </c>
      <c r="D8" s="263">
        <f>148/25</f>
        <v>5.92</v>
      </c>
      <c r="E8" s="235">
        <v>12</v>
      </c>
      <c r="F8" s="235"/>
      <c r="G8" s="235"/>
      <c r="H8" s="235">
        <v>38</v>
      </c>
      <c r="I8" s="235"/>
      <c r="J8" s="235"/>
      <c r="K8" s="235"/>
      <c r="L8" s="235"/>
      <c r="M8" s="235"/>
      <c r="N8" s="235"/>
      <c r="O8" s="235"/>
      <c r="P8" s="235"/>
      <c r="Q8" s="235"/>
      <c r="R8" s="235"/>
      <c r="S8" s="235"/>
      <c r="T8" s="235">
        <v>0</v>
      </c>
      <c r="U8" s="235">
        <v>12</v>
      </c>
      <c r="V8" s="235">
        <v>1.28</v>
      </c>
    </row>
    <row r="9" spans="2:22" x14ac:dyDescent="0.25">
      <c r="B9" s="292"/>
      <c r="C9" s="230" t="s">
        <v>199</v>
      </c>
      <c r="D9" s="262">
        <f>84/50</f>
        <v>1.68</v>
      </c>
      <c r="E9" s="233"/>
      <c r="F9" s="233">
        <v>7.86</v>
      </c>
      <c r="G9" s="233">
        <v>18</v>
      </c>
      <c r="H9" s="233"/>
      <c r="I9" s="233"/>
      <c r="J9" s="233"/>
      <c r="K9" s="233"/>
      <c r="L9" s="233"/>
      <c r="M9" s="233"/>
      <c r="N9" s="233"/>
      <c r="O9" s="233"/>
      <c r="P9" s="233"/>
      <c r="Q9" s="233"/>
      <c r="R9" s="233"/>
      <c r="S9" s="233"/>
      <c r="T9" s="233"/>
      <c r="U9" s="233"/>
      <c r="V9" s="233"/>
    </row>
    <row r="10" spans="2:22" x14ac:dyDescent="0.25">
      <c r="B10" s="292"/>
      <c r="C10" s="234" t="s">
        <v>200</v>
      </c>
      <c r="D10" s="263">
        <f>3800/1000</f>
        <v>3.8</v>
      </c>
      <c r="E10" s="235"/>
      <c r="F10" s="235">
        <v>17.91</v>
      </c>
      <c r="G10" s="235">
        <v>41</v>
      </c>
      <c r="H10" s="235"/>
      <c r="I10" s="235"/>
      <c r="J10" s="235"/>
      <c r="K10" s="235"/>
      <c r="L10" s="235"/>
      <c r="M10" s="235"/>
      <c r="N10" s="235"/>
      <c r="O10" s="235"/>
      <c r="P10" s="235"/>
      <c r="Q10" s="235"/>
      <c r="R10" s="235"/>
      <c r="S10" s="235"/>
      <c r="T10" s="235"/>
      <c r="U10" s="235"/>
      <c r="V10" s="235"/>
    </row>
    <row r="11" spans="2:22" x14ac:dyDescent="0.25">
      <c r="B11" s="292"/>
      <c r="C11" s="230" t="s">
        <v>191</v>
      </c>
      <c r="D11" s="262">
        <f>87/25</f>
        <v>3.48</v>
      </c>
      <c r="E11" s="233"/>
      <c r="F11" s="233"/>
      <c r="G11" s="233"/>
      <c r="H11" s="233">
        <v>50</v>
      </c>
      <c r="I11" s="233">
        <v>60</v>
      </c>
      <c r="J11" s="233"/>
      <c r="K11" s="233"/>
      <c r="L11" s="233"/>
      <c r="M11" s="233"/>
      <c r="N11" s="233"/>
      <c r="O11" s="233"/>
      <c r="P11" s="233"/>
      <c r="Q11" s="233"/>
      <c r="R11" s="233"/>
      <c r="S11" s="233"/>
      <c r="T11" s="233">
        <v>0</v>
      </c>
      <c r="U11" s="233">
        <v>0</v>
      </c>
      <c r="V11" s="233">
        <v>1.7</v>
      </c>
    </row>
    <row r="12" spans="2:22" x14ac:dyDescent="0.25">
      <c r="B12" s="292"/>
      <c r="C12" s="234" t="s">
        <v>525</v>
      </c>
      <c r="D12" s="263">
        <f>133/25</f>
        <v>5.32</v>
      </c>
      <c r="E12" s="235"/>
      <c r="F12" s="235"/>
      <c r="G12" s="235"/>
      <c r="H12" s="235">
        <v>43</v>
      </c>
      <c r="I12" s="235">
        <v>52</v>
      </c>
      <c r="J12" s="235"/>
      <c r="K12" s="235"/>
      <c r="L12" s="235">
        <v>17</v>
      </c>
      <c r="M12" s="235"/>
      <c r="N12" s="235"/>
      <c r="O12" s="235"/>
      <c r="P12" s="235"/>
      <c r="Q12" s="235"/>
      <c r="R12" s="235"/>
      <c r="S12" s="235"/>
      <c r="T12" s="235">
        <v>0</v>
      </c>
      <c r="U12" s="235">
        <v>0</v>
      </c>
      <c r="V12" s="235">
        <v>1.2</v>
      </c>
    </row>
    <row r="13" spans="2:22" x14ac:dyDescent="0.25">
      <c r="B13" s="292"/>
      <c r="C13" s="230" t="s">
        <v>526</v>
      </c>
      <c r="D13" s="262">
        <f>225/25</f>
        <v>9</v>
      </c>
      <c r="E13" s="233"/>
      <c r="F13" s="233"/>
      <c r="G13" s="233"/>
      <c r="H13" s="233">
        <v>43</v>
      </c>
      <c r="I13" s="233">
        <v>52</v>
      </c>
      <c r="J13" s="233"/>
      <c r="K13" s="233"/>
      <c r="L13" s="233"/>
      <c r="M13" s="233"/>
      <c r="N13" s="233"/>
      <c r="O13" s="233"/>
      <c r="P13" s="233"/>
      <c r="Q13" s="233"/>
      <c r="R13" s="233"/>
      <c r="S13" s="233"/>
      <c r="T13" s="233">
        <v>0</v>
      </c>
      <c r="U13" s="233">
        <v>0</v>
      </c>
      <c r="V13" s="233"/>
    </row>
    <row r="14" spans="2:22" x14ac:dyDescent="0.25">
      <c r="B14" s="292"/>
      <c r="C14" s="234" t="s">
        <v>527</v>
      </c>
      <c r="D14" s="263">
        <f>138/25</f>
        <v>5.52</v>
      </c>
      <c r="E14" s="235">
        <v>12</v>
      </c>
      <c r="F14" s="235">
        <v>27</v>
      </c>
      <c r="G14" s="235">
        <v>62</v>
      </c>
      <c r="H14" s="235"/>
      <c r="I14" s="235"/>
      <c r="J14" s="235"/>
      <c r="K14" s="235"/>
      <c r="L14" s="235"/>
      <c r="M14" s="235"/>
      <c r="N14" s="235"/>
      <c r="O14" s="235"/>
      <c r="P14" s="235"/>
      <c r="Q14" s="235"/>
      <c r="R14" s="235"/>
      <c r="S14" s="235"/>
      <c r="T14" s="235">
        <v>12</v>
      </c>
      <c r="U14" s="235">
        <v>0</v>
      </c>
      <c r="V14" s="235">
        <v>0.95</v>
      </c>
    </row>
    <row r="15" spans="2:22" x14ac:dyDescent="0.25">
      <c r="B15" s="292"/>
      <c r="C15" s="230" t="s">
        <v>528</v>
      </c>
      <c r="D15" s="262">
        <f>223/25</f>
        <v>8.92</v>
      </c>
      <c r="E15" s="233"/>
      <c r="F15" s="233">
        <v>23</v>
      </c>
      <c r="G15" s="233">
        <v>53</v>
      </c>
      <c r="H15" s="233">
        <v>28</v>
      </c>
      <c r="I15" s="233">
        <v>34</v>
      </c>
      <c r="J15" s="233"/>
      <c r="K15" s="233"/>
      <c r="L15" s="233"/>
      <c r="M15" s="233"/>
      <c r="N15" s="233"/>
      <c r="O15" s="233"/>
      <c r="P15" s="233"/>
      <c r="Q15" s="233"/>
      <c r="R15" s="233"/>
      <c r="S15" s="233"/>
      <c r="T15" s="233">
        <v>0</v>
      </c>
      <c r="U15" s="233">
        <v>0</v>
      </c>
      <c r="V15" s="233">
        <v>0.7</v>
      </c>
    </row>
    <row r="16" spans="2:22" x14ac:dyDescent="0.25">
      <c r="B16" s="292"/>
      <c r="C16" s="234"/>
      <c r="D16" s="263"/>
      <c r="E16" s="235"/>
      <c r="F16" s="235"/>
      <c r="G16" s="235"/>
      <c r="H16" s="235"/>
      <c r="I16" s="235"/>
      <c r="J16" s="235"/>
      <c r="K16" s="235"/>
      <c r="L16" s="235"/>
      <c r="M16" s="235"/>
      <c r="N16" s="235"/>
      <c r="O16" s="235"/>
      <c r="P16" s="235"/>
      <c r="Q16" s="235"/>
      <c r="R16" s="235"/>
      <c r="S16" s="235"/>
      <c r="T16" s="235"/>
      <c r="U16" s="235"/>
      <c r="V16" s="235"/>
    </row>
    <row r="17" spans="2:22" x14ac:dyDescent="0.25">
      <c r="B17" s="292"/>
      <c r="C17" s="230"/>
      <c r="D17" s="262"/>
      <c r="E17" s="233"/>
      <c r="F17" s="233"/>
      <c r="G17" s="233"/>
      <c r="H17" s="233"/>
      <c r="I17" s="233"/>
      <c r="J17" s="233"/>
      <c r="K17" s="233"/>
      <c r="L17" s="233"/>
      <c r="M17" s="233"/>
      <c r="N17" s="233"/>
      <c r="O17" s="233"/>
      <c r="P17" s="233"/>
      <c r="Q17" s="233"/>
      <c r="R17" s="233"/>
      <c r="S17" s="233"/>
      <c r="T17" s="233"/>
      <c r="U17" s="233"/>
      <c r="V17" s="233"/>
    </row>
    <row r="18" spans="2:22" x14ac:dyDescent="0.25">
      <c r="B18" s="293" t="s">
        <v>208</v>
      </c>
      <c r="C18" s="234" t="s">
        <v>529</v>
      </c>
      <c r="D18" s="263">
        <v>1.88</v>
      </c>
      <c r="E18" s="235">
        <v>3</v>
      </c>
      <c r="F18" s="235">
        <v>7.87</v>
      </c>
      <c r="G18" s="235">
        <v>18</v>
      </c>
      <c r="H18" s="235">
        <v>4.2</v>
      </c>
      <c r="I18" s="235">
        <v>5</v>
      </c>
      <c r="J18" s="235"/>
      <c r="K18" s="235"/>
      <c r="L18" s="235"/>
      <c r="M18" s="235"/>
      <c r="N18" s="235"/>
      <c r="O18" s="235"/>
      <c r="P18" s="235"/>
      <c r="Q18" s="235"/>
      <c r="R18" s="235"/>
      <c r="S18" s="235"/>
      <c r="T18" s="235"/>
      <c r="U18" s="235"/>
      <c r="V18" s="235"/>
    </row>
    <row r="19" spans="2:22" x14ac:dyDescent="0.25">
      <c r="B19" s="293"/>
      <c r="C19" s="230" t="s">
        <v>533</v>
      </c>
      <c r="D19" s="262">
        <f>93/50</f>
        <v>1.86</v>
      </c>
      <c r="E19" s="233">
        <v>4</v>
      </c>
      <c r="F19" s="233">
        <v>6.15</v>
      </c>
      <c r="G19" s="233">
        <v>14</v>
      </c>
      <c r="H19" s="233">
        <v>6.65</v>
      </c>
      <c r="I19" s="233">
        <v>8</v>
      </c>
      <c r="J19" s="233"/>
      <c r="K19" s="233"/>
      <c r="L19" s="233"/>
      <c r="M19" s="233"/>
      <c r="N19" s="233"/>
      <c r="O19" s="233"/>
      <c r="P19" s="233"/>
      <c r="Q19" s="233"/>
      <c r="R19" s="233"/>
      <c r="S19" s="233"/>
      <c r="T19" s="233"/>
      <c r="U19" s="233"/>
      <c r="V19" s="233"/>
    </row>
    <row r="20" spans="2:22" x14ac:dyDescent="0.25">
      <c r="B20" s="293"/>
      <c r="C20" s="234" t="s">
        <v>534</v>
      </c>
      <c r="D20" s="263">
        <f>126/50</f>
        <v>2.52</v>
      </c>
      <c r="E20" s="235">
        <v>4</v>
      </c>
      <c r="F20" s="235">
        <v>13.1</v>
      </c>
      <c r="G20" s="235">
        <v>30</v>
      </c>
      <c r="H20" s="235">
        <v>13.3</v>
      </c>
      <c r="I20" s="235">
        <v>16</v>
      </c>
      <c r="J20" s="235"/>
      <c r="K20" s="235"/>
      <c r="L20" s="235"/>
      <c r="M20" s="235"/>
      <c r="N20" s="235"/>
      <c r="O20" s="235"/>
      <c r="P20" s="235"/>
      <c r="Q20" s="235"/>
      <c r="R20" s="235"/>
      <c r="S20" s="235"/>
      <c r="T20" s="235"/>
      <c r="U20" s="235"/>
      <c r="V20" s="235"/>
    </row>
    <row r="21" spans="2:22" x14ac:dyDescent="0.25">
      <c r="B21" s="293"/>
      <c r="C21" s="230" t="s">
        <v>535</v>
      </c>
      <c r="D21" s="262">
        <f>100/50</f>
        <v>2</v>
      </c>
      <c r="E21" s="233">
        <v>5</v>
      </c>
      <c r="F21" s="233">
        <v>10.95</v>
      </c>
      <c r="G21" s="233">
        <v>25</v>
      </c>
      <c r="H21" s="233">
        <v>12.45</v>
      </c>
      <c r="I21" s="233">
        <v>15</v>
      </c>
      <c r="J21" s="233"/>
      <c r="K21" s="233"/>
      <c r="L21" s="233"/>
      <c r="M21" s="233"/>
      <c r="N21" s="233"/>
      <c r="O21" s="233"/>
      <c r="P21" s="233"/>
      <c r="Q21" s="233"/>
      <c r="R21" s="233"/>
      <c r="S21" s="233"/>
      <c r="T21" s="233"/>
      <c r="U21" s="233"/>
      <c r="V21" s="233"/>
    </row>
    <row r="22" spans="2:22" x14ac:dyDescent="0.25">
      <c r="B22" s="293"/>
      <c r="C22" s="234" t="s">
        <v>536</v>
      </c>
      <c r="D22" s="263">
        <f>122/50</f>
        <v>2.44</v>
      </c>
      <c r="E22" s="235">
        <v>4</v>
      </c>
      <c r="F22" s="235">
        <v>13.1</v>
      </c>
      <c r="G22" s="235">
        <v>30</v>
      </c>
      <c r="H22" s="235">
        <v>8.3000000000000007</v>
      </c>
      <c r="I22" s="235">
        <v>10</v>
      </c>
      <c r="J22" s="235"/>
      <c r="K22" s="235"/>
      <c r="L22" s="235"/>
      <c r="M22" s="235"/>
      <c r="N22" s="235"/>
      <c r="O22" s="235"/>
      <c r="P22" s="235"/>
      <c r="Q22" s="235"/>
      <c r="R22" s="235"/>
      <c r="S22" s="235"/>
      <c r="T22" s="235"/>
      <c r="U22" s="235"/>
      <c r="V22" s="235"/>
    </row>
    <row r="23" spans="2:22" x14ac:dyDescent="0.25">
      <c r="B23" s="293"/>
      <c r="C23" s="230" t="s">
        <v>157</v>
      </c>
      <c r="D23" s="262"/>
      <c r="E23" s="233"/>
      <c r="F23" s="233">
        <v>7.87</v>
      </c>
      <c r="G23" s="233">
        <v>18</v>
      </c>
      <c r="H23" s="233"/>
      <c r="I23" s="233"/>
      <c r="J23" s="233"/>
      <c r="K23" s="233"/>
      <c r="L23" s="233"/>
      <c r="M23" s="233"/>
      <c r="N23" s="233"/>
      <c r="O23" s="233"/>
      <c r="P23" s="233"/>
      <c r="Q23" s="233"/>
      <c r="R23" s="233"/>
      <c r="S23" s="233"/>
      <c r="T23" s="233"/>
      <c r="U23" s="233"/>
      <c r="V23" s="233"/>
    </row>
    <row r="24" spans="2:22" x14ac:dyDescent="0.25">
      <c r="B24" s="293"/>
      <c r="C24" s="234" t="s">
        <v>537</v>
      </c>
      <c r="D24" s="263">
        <f>210/50</f>
        <v>4.2</v>
      </c>
      <c r="E24" s="235">
        <v>8</v>
      </c>
      <c r="F24" s="235">
        <v>10.5</v>
      </c>
      <c r="G24" s="235">
        <v>24</v>
      </c>
      <c r="H24" s="235">
        <v>6.65</v>
      </c>
      <c r="I24" s="235">
        <v>8</v>
      </c>
      <c r="J24" s="235"/>
      <c r="K24" s="235"/>
      <c r="L24" s="235"/>
      <c r="M24" s="235"/>
      <c r="N24" s="235"/>
      <c r="O24" s="235"/>
      <c r="P24" s="235"/>
      <c r="Q24" s="235"/>
      <c r="R24" s="235"/>
      <c r="S24" s="235"/>
      <c r="T24" s="235"/>
      <c r="U24" s="235"/>
      <c r="V24" s="235"/>
    </row>
    <row r="25" spans="2:22" x14ac:dyDescent="0.25">
      <c r="B25" s="293"/>
      <c r="C25" s="230" t="s">
        <v>538</v>
      </c>
      <c r="D25" s="262">
        <f>126/50</f>
        <v>2.52</v>
      </c>
      <c r="E25" s="233">
        <v>4</v>
      </c>
      <c r="F25" s="233">
        <v>11.35</v>
      </c>
      <c r="G25" s="233">
        <v>26</v>
      </c>
      <c r="H25" s="233">
        <v>8.3000000000000007</v>
      </c>
      <c r="I25" s="233">
        <v>10</v>
      </c>
      <c r="J25" s="233"/>
      <c r="K25" s="233"/>
      <c r="L25" s="233"/>
      <c r="M25" s="233"/>
      <c r="N25" s="233"/>
      <c r="O25" s="233"/>
      <c r="P25" s="233"/>
      <c r="Q25" s="233"/>
      <c r="R25" s="233"/>
      <c r="S25" s="233"/>
      <c r="T25" s="233"/>
      <c r="U25" s="233"/>
      <c r="V25" s="233"/>
    </row>
    <row r="26" spans="2:22" x14ac:dyDescent="0.25">
      <c r="B26" s="293"/>
      <c r="C26" s="234"/>
      <c r="D26" s="263"/>
      <c r="E26" s="235"/>
      <c r="F26" s="235"/>
      <c r="G26" s="235"/>
      <c r="H26" s="235"/>
      <c r="I26" s="235"/>
      <c r="J26" s="235"/>
      <c r="K26" s="235"/>
      <c r="L26" s="235"/>
      <c r="M26" s="235"/>
      <c r="N26" s="235"/>
      <c r="O26" s="235"/>
      <c r="P26" s="235"/>
      <c r="Q26" s="235"/>
      <c r="R26" s="235"/>
      <c r="S26" s="235"/>
      <c r="T26" s="235"/>
      <c r="U26" s="235"/>
      <c r="V26" s="235"/>
    </row>
    <row r="27" spans="2:22" x14ac:dyDescent="0.25">
      <c r="B27" s="293"/>
      <c r="C27" s="230" t="s">
        <v>539</v>
      </c>
      <c r="D27" s="262">
        <f>136/50</f>
        <v>2.72</v>
      </c>
      <c r="E27" s="233">
        <v>12</v>
      </c>
      <c r="F27" s="233">
        <v>1.31</v>
      </c>
      <c r="G27" s="233">
        <v>3</v>
      </c>
      <c r="H27" s="233">
        <v>20</v>
      </c>
      <c r="I27" s="233">
        <v>24</v>
      </c>
      <c r="J27" s="233"/>
      <c r="K27" s="233"/>
      <c r="L27" s="233"/>
      <c r="M27" s="233"/>
      <c r="N27" s="233"/>
      <c r="O27" s="233"/>
      <c r="P27" s="233"/>
      <c r="Q27" s="233"/>
      <c r="R27" s="233"/>
      <c r="S27" s="233"/>
      <c r="T27" s="233"/>
      <c r="U27" s="233"/>
      <c r="V27" s="233"/>
    </row>
    <row r="28" spans="2:22" x14ac:dyDescent="0.25">
      <c r="B28" s="293"/>
      <c r="C28" s="234" t="s">
        <v>201</v>
      </c>
      <c r="D28" s="263">
        <f>57/25</f>
        <v>2.2799999999999998</v>
      </c>
      <c r="E28" s="235">
        <v>13</v>
      </c>
      <c r="F28" s="235">
        <v>1.31</v>
      </c>
      <c r="G28" s="235">
        <v>3</v>
      </c>
      <c r="H28" s="235">
        <v>20.8</v>
      </c>
      <c r="I28" s="235">
        <v>25</v>
      </c>
      <c r="J28" s="235"/>
      <c r="K28" s="235"/>
      <c r="L28" s="235"/>
      <c r="M28" s="235"/>
      <c r="N28" s="235"/>
      <c r="O28" s="235"/>
      <c r="P28" s="235"/>
      <c r="Q28" s="235"/>
      <c r="R28" s="235"/>
      <c r="S28" s="235"/>
      <c r="T28" s="235"/>
      <c r="U28" s="235"/>
      <c r="V28" s="235"/>
    </row>
    <row r="29" spans="2:22" x14ac:dyDescent="0.25">
      <c r="B29" s="293"/>
      <c r="C29" s="230" t="s">
        <v>540</v>
      </c>
      <c r="D29" s="262">
        <f>100/50</f>
        <v>2</v>
      </c>
      <c r="E29" s="233">
        <v>10</v>
      </c>
      <c r="F29" s="233">
        <v>4.4000000000000004</v>
      </c>
      <c r="G29" s="233">
        <v>10</v>
      </c>
      <c r="H29" s="233">
        <v>8.3000000000000007</v>
      </c>
      <c r="I29" s="233">
        <v>10</v>
      </c>
      <c r="J29" s="233"/>
      <c r="K29" s="233"/>
      <c r="L29" s="233"/>
      <c r="M29" s="233"/>
      <c r="N29" s="233"/>
      <c r="O29" s="233"/>
      <c r="P29" s="233"/>
      <c r="Q29" s="233"/>
      <c r="R29" s="233"/>
      <c r="S29" s="233"/>
      <c r="T29" s="233"/>
      <c r="U29" s="233"/>
      <c r="V29" s="233"/>
    </row>
    <row r="30" spans="2:22" x14ac:dyDescent="0.25">
      <c r="B30" s="293"/>
      <c r="C30" s="234" t="s">
        <v>541</v>
      </c>
      <c r="D30" s="263">
        <f>114/50</f>
        <v>2.2799999999999998</v>
      </c>
      <c r="E30" s="235">
        <v>20</v>
      </c>
      <c r="F30" s="235"/>
      <c r="G30" s="235"/>
      <c r="H30" s="235">
        <v>16.600000000000001</v>
      </c>
      <c r="I30" s="235">
        <v>20</v>
      </c>
      <c r="J30" s="235"/>
      <c r="K30" s="235"/>
      <c r="L30" s="235"/>
      <c r="M30" s="235"/>
      <c r="N30" s="235"/>
      <c r="O30" s="235"/>
      <c r="P30" s="235"/>
      <c r="Q30" s="235"/>
      <c r="R30" s="235"/>
      <c r="S30" s="235"/>
      <c r="T30" s="235"/>
      <c r="U30" s="235"/>
      <c r="V30" s="235"/>
    </row>
    <row r="31" spans="2:22" x14ac:dyDescent="0.25">
      <c r="B31" s="293"/>
      <c r="C31" s="230" t="s">
        <v>542</v>
      </c>
      <c r="D31" s="262">
        <f>168/50</f>
        <v>3.36</v>
      </c>
      <c r="E31" s="233">
        <v>7</v>
      </c>
      <c r="F31" s="233"/>
      <c r="G31" s="233"/>
      <c r="H31" s="233">
        <v>24.89</v>
      </c>
      <c r="I31" s="233">
        <v>30</v>
      </c>
      <c r="J31" s="233">
        <v>12</v>
      </c>
      <c r="K31" s="233"/>
      <c r="L31" s="233"/>
      <c r="M31" s="233"/>
      <c r="N31" s="233"/>
      <c r="O31" s="233"/>
      <c r="P31" s="233"/>
      <c r="Q31" s="233"/>
      <c r="R31" s="233"/>
      <c r="S31" s="233"/>
      <c r="T31" s="233"/>
      <c r="U31" s="233"/>
      <c r="V31" s="233"/>
    </row>
    <row r="32" spans="2:22" x14ac:dyDescent="0.25">
      <c r="B32" s="293"/>
      <c r="C32" s="234"/>
      <c r="D32" s="263"/>
      <c r="E32" s="235"/>
      <c r="F32" s="235"/>
      <c r="G32" s="235"/>
      <c r="H32" s="235"/>
      <c r="I32" s="235"/>
      <c r="J32" s="235"/>
      <c r="K32" s="235"/>
      <c r="L32" s="235"/>
      <c r="M32" s="235"/>
      <c r="N32" s="235"/>
      <c r="O32" s="235"/>
      <c r="P32" s="235"/>
      <c r="Q32" s="235"/>
      <c r="R32" s="235"/>
      <c r="S32" s="235"/>
      <c r="T32" s="235"/>
      <c r="U32" s="235"/>
      <c r="V32" s="235"/>
    </row>
    <row r="33" spans="2:22" x14ac:dyDescent="0.25">
      <c r="B33" s="293"/>
      <c r="C33" s="230"/>
      <c r="D33" s="262"/>
      <c r="E33" s="233"/>
      <c r="F33" s="233"/>
      <c r="G33" s="233"/>
      <c r="H33" s="233"/>
      <c r="I33" s="233"/>
      <c r="J33" s="233"/>
      <c r="K33" s="233"/>
      <c r="L33" s="233"/>
      <c r="M33" s="233"/>
      <c r="N33" s="233"/>
      <c r="O33" s="233"/>
      <c r="P33" s="233"/>
      <c r="Q33" s="233"/>
      <c r="R33" s="233"/>
      <c r="S33" s="233"/>
      <c r="T33" s="233"/>
      <c r="U33" s="233"/>
      <c r="V33" s="233"/>
    </row>
    <row r="34" spans="2:22" x14ac:dyDescent="0.25">
      <c r="B34" s="294" t="s">
        <v>261</v>
      </c>
      <c r="C34" s="234" t="s">
        <v>148</v>
      </c>
      <c r="D34" s="263"/>
      <c r="E34" s="235">
        <v>3</v>
      </c>
      <c r="F34" s="235">
        <v>1.31</v>
      </c>
      <c r="G34" s="235">
        <v>3</v>
      </c>
      <c r="H34" s="235">
        <v>1.665</v>
      </c>
      <c r="I34" s="235">
        <v>2</v>
      </c>
      <c r="J34" s="235"/>
      <c r="K34" s="235"/>
      <c r="L34" s="235"/>
      <c r="M34" s="235"/>
      <c r="N34" s="235"/>
      <c r="O34" s="235"/>
      <c r="P34" s="235"/>
      <c r="Q34" s="235"/>
      <c r="R34" s="235"/>
      <c r="S34" s="235"/>
      <c r="T34" s="235"/>
      <c r="U34" s="235"/>
      <c r="V34" s="235"/>
    </row>
    <row r="35" spans="2:22" x14ac:dyDescent="0.25">
      <c r="B35" s="294"/>
      <c r="C35" s="230" t="s">
        <v>156</v>
      </c>
      <c r="D35" s="262"/>
      <c r="E35" s="233">
        <v>1</v>
      </c>
      <c r="F35" s="233">
        <v>0.4366666666666667</v>
      </c>
      <c r="G35" s="233">
        <v>1</v>
      </c>
      <c r="H35" s="233">
        <v>0.55500000000000005</v>
      </c>
      <c r="I35" s="233">
        <v>0.7</v>
      </c>
      <c r="J35" s="233"/>
      <c r="K35" s="233"/>
      <c r="L35" s="233"/>
      <c r="M35" s="233"/>
      <c r="N35" s="233"/>
      <c r="O35" s="233"/>
      <c r="P35" s="233"/>
      <c r="Q35" s="233"/>
      <c r="R35" s="233"/>
      <c r="S35" s="233"/>
      <c r="T35" s="233"/>
      <c r="U35" s="233"/>
      <c r="V35" s="233"/>
    </row>
    <row r="36" spans="2:22" x14ac:dyDescent="0.25">
      <c r="B36" s="294"/>
      <c r="C36" s="234" t="s">
        <v>160</v>
      </c>
      <c r="D36" s="263"/>
      <c r="E36" s="235">
        <v>1</v>
      </c>
      <c r="F36" s="235"/>
      <c r="G36" s="235"/>
      <c r="H36" s="235"/>
      <c r="I36" s="235"/>
      <c r="J36" s="235"/>
      <c r="K36" s="235"/>
      <c r="L36" s="235"/>
      <c r="M36" s="235"/>
      <c r="N36" s="235"/>
      <c r="O36" s="235"/>
      <c r="P36" s="235"/>
      <c r="Q36" s="235"/>
      <c r="R36" s="235"/>
      <c r="S36" s="235"/>
      <c r="T36" s="235"/>
      <c r="U36" s="235"/>
      <c r="V36" s="235"/>
    </row>
    <row r="37" spans="2:22" x14ac:dyDescent="0.25">
      <c r="B37" s="294"/>
      <c r="C37" s="230" t="s">
        <v>164</v>
      </c>
      <c r="D37" s="262"/>
      <c r="E37" s="233">
        <v>3</v>
      </c>
      <c r="F37" s="233">
        <v>2.63</v>
      </c>
      <c r="G37" s="233">
        <v>6</v>
      </c>
      <c r="H37" s="233">
        <v>3.32</v>
      </c>
      <c r="I37" s="233">
        <v>4</v>
      </c>
      <c r="J37" s="233"/>
      <c r="K37" s="233"/>
      <c r="L37" s="233"/>
      <c r="M37" s="233"/>
      <c r="N37" s="233"/>
      <c r="O37" s="233"/>
      <c r="P37" s="233"/>
      <c r="Q37" s="233"/>
      <c r="R37" s="233"/>
      <c r="S37" s="233"/>
      <c r="T37" s="233"/>
      <c r="U37" s="233"/>
      <c r="V37" s="233"/>
    </row>
    <row r="38" spans="2:22" x14ac:dyDescent="0.25">
      <c r="B38" s="294"/>
      <c r="C38" s="234" t="s">
        <v>202</v>
      </c>
      <c r="D38" s="263"/>
      <c r="E38" s="235">
        <v>1.7</v>
      </c>
      <c r="F38" s="235">
        <v>0.77800000000000002</v>
      </c>
      <c r="G38" s="235">
        <v>1.8</v>
      </c>
      <c r="H38" s="235">
        <v>0.93</v>
      </c>
      <c r="I38" s="235">
        <v>1.1000000000000001</v>
      </c>
      <c r="J38" s="235">
        <v>3.5</v>
      </c>
      <c r="K38" s="235">
        <v>0.69</v>
      </c>
      <c r="L38" s="235">
        <v>0.54</v>
      </c>
      <c r="M38" s="235">
        <v>2.05E-5</v>
      </c>
      <c r="N38" s="235">
        <v>4.2999999999999999E-4</v>
      </c>
      <c r="O38" s="235"/>
      <c r="P38" s="235">
        <v>4.6900000000000002E-4</v>
      </c>
      <c r="Q38" s="235"/>
      <c r="R38" s="235">
        <v>5.9700000000000001E-5</v>
      </c>
      <c r="S38" s="235"/>
      <c r="T38" s="235"/>
      <c r="U38" s="235"/>
      <c r="V38" s="235"/>
    </row>
    <row r="39" spans="2:22" x14ac:dyDescent="0.25">
      <c r="B39" s="294"/>
      <c r="C39" s="230" t="s">
        <v>203</v>
      </c>
      <c r="D39" s="262"/>
      <c r="E39" s="233">
        <v>2.57</v>
      </c>
      <c r="F39" s="233">
        <v>0.55500000000000005</v>
      </c>
      <c r="G39" s="233">
        <v>1.3</v>
      </c>
      <c r="H39" s="233">
        <v>1.25</v>
      </c>
      <c r="I39" s="233">
        <v>1.5</v>
      </c>
      <c r="J39" s="233">
        <v>4.3</v>
      </c>
      <c r="K39" s="233">
        <v>0.6</v>
      </c>
      <c r="L39" s="233">
        <v>0.6</v>
      </c>
      <c r="M39" s="233">
        <v>9.2E-6</v>
      </c>
      <c r="N39" s="233">
        <v>3.9199999999999999E-4</v>
      </c>
      <c r="O39" s="233"/>
      <c r="P39" s="233">
        <v>4.55E-4</v>
      </c>
      <c r="Q39" s="233"/>
      <c r="R39" s="233">
        <v>7.7200000000000006E-5</v>
      </c>
      <c r="S39" s="233"/>
      <c r="T39" s="233"/>
      <c r="U39" s="233"/>
      <c r="V39" s="233"/>
    </row>
    <row r="40" spans="2:22" x14ac:dyDescent="0.25">
      <c r="B40" s="294"/>
      <c r="C40" s="234" t="s">
        <v>204</v>
      </c>
      <c r="D40" s="263"/>
      <c r="E40" s="235">
        <v>1.8</v>
      </c>
      <c r="F40" s="235">
        <v>0.62</v>
      </c>
      <c r="G40" s="235">
        <v>1.4</v>
      </c>
      <c r="H40" s="235">
        <v>1.34</v>
      </c>
      <c r="I40" s="235">
        <v>1.6</v>
      </c>
      <c r="J40" s="235">
        <v>2.4500000000000002</v>
      </c>
      <c r="K40" s="235">
        <v>0.5</v>
      </c>
      <c r="L40" s="235">
        <v>0.42</v>
      </c>
      <c r="M40" s="235">
        <v>3.7400000000000001E-5</v>
      </c>
      <c r="N40" s="235">
        <v>2.5399999999999999E-4</v>
      </c>
      <c r="O40" s="235"/>
      <c r="P40" s="235">
        <v>4.6500000000000003E-4</v>
      </c>
      <c r="Q40" s="235"/>
      <c r="R40" s="235">
        <v>3.339E-3</v>
      </c>
      <c r="S40" s="235"/>
      <c r="T40" s="235"/>
      <c r="U40" s="235"/>
      <c r="V40" s="235"/>
    </row>
    <row r="41" spans="2:22" x14ac:dyDescent="0.25">
      <c r="B41" s="294"/>
      <c r="C41" s="230" t="s">
        <v>158</v>
      </c>
      <c r="D41" s="262"/>
      <c r="E41" s="233">
        <v>3</v>
      </c>
      <c r="F41" s="233">
        <v>2.19</v>
      </c>
      <c r="G41" s="233">
        <v>5</v>
      </c>
      <c r="H41" s="233">
        <v>3.32</v>
      </c>
      <c r="I41" s="233">
        <v>4</v>
      </c>
      <c r="J41" s="233"/>
      <c r="K41" s="233"/>
      <c r="L41" s="233"/>
      <c r="M41" s="233"/>
      <c r="N41" s="233"/>
      <c r="O41" s="233"/>
      <c r="P41" s="233"/>
      <c r="Q41" s="233"/>
      <c r="R41" s="233"/>
      <c r="S41" s="233"/>
      <c r="T41" s="233"/>
      <c r="U41" s="233"/>
      <c r="V41" s="233"/>
    </row>
    <row r="42" spans="2:22" x14ac:dyDescent="0.25">
      <c r="B42" s="294"/>
      <c r="C42" s="234" t="s">
        <v>163</v>
      </c>
      <c r="D42" s="263"/>
      <c r="E42" s="235">
        <v>3</v>
      </c>
      <c r="F42" s="235">
        <v>2.63</v>
      </c>
      <c r="G42" s="235">
        <v>6</v>
      </c>
      <c r="H42" s="235">
        <v>3.32</v>
      </c>
      <c r="I42" s="235">
        <v>4</v>
      </c>
      <c r="J42" s="235"/>
      <c r="K42" s="235"/>
      <c r="L42" s="235"/>
      <c r="M42" s="235"/>
      <c r="N42" s="235"/>
      <c r="O42" s="235"/>
      <c r="P42" s="235"/>
      <c r="Q42" s="235"/>
      <c r="R42" s="235"/>
      <c r="S42" s="235"/>
      <c r="T42" s="235"/>
      <c r="U42" s="235"/>
      <c r="V42" s="235"/>
    </row>
    <row r="43" spans="2:22" x14ac:dyDescent="0.25">
      <c r="B43" s="294"/>
      <c r="C43" s="230" t="s">
        <v>165</v>
      </c>
      <c r="D43" s="262"/>
      <c r="E43" s="233">
        <v>3</v>
      </c>
      <c r="F43" s="233">
        <v>2.63</v>
      </c>
      <c r="G43" s="233">
        <v>6</v>
      </c>
      <c r="H43" s="233">
        <v>3.32</v>
      </c>
      <c r="I43" s="233">
        <v>4</v>
      </c>
      <c r="J43" s="233"/>
      <c r="K43" s="233"/>
      <c r="L43" s="233"/>
      <c r="M43" s="233"/>
      <c r="N43" s="233"/>
      <c r="O43" s="233"/>
      <c r="P43" s="233"/>
      <c r="Q43" s="233"/>
      <c r="R43" s="233"/>
      <c r="S43" s="233"/>
      <c r="T43" s="233"/>
      <c r="U43" s="233"/>
      <c r="V43" s="233"/>
    </row>
    <row r="44" spans="2:22" x14ac:dyDescent="0.25">
      <c r="B44" s="294"/>
      <c r="C44" s="234" t="s">
        <v>159</v>
      </c>
      <c r="D44" s="263"/>
      <c r="E44" s="235"/>
      <c r="F44" s="235"/>
      <c r="G44" s="235"/>
      <c r="H44" s="235"/>
      <c r="I44" s="235"/>
      <c r="J44" s="235"/>
      <c r="K44" s="235"/>
      <c r="L44" s="235"/>
      <c r="M44" s="235"/>
      <c r="N44" s="235"/>
      <c r="O44" s="235"/>
      <c r="P44" s="235"/>
      <c r="Q44" s="235"/>
      <c r="R44" s="235"/>
      <c r="S44" s="235"/>
      <c r="T44" s="235"/>
      <c r="U44" s="235"/>
      <c r="V44" s="235"/>
    </row>
    <row r="45" spans="2:22" x14ac:dyDescent="0.25">
      <c r="B45" s="294"/>
      <c r="C45" s="230" t="s">
        <v>161</v>
      </c>
      <c r="D45" s="262"/>
      <c r="E45" s="233">
        <v>9.1</v>
      </c>
      <c r="F45" s="233"/>
      <c r="G45" s="233"/>
      <c r="H45" s="233"/>
      <c r="I45" s="233"/>
      <c r="J45" s="233"/>
      <c r="K45" s="233"/>
      <c r="L45" s="233"/>
      <c r="M45" s="233"/>
      <c r="N45" s="233"/>
      <c r="O45" s="233"/>
      <c r="P45" s="233"/>
      <c r="Q45" s="233"/>
      <c r="R45" s="233"/>
      <c r="S45" s="233"/>
      <c r="T45" s="233"/>
      <c r="U45" s="233"/>
      <c r="V45" s="233"/>
    </row>
    <row r="46" spans="2:22" x14ac:dyDescent="0.25">
      <c r="B46" s="294"/>
      <c r="C46" s="234" t="s">
        <v>162</v>
      </c>
      <c r="D46" s="263"/>
      <c r="E46" s="235">
        <v>5</v>
      </c>
      <c r="F46" s="235"/>
      <c r="G46" s="235"/>
      <c r="H46" s="235"/>
      <c r="I46" s="235"/>
      <c r="J46" s="235"/>
      <c r="K46" s="235"/>
      <c r="L46" s="235"/>
      <c r="M46" s="235"/>
      <c r="N46" s="235"/>
      <c r="O46" s="235"/>
      <c r="P46" s="235"/>
      <c r="Q46" s="235"/>
      <c r="R46" s="235"/>
      <c r="S46" s="235"/>
      <c r="T46" s="235"/>
      <c r="U46" s="235"/>
      <c r="V46" s="235"/>
    </row>
    <row r="47" spans="2:22" ht="18" customHeight="1" x14ac:dyDescent="0.25">
      <c r="B47" s="294"/>
      <c r="C47" s="230" t="s">
        <v>166</v>
      </c>
      <c r="D47" s="262"/>
      <c r="E47" s="233">
        <v>8.5</v>
      </c>
      <c r="F47" s="233"/>
      <c r="G47" s="233"/>
      <c r="H47" s="233"/>
      <c r="I47" s="233"/>
      <c r="J47" s="233"/>
      <c r="K47" s="233"/>
      <c r="L47" s="233"/>
      <c r="M47" s="233"/>
      <c r="N47" s="233"/>
      <c r="O47" s="233"/>
      <c r="P47" s="233"/>
      <c r="Q47" s="233"/>
      <c r="R47" s="233"/>
      <c r="S47" s="233"/>
      <c r="T47" s="233"/>
      <c r="U47" s="233"/>
      <c r="V47" s="233"/>
    </row>
    <row r="48" spans="2:22" x14ac:dyDescent="0.25">
      <c r="B48" s="294"/>
      <c r="C48" s="234" t="s">
        <v>509</v>
      </c>
      <c r="D48" s="263">
        <f>105/50</f>
        <v>2.1</v>
      </c>
      <c r="E48" s="235">
        <v>0</v>
      </c>
      <c r="F48" s="235">
        <v>18.2</v>
      </c>
      <c r="G48" s="235">
        <v>42</v>
      </c>
      <c r="H48" s="235"/>
      <c r="I48" s="235"/>
      <c r="J48" s="235">
        <v>39.5</v>
      </c>
      <c r="K48" s="235"/>
      <c r="L48" s="235"/>
      <c r="M48" s="235"/>
      <c r="N48" s="235"/>
      <c r="O48" s="235"/>
      <c r="P48" s="235"/>
      <c r="Q48" s="235"/>
      <c r="R48" s="235"/>
      <c r="S48" s="235"/>
      <c r="T48" s="235">
        <v>7.5</v>
      </c>
      <c r="U48" s="235"/>
      <c r="V48" s="235"/>
    </row>
    <row r="49" spans="2:22" x14ac:dyDescent="0.25">
      <c r="B49" s="294"/>
      <c r="C49" s="230" t="s">
        <v>210</v>
      </c>
      <c r="D49" s="262">
        <f>93/40</f>
        <v>2.3250000000000002</v>
      </c>
      <c r="E49" s="233"/>
      <c r="F49" s="233">
        <v>7.6440000000000001</v>
      </c>
      <c r="G49" s="233">
        <v>17.5</v>
      </c>
      <c r="H49" s="233"/>
      <c r="I49" s="233"/>
      <c r="J49" s="233">
        <v>18</v>
      </c>
      <c r="K49" s="233">
        <v>7</v>
      </c>
      <c r="L49" s="233"/>
      <c r="M49" s="233">
        <v>0.1</v>
      </c>
      <c r="N49" s="233">
        <v>0.3</v>
      </c>
      <c r="O49" s="233">
        <v>5.5</v>
      </c>
      <c r="P49" s="233">
        <v>0.5</v>
      </c>
      <c r="Q49" s="233"/>
      <c r="R49" s="233"/>
      <c r="S49" s="233">
        <v>10</v>
      </c>
      <c r="T49" s="233"/>
      <c r="U49" s="233"/>
      <c r="V49" s="233"/>
    </row>
    <row r="50" spans="2:22" x14ac:dyDescent="0.25">
      <c r="B50" s="294"/>
      <c r="C50" s="234" t="s">
        <v>151</v>
      </c>
      <c r="D50" s="263">
        <f>145/50</f>
        <v>2.9</v>
      </c>
      <c r="E50" s="235"/>
      <c r="F50" s="235"/>
      <c r="G50" s="235"/>
      <c r="H50" s="235">
        <v>17.45</v>
      </c>
      <c r="I50" s="235">
        <v>21</v>
      </c>
      <c r="J50" s="235">
        <v>10</v>
      </c>
      <c r="K50" s="235">
        <v>21</v>
      </c>
      <c r="L50" s="235"/>
      <c r="M50" s="235"/>
      <c r="N50" s="235"/>
      <c r="O50" s="235"/>
      <c r="P50" s="235"/>
      <c r="Q50" s="235"/>
      <c r="R50" s="235"/>
      <c r="S50" s="235"/>
      <c r="T50" s="235"/>
      <c r="U50" s="235"/>
      <c r="V50" s="235"/>
    </row>
    <row r="51" spans="2:22" x14ac:dyDescent="0.25">
      <c r="B51" s="294"/>
      <c r="C51" s="230" t="s">
        <v>530</v>
      </c>
      <c r="D51" s="262">
        <f>49/25</f>
        <v>1.96</v>
      </c>
      <c r="E51" s="233"/>
      <c r="F51" s="233">
        <v>0</v>
      </c>
      <c r="G51" s="233"/>
      <c r="H51" s="233"/>
      <c r="I51" s="233"/>
      <c r="J51" s="233">
        <v>32</v>
      </c>
      <c r="K51" s="233">
        <v>2</v>
      </c>
      <c r="L51" s="233"/>
      <c r="M51" s="233"/>
      <c r="N51" s="233"/>
      <c r="O51" s="233"/>
      <c r="P51" s="233"/>
      <c r="Q51" s="233"/>
      <c r="R51" s="233"/>
      <c r="S51" s="233"/>
      <c r="T51" s="233"/>
      <c r="U51" s="233"/>
      <c r="V51" s="233"/>
    </row>
    <row r="52" spans="2:22" x14ac:dyDescent="0.25">
      <c r="B52" s="294"/>
      <c r="C52" s="235" t="s">
        <v>543</v>
      </c>
      <c r="D52" s="235">
        <f>76/50</f>
        <v>1.52</v>
      </c>
      <c r="E52" s="235">
        <v>6</v>
      </c>
      <c r="F52" s="235"/>
      <c r="G52" s="235"/>
      <c r="H52" s="235"/>
      <c r="I52" s="235"/>
      <c r="J52" s="235"/>
      <c r="K52" s="235"/>
      <c r="L52" s="235"/>
      <c r="M52" s="235"/>
      <c r="N52" s="235"/>
      <c r="O52" s="235"/>
      <c r="P52" s="235"/>
      <c r="Q52" s="235"/>
      <c r="R52" s="235"/>
      <c r="S52" s="235"/>
      <c r="T52" s="235"/>
      <c r="U52" s="235"/>
      <c r="V52" s="235"/>
    </row>
    <row r="53" spans="2:22" x14ac:dyDescent="0.25">
      <c r="B53" s="294"/>
      <c r="C53" s="230" t="s">
        <v>531</v>
      </c>
      <c r="D53" s="262">
        <v>1.6</v>
      </c>
      <c r="E53" s="233"/>
      <c r="F53" s="233"/>
      <c r="G53" s="233"/>
      <c r="H53" s="233"/>
      <c r="I53" s="233"/>
      <c r="J53" s="233"/>
      <c r="K53" s="233">
        <v>9.5</v>
      </c>
      <c r="L53" s="233">
        <v>12</v>
      </c>
      <c r="M53" s="233"/>
      <c r="N53" s="233"/>
      <c r="O53" s="233"/>
      <c r="P53" s="233"/>
      <c r="Q53" s="233"/>
      <c r="R53" s="233"/>
      <c r="S53" s="233"/>
      <c r="T53" s="233"/>
      <c r="U53" s="233"/>
      <c r="V53" s="233"/>
    </row>
    <row r="54" spans="2:22" x14ac:dyDescent="0.25">
      <c r="B54" s="293" t="s">
        <v>139</v>
      </c>
      <c r="C54" s="234" t="s">
        <v>105</v>
      </c>
      <c r="D54" s="263"/>
      <c r="E54" s="235"/>
      <c r="F54" s="235"/>
      <c r="G54" s="235"/>
      <c r="H54" s="235">
        <v>6.65</v>
      </c>
      <c r="I54" s="235">
        <v>8</v>
      </c>
      <c r="J54" s="235">
        <v>1.5</v>
      </c>
      <c r="K54" s="235">
        <v>0.2</v>
      </c>
      <c r="L54" s="235"/>
      <c r="M54" s="235">
        <v>6.4999999999999994E-5</v>
      </c>
      <c r="N54" s="235">
        <v>6.4999999999999994E-5</v>
      </c>
      <c r="O54" s="235">
        <v>1.25E-4</v>
      </c>
      <c r="P54" s="235">
        <v>1.4E-5</v>
      </c>
      <c r="Q54" s="235">
        <v>7.9999999999999996E-6</v>
      </c>
      <c r="R54" s="235"/>
      <c r="S54" s="235">
        <v>54</v>
      </c>
      <c r="T54" s="235"/>
      <c r="U54" s="235"/>
      <c r="V54" s="235"/>
    </row>
    <row r="55" spans="2:22" x14ac:dyDescent="0.25">
      <c r="B55" s="293"/>
      <c r="C55" s="230" t="s">
        <v>152</v>
      </c>
      <c r="D55" s="262"/>
      <c r="E55" s="233"/>
      <c r="F55" s="233">
        <v>12.67</v>
      </c>
      <c r="G55" s="233">
        <v>29</v>
      </c>
      <c r="H55" s="233"/>
      <c r="I55" s="233"/>
      <c r="J55" s="233"/>
      <c r="K55" s="233"/>
      <c r="L55" s="233"/>
      <c r="M55" s="233"/>
      <c r="N55" s="233"/>
      <c r="O55" s="233"/>
      <c r="P55" s="233"/>
      <c r="Q55" s="233"/>
      <c r="R55" s="233"/>
      <c r="S55" s="233"/>
      <c r="T55" s="233"/>
      <c r="U55" s="233"/>
      <c r="V55" s="233"/>
    </row>
    <row r="56" spans="2:22" x14ac:dyDescent="0.25">
      <c r="B56" s="293"/>
      <c r="C56" s="234" t="s">
        <v>153</v>
      </c>
      <c r="D56" s="263"/>
      <c r="E56" s="235"/>
      <c r="F56" s="235">
        <v>13.11</v>
      </c>
      <c r="G56" s="235">
        <v>30</v>
      </c>
      <c r="H56" s="235"/>
      <c r="I56" s="235"/>
      <c r="J56" s="235"/>
      <c r="K56" s="235"/>
      <c r="L56" s="235"/>
      <c r="M56" s="235"/>
      <c r="N56" s="235"/>
      <c r="O56" s="235"/>
      <c r="P56" s="235"/>
      <c r="Q56" s="235"/>
      <c r="R56" s="235"/>
      <c r="S56" s="235"/>
      <c r="T56" s="235"/>
      <c r="U56" s="235"/>
      <c r="V56" s="235"/>
    </row>
    <row r="57" spans="2:22" x14ac:dyDescent="0.25">
      <c r="B57" s="293"/>
      <c r="C57" s="230" t="s">
        <v>154</v>
      </c>
      <c r="D57" s="262"/>
      <c r="E57" s="233"/>
      <c r="F57" s="233">
        <v>11.8</v>
      </c>
      <c r="G57" s="233">
        <v>27</v>
      </c>
      <c r="H57" s="233"/>
      <c r="I57" s="233"/>
      <c r="J57" s="233"/>
      <c r="K57" s="233"/>
      <c r="L57" s="233"/>
      <c r="M57" s="233"/>
      <c r="N57" s="233"/>
      <c r="O57" s="233"/>
      <c r="P57" s="233"/>
      <c r="Q57" s="233"/>
      <c r="R57" s="233"/>
      <c r="S57" s="233"/>
      <c r="T57" s="233"/>
      <c r="U57" s="233"/>
      <c r="V57" s="233"/>
    </row>
    <row r="58" spans="2:22" x14ac:dyDescent="0.25">
      <c r="B58" s="293"/>
      <c r="C58" s="234" t="s">
        <v>155</v>
      </c>
      <c r="D58" s="263"/>
      <c r="E58" s="235"/>
      <c r="F58" s="235">
        <v>6.1150000000000002</v>
      </c>
      <c r="G58" s="235">
        <v>14</v>
      </c>
      <c r="H58" s="235"/>
      <c r="I58" s="235"/>
      <c r="J58" s="235"/>
      <c r="K58" s="235"/>
      <c r="L58" s="235"/>
      <c r="M58" s="235"/>
      <c r="N58" s="235"/>
      <c r="O58" s="235"/>
      <c r="P58" s="235"/>
      <c r="Q58" s="235"/>
      <c r="R58" s="235"/>
      <c r="S58" s="235"/>
      <c r="T58" s="235"/>
      <c r="U58" s="235"/>
      <c r="V58" s="235"/>
    </row>
    <row r="59" spans="2:22" x14ac:dyDescent="0.25">
      <c r="B59" s="293"/>
      <c r="C59" s="230" t="s">
        <v>149</v>
      </c>
      <c r="D59" s="262"/>
      <c r="E59" s="233"/>
      <c r="F59" s="233">
        <v>6.1150000000000002</v>
      </c>
      <c r="G59" s="233">
        <v>14</v>
      </c>
      <c r="H59" s="233"/>
      <c r="I59" s="233"/>
      <c r="J59" s="233">
        <v>12</v>
      </c>
      <c r="K59" s="233"/>
      <c r="L59" s="233"/>
      <c r="M59" s="233"/>
      <c r="N59" s="233"/>
      <c r="O59" s="233"/>
      <c r="P59" s="233"/>
      <c r="Q59" s="233"/>
      <c r="R59" s="233"/>
      <c r="S59" s="233"/>
      <c r="T59" s="233"/>
      <c r="U59" s="233"/>
      <c r="V59" s="233"/>
    </row>
    <row r="60" spans="2:22" x14ac:dyDescent="0.25">
      <c r="B60" s="293"/>
      <c r="C60" s="234" t="s">
        <v>262</v>
      </c>
      <c r="D60" s="263"/>
      <c r="E60" s="235"/>
      <c r="F60" s="235"/>
      <c r="G60" s="235"/>
      <c r="H60" s="235">
        <v>18.27</v>
      </c>
      <c r="I60" s="235">
        <v>22</v>
      </c>
      <c r="J60" s="235"/>
      <c r="K60" s="235">
        <v>11</v>
      </c>
      <c r="L60" s="235">
        <v>22</v>
      </c>
      <c r="M60" s="235"/>
      <c r="N60" s="235"/>
      <c r="O60" s="235"/>
      <c r="P60" s="235"/>
      <c r="Q60" s="235"/>
      <c r="R60" s="235"/>
      <c r="S60" s="235"/>
      <c r="T60" s="235"/>
      <c r="U60" s="235"/>
      <c r="V60" s="235"/>
    </row>
    <row r="61" spans="2:22" x14ac:dyDescent="0.25">
      <c r="B61" s="293"/>
      <c r="C61" s="230"/>
      <c r="D61" s="262"/>
      <c r="E61" s="233"/>
      <c r="F61" s="233"/>
      <c r="G61" s="233"/>
      <c r="H61" s="233"/>
      <c r="I61" s="233"/>
      <c r="J61" s="233"/>
      <c r="K61" s="233"/>
      <c r="L61" s="233"/>
      <c r="M61" s="233"/>
      <c r="N61" s="233"/>
      <c r="O61" s="233"/>
      <c r="P61" s="233"/>
      <c r="Q61" s="233"/>
      <c r="R61" s="233"/>
      <c r="S61" s="233"/>
      <c r="T61" s="233"/>
      <c r="U61" s="233"/>
      <c r="V61" s="233"/>
    </row>
    <row r="62" spans="2:22" x14ac:dyDescent="0.25">
      <c r="B62" s="293"/>
      <c r="C62" s="234"/>
      <c r="D62" s="263"/>
      <c r="E62" s="235"/>
      <c r="F62" s="235"/>
      <c r="G62" s="235"/>
      <c r="H62" s="235"/>
      <c r="I62" s="235"/>
      <c r="J62" s="235"/>
      <c r="K62" s="235"/>
      <c r="L62" s="235"/>
      <c r="M62" s="235"/>
      <c r="N62" s="235"/>
      <c r="O62" s="235"/>
      <c r="P62" s="235"/>
      <c r="Q62" s="235"/>
      <c r="R62" s="235"/>
      <c r="S62" s="235"/>
      <c r="T62" s="235"/>
      <c r="U62" s="235"/>
      <c r="V62" s="235"/>
    </row>
    <row r="63" spans="2:22" x14ac:dyDescent="0.25">
      <c r="B63" s="292" t="s">
        <v>264</v>
      </c>
      <c r="C63" s="230" t="s">
        <v>145</v>
      </c>
      <c r="D63" s="262">
        <f>120/1000</f>
        <v>0.12</v>
      </c>
      <c r="E63" s="233"/>
      <c r="F63" s="233">
        <v>4.4999999999999998E-2</v>
      </c>
      <c r="G63" s="233">
        <v>0.1</v>
      </c>
      <c r="H63" s="233">
        <v>4.32</v>
      </c>
      <c r="I63" s="233">
        <v>5.2</v>
      </c>
      <c r="J63" s="233">
        <v>1.2587412587412588</v>
      </c>
      <c r="K63" s="233">
        <v>1.1627906976744187</v>
      </c>
      <c r="L63" s="233"/>
      <c r="M63" s="233"/>
      <c r="N63" s="233"/>
      <c r="O63" s="233"/>
      <c r="P63" s="233"/>
      <c r="Q63" s="233"/>
      <c r="R63" s="233"/>
      <c r="S63" s="233"/>
      <c r="T63" s="233"/>
      <c r="U63" s="233"/>
      <c r="V63" s="233"/>
    </row>
    <row r="64" spans="2:22" x14ac:dyDescent="0.25">
      <c r="B64" s="292"/>
      <c r="C64" s="234" t="s">
        <v>146</v>
      </c>
      <c r="D64" s="263"/>
      <c r="E64" s="235"/>
      <c r="F64" s="235">
        <v>4.4999999999999998E-2</v>
      </c>
      <c r="G64" s="235">
        <v>0.1</v>
      </c>
      <c r="H64" s="235">
        <v>2.1949999999999998</v>
      </c>
      <c r="I64" s="235">
        <v>2.6</v>
      </c>
      <c r="J64" s="235">
        <v>18.741258741258743</v>
      </c>
      <c r="K64" s="235">
        <v>12.44186046511628</v>
      </c>
      <c r="L64" s="235"/>
      <c r="M64" s="235"/>
      <c r="N64" s="235"/>
      <c r="O64" s="235"/>
      <c r="P64" s="235"/>
      <c r="Q64" s="235"/>
      <c r="R64" s="235"/>
      <c r="S64" s="235">
        <v>43.8</v>
      </c>
      <c r="T64" s="235"/>
      <c r="U64" s="235"/>
      <c r="V64" s="235"/>
    </row>
    <row r="65" spans="2:22" x14ac:dyDescent="0.25">
      <c r="B65" s="292"/>
      <c r="C65" s="230" t="s">
        <v>147</v>
      </c>
      <c r="D65" s="262"/>
      <c r="E65" s="233"/>
      <c r="F65" s="233"/>
      <c r="G65" s="233"/>
      <c r="H65" s="233">
        <v>4.99</v>
      </c>
      <c r="I65" s="233">
        <v>6</v>
      </c>
      <c r="J65" s="233">
        <v>4.1958041958041958</v>
      </c>
      <c r="K65" s="233">
        <v>0.83056478405315615</v>
      </c>
      <c r="L65" s="233"/>
      <c r="M65" s="233"/>
      <c r="N65" s="233"/>
      <c r="O65" s="233"/>
      <c r="P65" s="233"/>
      <c r="Q65" s="233"/>
      <c r="R65" s="233"/>
      <c r="S65" s="233"/>
      <c r="T65" s="233"/>
      <c r="U65" s="233"/>
      <c r="V65" s="233"/>
    </row>
    <row r="66" spans="2:22" x14ac:dyDescent="0.25">
      <c r="B66" s="292"/>
      <c r="C66" s="234" t="s">
        <v>150</v>
      </c>
      <c r="D66" s="263"/>
      <c r="E66" s="235"/>
      <c r="F66" s="235">
        <v>8.7999999999999995E-2</v>
      </c>
      <c r="G66" s="235">
        <v>0.2</v>
      </c>
      <c r="H66" s="235">
        <v>2.83</v>
      </c>
      <c r="I66" s="235">
        <v>3.4</v>
      </c>
      <c r="J66" s="235">
        <v>2.5174825174825175</v>
      </c>
      <c r="K66" s="235">
        <v>7.6411960132890364</v>
      </c>
      <c r="L66" s="235"/>
      <c r="M66" s="235"/>
      <c r="N66" s="235"/>
      <c r="O66" s="235"/>
      <c r="P66" s="235"/>
      <c r="Q66" s="235"/>
      <c r="R66" s="235"/>
      <c r="S66" s="235">
        <v>57.8</v>
      </c>
      <c r="T66" s="235"/>
      <c r="U66" s="235"/>
      <c r="V66" s="235"/>
    </row>
    <row r="67" spans="2:22" x14ac:dyDescent="0.25">
      <c r="B67" s="292"/>
      <c r="C67" s="230" t="s">
        <v>144</v>
      </c>
      <c r="D67" s="262"/>
      <c r="E67" s="233"/>
      <c r="F67" s="233">
        <v>1.5069999999999999</v>
      </c>
      <c r="G67" s="233">
        <v>3.5</v>
      </c>
      <c r="H67" s="233">
        <v>3.3250000000000002</v>
      </c>
      <c r="I67" s="233">
        <v>4</v>
      </c>
      <c r="J67" s="233">
        <v>2.86</v>
      </c>
      <c r="K67" s="233"/>
      <c r="L67" s="233"/>
      <c r="M67" s="233"/>
      <c r="N67" s="233"/>
      <c r="O67" s="233"/>
      <c r="P67" s="233"/>
      <c r="Q67" s="233"/>
      <c r="R67" s="233"/>
      <c r="S67" s="233"/>
      <c r="T67" s="233"/>
      <c r="U67" s="233"/>
      <c r="V67" s="233"/>
    </row>
    <row r="68" spans="2:22" x14ac:dyDescent="0.25">
      <c r="B68" s="292"/>
      <c r="C68" s="234"/>
      <c r="D68" s="263"/>
      <c r="E68" s="235"/>
      <c r="F68" s="235"/>
      <c r="G68" s="235"/>
      <c r="H68" s="235"/>
      <c r="I68" s="235"/>
      <c r="J68" s="235"/>
      <c r="K68" s="235"/>
      <c r="L68" s="235"/>
      <c r="M68" s="235"/>
      <c r="N68" s="235"/>
      <c r="O68" s="235"/>
      <c r="P68" s="235"/>
      <c r="Q68" s="235"/>
      <c r="R68" s="235"/>
      <c r="S68" s="235"/>
      <c r="T68" s="235"/>
      <c r="U68" s="235"/>
      <c r="V68" s="235"/>
    </row>
    <row r="69" spans="2:22" x14ac:dyDescent="0.25">
      <c r="B69" s="292"/>
      <c r="C69" s="230"/>
      <c r="D69" s="262"/>
      <c r="E69" s="233"/>
      <c r="F69" s="233"/>
      <c r="G69" s="233"/>
      <c r="H69" s="233"/>
      <c r="I69" s="233"/>
      <c r="J69" s="233"/>
      <c r="K69" s="233"/>
      <c r="L69" s="233"/>
      <c r="M69" s="233"/>
      <c r="N69" s="233"/>
      <c r="O69" s="233"/>
      <c r="P69" s="233"/>
      <c r="Q69" s="233"/>
      <c r="R69" s="233"/>
      <c r="S69" s="233"/>
      <c r="T69" s="233"/>
      <c r="U69" s="233"/>
      <c r="V69" s="233"/>
    </row>
    <row r="70" spans="2:22" x14ac:dyDescent="0.25">
      <c r="B70" s="292"/>
      <c r="C70" s="234"/>
      <c r="D70" s="263"/>
      <c r="E70" s="235"/>
      <c r="F70" s="235"/>
      <c r="G70" s="235"/>
      <c r="H70" s="235"/>
      <c r="I70" s="235"/>
      <c r="J70" s="235"/>
      <c r="K70" s="235"/>
      <c r="L70" s="235"/>
      <c r="M70" s="235"/>
      <c r="N70" s="235"/>
      <c r="O70" s="235"/>
      <c r="P70" s="235"/>
      <c r="Q70" s="235"/>
      <c r="R70" s="235"/>
      <c r="S70" s="235"/>
      <c r="T70" s="235"/>
      <c r="U70" s="235"/>
      <c r="V70" s="235"/>
    </row>
    <row r="71" spans="2:22" x14ac:dyDescent="0.25">
      <c r="B71" s="292"/>
      <c r="C71" s="230"/>
      <c r="D71" s="262"/>
      <c r="E71" s="233"/>
      <c r="F71" s="233"/>
      <c r="G71" s="233"/>
      <c r="H71" s="233"/>
      <c r="I71" s="233"/>
      <c r="J71" s="233"/>
      <c r="K71" s="233"/>
      <c r="L71" s="233"/>
      <c r="M71" s="233"/>
      <c r="N71" s="233"/>
      <c r="O71" s="233"/>
      <c r="P71" s="233"/>
      <c r="Q71" s="233"/>
      <c r="R71" s="233"/>
      <c r="S71" s="233"/>
      <c r="T71" s="233"/>
      <c r="U71" s="233"/>
      <c r="V71" s="233"/>
    </row>
    <row r="72" spans="2:22" x14ac:dyDescent="0.25">
      <c r="B72" s="292"/>
      <c r="C72" s="234"/>
      <c r="D72" s="263"/>
      <c r="E72" s="235"/>
      <c r="F72" s="235"/>
      <c r="G72" s="235"/>
      <c r="H72" s="235"/>
      <c r="I72" s="235"/>
      <c r="J72" s="235"/>
      <c r="K72" s="235"/>
      <c r="L72" s="235"/>
      <c r="M72" s="235"/>
      <c r="N72" s="235"/>
      <c r="O72" s="235"/>
      <c r="P72" s="235"/>
      <c r="Q72" s="235"/>
      <c r="R72" s="235"/>
      <c r="S72" s="235"/>
      <c r="T72" s="235"/>
      <c r="U72" s="235"/>
      <c r="V72" s="235"/>
    </row>
    <row r="73" spans="2:22" x14ac:dyDescent="0.25">
      <c r="B73" s="294" t="s">
        <v>124</v>
      </c>
      <c r="C73" s="230" t="s">
        <v>301</v>
      </c>
      <c r="D73" s="262">
        <f>138/25</f>
        <v>5.52</v>
      </c>
      <c r="E73" s="233">
        <v>0</v>
      </c>
      <c r="F73" s="233">
        <v>0</v>
      </c>
      <c r="G73" s="233">
        <v>0</v>
      </c>
      <c r="H73" s="233">
        <v>0</v>
      </c>
      <c r="I73" s="233">
        <v>0</v>
      </c>
      <c r="J73" s="233">
        <v>0</v>
      </c>
      <c r="K73" s="233">
        <v>0</v>
      </c>
      <c r="L73" s="233">
        <v>0</v>
      </c>
      <c r="M73" s="233">
        <v>17.5</v>
      </c>
      <c r="N73" s="233">
        <v>0</v>
      </c>
      <c r="O73" s="233">
        <v>0</v>
      </c>
      <c r="P73" s="233">
        <v>0</v>
      </c>
      <c r="Q73" s="233">
        <v>0</v>
      </c>
      <c r="R73" s="233">
        <v>0</v>
      </c>
      <c r="S73" s="233"/>
      <c r="T73" s="233"/>
      <c r="U73" s="233"/>
      <c r="V73" s="233"/>
    </row>
    <row r="74" spans="2:22" x14ac:dyDescent="0.25">
      <c r="B74" s="294"/>
      <c r="C74" s="234" t="s">
        <v>532</v>
      </c>
      <c r="D74" s="263">
        <f>96/25</f>
        <v>3.84</v>
      </c>
      <c r="E74" s="235"/>
      <c r="F74" s="235"/>
      <c r="G74" s="235"/>
      <c r="H74" s="235"/>
      <c r="I74" s="235"/>
      <c r="J74" s="235"/>
      <c r="K74" s="235"/>
      <c r="L74" s="235"/>
      <c r="M74" s="235">
        <v>10.5</v>
      </c>
      <c r="N74" s="235"/>
      <c r="O74" s="235"/>
      <c r="P74" s="235"/>
      <c r="Q74" s="235"/>
      <c r="R74" s="235"/>
      <c r="S74" s="235"/>
      <c r="T74" s="235"/>
      <c r="U74" s="235"/>
      <c r="V74" s="235"/>
    </row>
    <row r="75" spans="2:22" x14ac:dyDescent="0.25">
      <c r="B75" s="294"/>
      <c r="C75" s="230" t="s">
        <v>545</v>
      </c>
      <c r="D75" s="262">
        <v>40</v>
      </c>
      <c r="E75" s="233"/>
      <c r="F75" s="233"/>
      <c r="G75" s="233"/>
      <c r="H75" s="233"/>
      <c r="I75" s="233"/>
      <c r="J75" s="233"/>
      <c r="K75" s="233">
        <v>1.5</v>
      </c>
      <c r="L75" s="233">
        <v>10</v>
      </c>
      <c r="M75" s="233">
        <v>2</v>
      </c>
      <c r="N75" s="233">
        <v>5</v>
      </c>
      <c r="O75" s="233">
        <v>6</v>
      </c>
      <c r="P75" s="233"/>
      <c r="Q75" s="233">
        <v>0.5</v>
      </c>
      <c r="R75" s="233"/>
      <c r="S75" s="233"/>
      <c r="T75" s="233"/>
      <c r="U75" s="233"/>
      <c r="V75" s="233"/>
    </row>
    <row r="76" spans="2:22" x14ac:dyDescent="0.25">
      <c r="B76" s="294"/>
      <c r="C76" s="234" t="s">
        <v>546</v>
      </c>
      <c r="D76" s="263">
        <f>77*2</f>
        <v>154</v>
      </c>
      <c r="E76" s="235"/>
      <c r="F76" s="235"/>
      <c r="G76" s="235"/>
      <c r="H76" s="235"/>
      <c r="I76" s="235"/>
      <c r="J76" s="235"/>
      <c r="K76" s="235"/>
      <c r="L76" s="235"/>
      <c r="M76" s="235"/>
      <c r="N76" s="235"/>
      <c r="O76" s="235"/>
      <c r="P76" s="235"/>
      <c r="Q76" s="235">
        <v>39</v>
      </c>
      <c r="R76" s="235"/>
      <c r="S76" s="235"/>
      <c r="T76" s="235"/>
      <c r="U76" s="235"/>
      <c r="V76" s="235"/>
    </row>
    <row r="77" spans="2:22" x14ac:dyDescent="0.25">
      <c r="B77" s="294"/>
      <c r="C77" s="230" t="s">
        <v>238</v>
      </c>
      <c r="D77" s="262">
        <f>276/25</f>
        <v>11.04</v>
      </c>
      <c r="E77" s="233"/>
      <c r="F77" s="233"/>
      <c r="G77" s="233"/>
      <c r="H77" s="233"/>
      <c r="I77" s="233"/>
      <c r="J77" s="233"/>
      <c r="K77" s="233"/>
      <c r="L77" s="233">
        <v>12</v>
      </c>
      <c r="M77" s="233"/>
      <c r="N77" s="233"/>
      <c r="O77" s="233"/>
      <c r="P77" s="233">
        <v>25</v>
      </c>
      <c r="Q77" s="233"/>
      <c r="R77" s="233"/>
      <c r="S77" s="233"/>
      <c r="T77" s="233"/>
      <c r="U77" s="233"/>
      <c r="V77" s="233"/>
    </row>
    <row r="78" spans="2:22" x14ac:dyDescent="0.25">
      <c r="B78" s="294"/>
      <c r="C78" s="234" t="s">
        <v>96</v>
      </c>
      <c r="D78" s="263">
        <f>168/25</f>
        <v>6.72</v>
      </c>
      <c r="E78" s="235"/>
      <c r="F78" s="235"/>
      <c r="G78" s="235"/>
      <c r="H78" s="235"/>
      <c r="I78" s="235"/>
      <c r="J78" s="235"/>
      <c r="K78" s="235"/>
      <c r="L78" s="235">
        <v>21</v>
      </c>
      <c r="M78" s="235"/>
      <c r="N78" s="235">
        <v>26</v>
      </c>
      <c r="O78" s="235"/>
      <c r="P78" s="235"/>
      <c r="Q78" s="235"/>
      <c r="R78" s="235"/>
      <c r="S78" s="235"/>
      <c r="T78" s="235"/>
      <c r="U78" s="235"/>
      <c r="V78" s="235"/>
    </row>
    <row r="79" spans="2:22" x14ac:dyDescent="0.25">
      <c r="B79" s="294"/>
      <c r="C79" s="230" t="s">
        <v>97</v>
      </c>
      <c r="D79" s="262">
        <f>154/25</f>
        <v>6.16</v>
      </c>
      <c r="E79" s="233"/>
      <c r="F79" s="233"/>
      <c r="G79" s="233"/>
      <c r="H79" s="233"/>
      <c r="I79" s="233"/>
      <c r="J79" s="233"/>
      <c r="K79" s="233"/>
      <c r="L79" s="233">
        <v>17</v>
      </c>
      <c r="M79" s="233"/>
      <c r="N79" s="233"/>
      <c r="O79" s="233">
        <v>35</v>
      </c>
      <c r="P79" s="233"/>
      <c r="Q79" s="233"/>
      <c r="R79" s="233"/>
      <c r="S79" s="233"/>
      <c r="T79" s="233"/>
      <c r="U79" s="233"/>
      <c r="V79" s="233"/>
    </row>
    <row r="80" spans="2:22" x14ac:dyDescent="0.25">
      <c r="B80" s="294"/>
      <c r="C80" s="234" t="s">
        <v>547</v>
      </c>
      <c r="D80" s="263">
        <v>78</v>
      </c>
      <c r="E80" s="235"/>
      <c r="F80" s="235"/>
      <c r="G80" s="235"/>
      <c r="H80" s="235"/>
      <c r="I80" s="235"/>
      <c r="J80" s="235"/>
      <c r="K80" s="235"/>
      <c r="L80" s="235"/>
      <c r="M80" s="235"/>
      <c r="N80" s="235"/>
      <c r="O80" s="235"/>
      <c r="P80" s="235"/>
      <c r="Q80" s="235"/>
      <c r="R80" s="235">
        <v>6</v>
      </c>
      <c r="S80" s="235"/>
      <c r="T80" s="235"/>
      <c r="U80" s="235"/>
      <c r="V80" s="235"/>
    </row>
    <row r="81" spans="2:22" x14ac:dyDescent="0.25">
      <c r="B81" s="294"/>
      <c r="C81" s="230" t="s">
        <v>140</v>
      </c>
      <c r="D81" s="262"/>
      <c r="E81" s="233"/>
      <c r="F81" s="233"/>
      <c r="G81" s="233"/>
      <c r="H81" s="233"/>
      <c r="I81" s="233"/>
      <c r="J81" s="233"/>
      <c r="K81" s="233"/>
      <c r="L81" s="233">
        <v>3.9</v>
      </c>
      <c r="M81" s="233">
        <v>1.8</v>
      </c>
      <c r="N81" s="233">
        <v>2</v>
      </c>
      <c r="O81" s="233">
        <v>9</v>
      </c>
      <c r="P81" s="233">
        <v>0.85</v>
      </c>
      <c r="Q81" s="233"/>
      <c r="R81" s="233"/>
      <c r="S81" s="233"/>
      <c r="T81" s="233"/>
      <c r="U81" s="233"/>
      <c r="V81" s="233"/>
    </row>
    <row r="82" spans="2:22" x14ac:dyDescent="0.25">
      <c r="B82" s="294"/>
      <c r="C82" s="234" t="s">
        <v>522</v>
      </c>
      <c r="D82" s="263">
        <v>2.72</v>
      </c>
      <c r="E82" s="235"/>
      <c r="F82" s="235"/>
      <c r="G82" s="235"/>
      <c r="H82" s="235"/>
      <c r="I82" s="235"/>
      <c r="J82" s="235">
        <v>1.5</v>
      </c>
      <c r="K82" s="235"/>
      <c r="L82" s="235">
        <v>3.2</v>
      </c>
      <c r="M82" s="235">
        <v>1.8</v>
      </c>
      <c r="N82" s="235">
        <v>2.1</v>
      </c>
      <c r="O82" s="235">
        <v>9</v>
      </c>
      <c r="P82" s="235">
        <v>0.85</v>
      </c>
      <c r="Q82" s="235">
        <v>0.1</v>
      </c>
      <c r="R82" s="235"/>
      <c r="S82" s="235"/>
      <c r="T82" s="235"/>
      <c r="U82" s="235"/>
      <c r="V82" s="235"/>
    </row>
    <row r="83" spans="2:22" x14ac:dyDescent="0.25">
      <c r="B83" s="236"/>
      <c r="C83" s="237" t="s">
        <v>130</v>
      </c>
      <c r="D83" s="237"/>
      <c r="E83" s="238">
        <v>32</v>
      </c>
      <c r="F83" s="238">
        <v>15</v>
      </c>
      <c r="G83" s="238">
        <v>94</v>
      </c>
    </row>
    <row r="84" spans="2:22" x14ac:dyDescent="0.25">
      <c r="B84" s="236"/>
      <c r="C84" s="237" t="s">
        <v>131</v>
      </c>
      <c r="D84" s="237"/>
      <c r="E84" s="238">
        <v>51.6</v>
      </c>
      <c r="F84" s="238">
        <v>2</v>
      </c>
      <c r="G84" s="238">
        <v>82.1</v>
      </c>
    </row>
    <row r="85" spans="2:22" x14ac:dyDescent="0.25">
      <c r="B85" s="295" t="s">
        <v>125</v>
      </c>
      <c r="C85" s="295" t="s">
        <v>76</v>
      </c>
      <c r="D85" s="295" t="s">
        <v>77</v>
      </c>
      <c r="E85" s="295" t="s">
        <v>78</v>
      </c>
      <c r="F85" s="295"/>
      <c r="G85" s="295"/>
      <c r="H85" s="295"/>
      <c r="I85" s="226"/>
      <c r="J85" s="226"/>
      <c r="K85" s="226"/>
      <c r="L85" s="226"/>
    </row>
    <row r="86" spans="2:22" ht="36" x14ac:dyDescent="0.25">
      <c r="B86" s="295"/>
      <c r="C86" s="295"/>
      <c r="D86" s="295"/>
      <c r="E86" s="239" t="s">
        <v>98</v>
      </c>
      <c r="F86" s="239" t="s">
        <v>99</v>
      </c>
      <c r="G86" s="239" t="s">
        <v>100</v>
      </c>
      <c r="H86" s="239" t="s">
        <v>180</v>
      </c>
      <c r="I86" s="226"/>
      <c r="J86" s="226"/>
      <c r="K86" s="226"/>
      <c r="L86" s="226"/>
    </row>
    <row r="87" spans="2:22" x14ac:dyDescent="0.25">
      <c r="B87" s="297" t="s">
        <v>170</v>
      </c>
      <c r="C87" s="240" t="s">
        <v>126</v>
      </c>
      <c r="D87" s="241"/>
      <c r="E87" s="241">
        <v>51.8</v>
      </c>
      <c r="F87" s="241">
        <v>1</v>
      </c>
      <c r="G87" s="241">
        <v>90.16</v>
      </c>
      <c r="H87" s="241">
        <f t="shared" ref="H87:H99" si="0">E87+F87</f>
        <v>52.8</v>
      </c>
      <c r="I87" s="226"/>
      <c r="J87" s="226"/>
      <c r="K87" s="226"/>
      <c r="L87" s="226"/>
    </row>
    <row r="88" spans="2:22" x14ac:dyDescent="0.25">
      <c r="B88" s="297"/>
      <c r="C88" s="240" t="s">
        <v>127</v>
      </c>
      <c r="D88" s="241"/>
      <c r="E88" s="241">
        <v>28.8</v>
      </c>
      <c r="F88" s="241">
        <v>17.399999999999999</v>
      </c>
      <c r="G88" s="241">
        <v>89.01</v>
      </c>
      <c r="H88" s="241">
        <f t="shared" si="0"/>
        <v>46.2</v>
      </c>
      <c r="I88" s="226"/>
      <c r="J88" s="226"/>
      <c r="K88" s="226"/>
      <c r="L88" s="226"/>
    </row>
    <row r="89" spans="2:22" x14ac:dyDescent="0.25">
      <c r="B89" s="297"/>
      <c r="C89" s="240" t="s">
        <v>128</v>
      </c>
      <c r="D89" s="241"/>
      <c r="E89" s="241">
        <v>41.78</v>
      </c>
      <c r="F89" s="241">
        <v>2.2200000000000002</v>
      </c>
      <c r="G89" s="241">
        <v>80.239999999999995</v>
      </c>
      <c r="H89" s="241">
        <f t="shared" si="0"/>
        <v>44</v>
      </c>
      <c r="I89" s="226"/>
      <c r="J89" s="226"/>
      <c r="K89" s="226"/>
      <c r="L89" s="226"/>
    </row>
    <row r="90" spans="2:22" x14ac:dyDescent="0.25">
      <c r="B90" s="297"/>
      <c r="C90" s="240" t="s">
        <v>129</v>
      </c>
      <c r="D90" s="241"/>
      <c r="E90" s="241">
        <v>28</v>
      </c>
      <c r="F90" s="241">
        <v>15</v>
      </c>
      <c r="G90" s="241">
        <v>80</v>
      </c>
      <c r="H90" s="241">
        <f t="shared" si="0"/>
        <v>43</v>
      </c>
      <c r="I90" s="226"/>
      <c r="J90" s="226"/>
      <c r="K90" s="226"/>
      <c r="L90" s="226"/>
    </row>
    <row r="91" spans="2:22" x14ac:dyDescent="0.25">
      <c r="B91" s="297"/>
      <c r="C91" s="240" t="s">
        <v>130</v>
      </c>
      <c r="D91" s="241"/>
      <c r="E91" s="241">
        <v>32</v>
      </c>
      <c r="F91" s="241">
        <v>15</v>
      </c>
      <c r="G91" s="241">
        <v>94</v>
      </c>
      <c r="H91" s="241">
        <f t="shared" si="0"/>
        <v>47</v>
      </c>
      <c r="I91" s="226"/>
      <c r="J91" s="226"/>
      <c r="K91" s="226"/>
      <c r="L91" s="226"/>
    </row>
    <row r="92" spans="2:22" x14ac:dyDescent="0.25">
      <c r="B92" s="297"/>
      <c r="C92" s="240" t="s">
        <v>131</v>
      </c>
      <c r="D92" s="241"/>
      <c r="E92" s="241">
        <v>51.6</v>
      </c>
      <c r="F92" s="241">
        <v>2</v>
      </c>
      <c r="G92" s="241">
        <v>82.1</v>
      </c>
      <c r="H92" s="241">
        <f t="shared" si="0"/>
        <v>53.6</v>
      </c>
      <c r="I92" s="226"/>
      <c r="J92" s="226"/>
      <c r="K92" s="226"/>
      <c r="L92" s="300" t="s">
        <v>511</v>
      </c>
      <c r="M92" s="300"/>
      <c r="N92" s="301">
        <v>44004</v>
      </c>
      <c r="O92" s="302"/>
    </row>
    <row r="93" spans="2:22" x14ac:dyDescent="0.25">
      <c r="B93" s="297"/>
      <c r="C93" s="240" t="s">
        <v>132</v>
      </c>
      <c r="D93" s="241"/>
      <c r="E93" s="241">
        <v>29.7</v>
      </c>
      <c r="F93" s="241">
        <v>21.6</v>
      </c>
      <c r="G93" s="241">
        <v>99.3</v>
      </c>
      <c r="H93" s="241">
        <f t="shared" si="0"/>
        <v>51.3</v>
      </c>
      <c r="I93" s="226"/>
      <c r="J93" s="226"/>
      <c r="K93" s="226"/>
    </row>
    <row r="94" spans="2:22" x14ac:dyDescent="0.25">
      <c r="B94" s="297"/>
      <c r="C94" s="240" t="s">
        <v>510</v>
      </c>
      <c r="D94" s="241"/>
      <c r="E94" s="241">
        <v>40</v>
      </c>
      <c r="F94" s="241">
        <v>20</v>
      </c>
      <c r="G94" s="241">
        <v>96</v>
      </c>
      <c r="H94" s="241">
        <f t="shared" si="0"/>
        <v>60</v>
      </c>
      <c r="I94" s="226"/>
      <c r="J94" s="226"/>
      <c r="K94" s="226"/>
      <c r="L94" s="300" t="s">
        <v>512</v>
      </c>
      <c r="M94" s="300"/>
      <c r="N94" s="301" t="s">
        <v>513</v>
      </c>
      <c r="O94" s="302"/>
    </row>
    <row r="95" spans="2:22" x14ac:dyDescent="0.25">
      <c r="B95" s="297"/>
      <c r="C95" s="240" t="s">
        <v>134</v>
      </c>
      <c r="D95" s="241"/>
      <c r="E95" s="241">
        <v>34.299999999999997</v>
      </c>
      <c r="F95" s="241">
        <v>16.2</v>
      </c>
      <c r="G95" s="241">
        <v>95.25</v>
      </c>
      <c r="H95" s="241">
        <f t="shared" si="0"/>
        <v>50.5</v>
      </c>
      <c r="I95" s="226"/>
      <c r="J95" s="226"/>
      <c r="K95" s="226"/>
      <c r="L95" s="226"/>
    </row>
    <row r="96" spans="2:22" x14ac:dyDescent="0.25">
      <c r="B96" s="297"/>
      <c r="C96" s="240" t="s">
        <v>138</v>
      </c>
      <c r="D96" s="241"/>
      <c r="E96" s="241">
        <v>53.2</v>
      </c>
      <c r="F96" s="241">
        <v>1</v>
      </c>
      <c r="G96" s="241">
        <v>90.52</v>
      </c>
      <c r="H96" s="241">
        <f t="shared" si="0"/>
        <v>54.2</v>
      </c>
      <c r="I96" s="226"/>
      <c r="J96" s="226"/>
      <c r="K96" s="226"/>
      <c r="L96" s="300" t="s">
        <v>514</v>
      </c>
      <c r="M96" s="300"/>
      <c r="N96" s="301" t="s">
        <v>515</v>
      </c>
      <c r="O96" s="302"/>
    </row>
    <row r="97" spans="2:15" x14ac:dyDescent="0.25">
      <c r="B97" s="297"/>
      <c r="C97" s="240" t="s">
        <v>544</v>
      </c>
      <c r="D97" s="241">
        <f>28/50</f>
        <v>0.56000000000000005</v>
      </c>
      <c r="E97" s="241">
        <v>36</v>
      </c>
      <c r="F97" s="241">
        <v>9</v>
      </c>
      <c r="G97" s="241">
        <v>64.599999999999994</v>
      </c>
      <c r="H97" s="241">
        <f t="shared" si="0"/>
        <v>45</v>
      </c>
      <c r="I97" s="226"/>
      <c r="J97" s="226"/>
      <c r="K97" s="226"/>
      <c r="L97" s="226"/>
    </row>
    <row r="98" spans="2:15" x14ac:dyDescent="0.25">
      <c r="B98" s="297"/>
      <c r="C98" s="240" t="s">
        <v>136</v>
      </c>
      <c r="D98" s="241"/>
      <c r="E98" s="241">
        <v>48</v>
      </c>
      <c r="F98" s="241">
        <v>5</v>
      </c>
      <c r="G98" s="241">
        <v>90.62</v>
      </c>
      <c r="H98" s="241">
        <f t="shared" si="0"/>
        <v>53</v>
      </c>
      <c r="I98" s="226"/>
      <c r="J98" s="226"/>
      <c r="K98" s="226"/>
      <c r="L98" s="300" t="s">
        <v>516</v>
      </c>
      <c r="M98" s="300"/>
      <c r="N98" s="301" t="s">
        <v>517</v>
      </c>
      <c r="O98" s="302"/>
    </row>
    <row r="99" spans="2:15" x14ac:dyDescent="0.25">
      <c r="B99" s="297"/>
      <c r="C99" s="240" t="s">
        <v>135</v>
      </c>
      <c r="D99" s="241"/>
      <c r="E99" s="241">
        <v>36</v>
      </c>
      <c r="F99" s="241">
        <v>15</v>
      </c>
      <c r="G99" s="241">
        <v>92.54</v>
      </c>
      <c r="H99" s="241">
        <f t="shared" si="0"/>
        <v>51</v>
      </c>
      <c r="I99" s="226"/>
      <c r="J99" s="226"/>
      <c r="K99" s="226"/>
      <c r="L99" s="226"/>
      <c r="M99" s="242"/>
    </row>
    <row r="100" spans="2:15" x14ac:dyDescent="0.25">
      <c r="B100" s="226"/>
      <c r="C100" s="226"/>
      <c r="D100" s="226"/>
      <c r="E100" s="226"/>
      <c r="F100" s="226"/>
      <c r="G100" s="226"/>
      <c r="H100" s="226"/>
      <c r="I100" s="226"/>
      <c r="J100" s="226"/>
      <c r="K100" s="226"/>
      <c r="L100" s="226"/>
      <c r="M100" s="227"/>
    </row>
    <row r="101" spans="2:15" x14ac:dyDescent="0.25">
      <c r="B101" s="226"/>
      <c r="C101" s="226"/>
      <c r="D101" s="226"/>
      <c r="E101" s="226"/>
      <c r="F101" s="226"/>
      <c r="G101" s="226"/>
      <c r="H101" s="226"/>
      <c r="I101" s="226"/>
      <c r="J101" s="226"/>
      <c r="K101" s="226"/>
      <c r="L101" s="226"/>
      <c r="M101" s="227"/>
    </row>
    <row r="102" spans="2:15" x14ac:dyDescent="0.25">
      <c r="B102" s="298" t="s">
        <v>125</v>
      </c>
      <c r="C102" s="298" t="s">
        <v>76</v>
      </c>
      <c r="D102" s="298" t="s">
        <v>77</v>
      </c>
      <c r="E102" s="298" t="s">
        <v>265</v>
      </c>
      <c r="F102" s="298"/>
      <c r="G102" s="298"/>
      <c r="H102" s="226"/>
      <c r="I102" s="226"/>
      <c r="J102" s="226"/>
      <c r="K102" s="226"/>
      <c r="L102" s="226"/>
      <c r="M102" s="227"/>
    </row>
    <row r="103" spans="2:15" x14ac:dyDescent="0.25">
      <c r="B103" s="298"/>
      <c r="C103" s="298"/>
      <c r="D103" s="298"/>
      <c r="E103" s="228" t="s">
        <v>81</v>
      </c>
      <c r="F103" s="228" t="s">
        <v>82</v>
      </c>
      <c r="G103" s="228" t="s">
        <v>83</v>
      </c>
      <c r="H103" s="226"/>
      <c r="I103" s="226"/>
      <c r="J103" s="226"/>
      <c r="K103" s="226"/>
      <c r="L103" s="226"/>
      <c r="M103" s="227"/>
    </row>
    <row r="104" spans="2:15" x14ac:dyDescent="0.25">
      <c r="B104" s="299" t="s">
        <v>141</v>
      </c>
      <c r="C104" s="229" t="s">
        <v>171</v>
      </c>
      <c r="D104" s="229"/>
      <c r="E104" s="229">
        <v>15</v>
      </c>
      <c r="F104" s="229"/>
      <c r="G104" s="229">
        <v>20</v>
      </c>
      <c r="H104" s="226"/>
      <c r="I104" s="226"/>
      <c r="J104" s="226"/>
      <c r="K104" s="226"/>
      <c r="L104" s="226"/>
      <c r="M104" s="227"/>
    </row>
    <row r="105" spans="2:15" x14ac:dyDescent="0.25">
      <c r="B105" s="299"/>
      <c r="C105" s="230" t="s">
        <v>172</v>
      </c>
      <c r="D105" s="230"/>
      <c r="E105" s="230">
        <v>16</v>
      </c>
      <c r="F105" s="230"/>
      <c r="G105" s="230">
        <v>20</v>
      </c>
      <c r="H105" s="226"/>
      <c r="I105" s="226"/>
      <c r="J105" s="226"/>
      <c r="K105" s="226"/>
      <c r="L105" s="226"/>
      <c r="M105" s="227"/>
    </row>
    <row r="106" spans="2:15" x14ac:dyDescent="0.25">
      <c r="B106" s="299"/>
      <c r="C106" s="230" t="s">
        <v>173</v>
      </c>
      <c r="D106" s="230">
        <f>19/25</f>
        <v>0.76</v>
      </c>
      <c r="E106" s="230">
        <v>14</v>
      </c>
      <c r="F106" s="230"/>
      <c r="G106" s="230">
        <v>17</v>
      </c>
      <c r="H106" s="226"/>
      <c r="I106" s="226"/>
      <c r="J106" s="226"/>
      <c r="K106" s="226"/>
      <c r="L106" s="226"/>
      <c r="M106" s="227"/>
    </row>
    <row r="107" spans="2:15" x14ac:dyDescent="0.25">
      <c r="B107" s="299"/>
      <c r="C107" s="230" t="s">
        <v>142</v>
      </c>
      <c r="D107" s="230"/>
      <c r="E107" s="230">
        <v>9.9</v>
      </c>
      <c r="F107" s="230"/>
      <c r="G107" s="230">
        <v>20.3</v>
      </c>
      <c r="H107" s="226"/>
      <c r="I107" s="226"/>
      <c r="J107" s="226"/>
      <c r="K107" s="226"/>
      <c r="L107" s="226"/>
      <c r="M107" s="227"/>
    </row>
    <row r="108" spans="2:15" x14ac:dyDescent="0.25">
      <c r="B108" s="299"/>
      <c r="C108" s="230" t="s">
        <v>143</v>
      </c>
      <c r="D108" s="230"/>
      <c r="E108" s="230">
        <v>13</v>
      </c>
      <c r="F108" s="230"/>
      <c r="G108" s="230">
        <v>16</v>
      </c>
      <c r="H108" s="226"/>
      <c r="I108" s="226"/>
      <c r="J108" s="226"/>
      <c r="K108" s="226"/>
      <c r="L108" s="226"/>
      <c r="M108" s="227"/>
    </row>
    <row r="109" spans="2:15" x14ac:dyDescent="0.25">
      <c r="B109" s="299"/>
      <c r="C109" s="230"/>
      <c r="D109" s="230"/>
      <c r="E109" s="230"/>
      <c r="F109" s="230"/>
      <c r="G109" s="230"/>
      <c r="H109" s="226"/>
      <c r="I109" s="226"/>
      <c r="J109" s="226"/>
      <c r="K109" s="226"/>
    </row>
    <row r="110" spans="2:15" x14ac:dyDescent="0.25">
      <c r="B110" s="299"/>
      <c r="C110" s="230"/>
      <c r="D110" s="230"/>
      <c r="E110" s="230"/>
      <c r="F110" s="230"/>
      <c r="G110" s="230"/>
      <c r="H110" s="226"/>
      <c r="I110" s="226"/>
      <c r="J110" s="226"/>
      <c r="K110" s="226"/>
    </row>
    <row r="111" spans="2:15" x14ac:dyDescent="0.25">
      <c r="B111" s="299"/>
      <c r="C111" s="230"/>
      <c r="D111" s="230"/>
      <c r="E111" s="230"/>
      <c r="F111" s="230"/>
      <c r="G111" s="230"/>
      <c r="H111" s="226"/>
      <c r="I111" s="226"/>
      <c r="J111" s="226"/>
      <c r="K111" s="226"/>
    </row>
    <row r="112" spans="2:15" x14ac:dyDescent="0.25">
      <c r="B112" s="299"/>
      <c r="C112" s="230"/>
      <c r="D112" s="230"/>
      <c r="E112" s="230"/>
      <c r="F112" s="230"/>
      <c r="G112" s="230"/>
      <c r="H112" s="226"/>
      <c r="I112" s="226"/>
      <c r="J112" s="226"/>
      <c r="K112" s="226"/>
    </row>
    <row r="113" spans="2:11" x14ac:dyDescent="0.25">
      <c r="B113" s="299"/>
      <c r="C113" s="230"/>
      <c r="D113" s="230"/>
      <c r="E113" s="230"/>
      <c r="F113" s="230"/>
      <c r="G113" s="230"/>
      <c r="H113" s="226"/>
      <c r="I113" s="226"/>
      <c r="J113" s="226"/>
      <c r="K113" s="226"/>
    </row>
    <row r="114" spans="2:11" x14ac:dyDescent="0.25">
      <c r="B114" s="226"/>
      <c r="C114" s="226"/>
      <c r="D114" s="226"/>
      <c r="E114" s="226"/>
      <c r="F114" s="226"/>
      <c r="G114" s="226"/>
      <c r="H114" s="226"/>
      <c r="I114" s="226"/>
      <c r="J114" s="226"/>
      <c r="K114" s="226"/>
    </row>
    <row r="115" spans="2:11" x14ac:dyDescent="0.25">
      <c r="B115" s="226"/>
      <c r="C115" s="226"/>
      <c r="D115" s="226"/>
      <c r="E115" s="226"/>
      <c r="F115" s="226"/>
      <c r="G115" s="226"/>
      <c r="H115" s="226"/>
      <c r="I115" s="226"/>
      <c r="J115" s="226"/>
      <c r="K115" s="226"/>
    </row>
    <row r="116" spans="2:11" ht="18" customHeight="1" x14ac:dyDescent="0.25">
      <c r="B116" s="231"/>
      <c r="C116" s="243"/>
      <c r="D116" s="226"/>
      <c r="E116" s="226"/>
      <c r="F116" s="226"/>
    </row>
    <row r="117" spans="2:11" x14ac:dyDescent="0.25">
      <c r="B117" s="296" t="s">
        <v>358</v>
      </c>
      <c r="C117" s="296"/>
      <c r="D117" s="226"/>
      <c r="E117" s="226"/>
      <c r="F117" s="226"/>
    </row>
    <row r="118" spans="2:11" ht="18" customHeight="1" x14ac:dyDescent="0.25">
      <c r="B118" s="244" t="s">
        <v>324</v>
      </c>
      <c r="C118" s="244" t="s">
        <v>364</v>
      </c>
      <c r="D118" s="226"/>
      <c r="E118" s="226"/>
      <c r="F118" s="226"/>
    </row>
    <row r="119" spans="2:11" x14ac:dyDescent="0.25">
      <c r="B119" s="245" t="s">
        <v>434</v>
      </c>
      <c r="C119" s="245">
        <v>60</v>
      </c>
      <c r="D119" s="226"/>
      <c r="E119" s="249" t="s">
        <v>521</v>
      </c>
      <c r="F119" s="267" t="s">
        <v>77</v>
      </c>
    </row>
    <row r="120" spans="2:11" x14ac:dyDescent="0.25">
      <c r="B120" s="245" t="s">
        <v>348</v>
      </c>
      <c r="C120" s="245">
        <v>50</v>
      </c>
      <c r="D120" s="226"/>
      <c r="E120" s="230" t="s">
        <v>267</v>
      </c>
      <c r="F120" s="262">
        <v>0.15</v>
      </c>
    </row>
    <row r="121" spans="2:11" ht="18" customHeight="1" x14ac:dyDescent="0.25">
      <c r="B121" s="245" t="s">
        <v>349</v>
      </c>
      <c r="C121" s="245">
        <v>70</v>
      </c>
      <c r="D121" s="226"/>
      <c r="E121" s="234" t="s">
        <v>274</v>
      </c>
      <c r="F121" s="263">
        <v>0.25</v>
      </c>
    </row>
    <row r="122" spans="2:11" ht="18" customHeight="1" x14ac:dyDescent="0.25">
      <c r="B122" s="245" t="s">
        <v>350</v>
      </c>
      <c r="C122" s="245">
        <v>70</v>
      </c>
      <c r="D122" s="226"/>
      <c r="E122" s="230" t="s">
        <v>148</v>
      </c>
      <c r="F122" s="262">
        <v>0.25</v>
      </c>
    </row>
    <row r="123" spans="2:11" x14ac:dyDescent="0.25">
      <c r="B123" s="245" t="s">
        <v>351</v>
      </c>
      <c r="C123" s="245">
        <v>70</v>
      </c>
      <c r="D123" s="226"/>
      <c r="E123" s="234" t="s">
        <v>273</v>
      </c>
      <c r="F123" s="263">
        <v>0.25</v>
      </c>
    </row>
    <row r="124" spans="2:11" x14ac:dyDescent="0.25">
      <c r="B124" s="245" t="s">
        <v>352</v>
      </c>
      <c r="C124" s="245">
        <v>70</v>
      </c>
      <c r="D124" s="226"/>
      <c r="E124" s="230" t="s">
        <v>266</v>
      </c>
      <c r="F124" s="262">
        <v>0.12</v>
      </c>
    </row>
    <row r="125" spans="2:11" ht="18" customHeight="1" x14ac:dyDescent="0.25">
      <c r="B125" s="245" t="s">
        <v>353</v>
      </c>
      <c r="C125" s="245">
        <v>60</v>
      </c>
      <c r="D125" s="226"/>
      <c r="E125" s="234" t="s">
        <v>268</v>
      </c>
      <c r="F125" s="263">
        <v>0.04</v>
      </c>
    </row>
    <row r="126" spans="2:11" x14ac:dyDescent="0.25">
      <c r="B126" s="245" t="s">
        <v>354</v>
      </c>
      <c r="C126" s="245">
        <v>80</v>
      </c>
      <c r="D126" s="226"/>
      <c r="E126" s="230" t="s">
        <v>269</v>
      </c>
      <c r="F126" s="262">
        <v>0.04</v>
      </c>
    </row>
    <row r="127" spans="2:11" x14ac:dyDescent="0.25">
      <c r="B127" s="245" t="s">
        <v>359</v>
      </c>
      <c r="C127" s="245">
        <v>70</v>
      </c>
      <c r="D127" s="226"/>
      <c r="E127" s="234" t="s">
        <v>270</v>
      </c>
      <c r="F127" s="263">
        <v>0.1</v>
      </c>
    </row>
    <row r="128" spans="2:11" x14ac:dyDescent="0.25">
      <c r="B128" s="245" t="s">
        <v>360</v>
      </c>
      <c r="C128" s="245">
        <v>70</v>
      </c>
      <c r="D128" s="226"/>
      <c r="E128" s="230" t="s">
        <v>271</v>
      </c>
      <c r="F128" s="262">
        <f>700/1000</f>
        <v>0.7</v>
      </c>
    </row>
    <row r="129" spans="2:6" x14ac:dyDescent="0.25">
      <c r="B129" s="245" t="s">
        <v>355</v>
      </c>
      <c r="C129" s="245">
        <v>60</v>
      </c>
      <c r="D129" s="226"/>
      <c r="E129" s="226"/>
      <c r="F129" s="226"/>
    </row>
    <row r="130" spans="2:6" x14ac:dyDescent="0.25">
      <c r="B130" s="245" t="s">
        <v>356</v>
      </c>
      <c r="C130" s="245">
        <v>50</v>
      </c>
      <c r="D130" s="226"/>
      <c r="E130" s="226"/>
      <c r="F130" s="226"/>
    </row>
    <row r="131" spans="2:6" x14ac:dyDescent="0.25">
      <c r="B131" s="246" t="s">
        <v>357</v>
      </c>
      <c r="C131" s="246">
        <v>50</v>
      </c>
      <c r="D131" s="226"/>
      <c r="E131" s="226"/>
      <c r="F131" s="226"/>
    </row>
    <row r="132" spans="2:6" x14ac:dyDescent="0.25">
      <c r="B132" s="231"/>
      <c r="C132" s="231"/>
      <c r="D132" s="226"/>
      <c r="E132" s="226"/>
      <c r="F132" s="226"/>
    </row>
    <row r="133" spans="2:6" x14ac:dyDescent="0.25">
      <c r="B133" s="231"/>
      <c r="C133" s="231"/>
      <c r="D133" s="226"/>
      <c r="E133" s="226"/>
      <c r="F133" s="226"/>
    </row>
    <row r="134" spans="2:6" x14ac:dyDescent="0.25">
      <c r="B134" s="231"/>
      <c r="C134" s="231"/>
      <c r="D134" s="226"/>
      <c r="E134" s="226"/>
      <c r="F134" s="226"/>
    </row>
    <row r="135" spans="2:6" x14ac:dyDescent="0.25">
      <c r="D135" s="226"/>
      <c r="E135" s="226"/>
      <c r="F135" s="226"/>
    </row>
  </sheetData>
  <mergeCells count="29">
    <mergeCell ref="L98:M98"/>
    <mergeCell ref="N98:O98"/>
    <mergeCell ref="L92:M92"/>
    <mergeCell ref="N92:O92"/>
    <mergeCell ref="L94:M94"/>
    <mergeCell ref="N94:O94"/>
    <mergeCell ref="L96:M96"/>
    <mergeCell ref="N96:O96"/>
    <mergeCell ref="B117:C117"/>
    <mergeCell ref="D85:D86"/>
    <mergeCell ref="E85:H85"/>
    <mergeCell ref="B87:B99"/>
    <mergeCell ref="B63:B72"/>
    <mergeCell ref="B73:B82"/>
    <mergeCell ref="B102:B103"/>
    <mergeCell ref="C102:C103"/>
    <mergeCell ref="D102:D103"/>
    <mergeCell ref="E102:G102"/>
    <mergeCell ref="B104:B113"/>
    <mergeCell ref="B18:B33"/>
    <mergeCell ref="B34:B53"/>
    <mergeCell ref="B54:B62"/>
    <mergeCell ref="B85:B86"/>
    <mergeCell ref="C85:C86"/>
    <mergeCell ref="B1:B2"/>
    <mergeCell ref="C1:C2"/>
    <mergeCell ref="D1:D2"/>
    <mergeCell ref="E1:V1"/>
    <mergeCell ref="B3:B17"/>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4"/>
  <sheetViews>
    <sheetView topLeftCell="A19" zoomScale="70" zoomScaleNormal="70" workbookViewId="0">
      <selection activeCell="J19" sqref="J19"/>
    </sheetView>
  </sheetViews>
  <sheetFormatPr defaultRowHeight="20.25" customHeight="1" x14ac:dyDescent="0.25"/>
  <cols>
    <col min="1" max="1" width="2.42578125" style="19" customWidth="1"/>
    <col min="2" max="2" width="37.28515625" style="19" customWidth="1"/>
    <col min="3" max="3" width="29.5703125" style="19" customWidth="1"/>
    <col min="4" max="9" width="16.7109375" style="19" customWidth="1"/>
    <col min="10" max="16384" width="9.140625" style="19"/>
  </cols>
  <sheetData>
    <row r="1" spans="1:11" ht="20.25" customHeight="1" x14ac:dyDescent="0.25">
      <c r="B1" s="90"/>
      <c r="C1" s="90"/>
      <c r="D1" s="90"/>
      <c r="E1" s="90"/>
      <c r="F1" s="90"/>
      <c r="G1" s="90"/>
      <c r="H1" s="90"/>
      <c r="I1" s="90"/>
    </row>
    <row r="2" spans="1:11" ht="20.25" customHeight="1" x14ac:dyDescent="0.25">
      <c r="B2" s="90"/>
      <c r="C2" s="90"/>
      <c r="D2" s="90"/>
      <c r="E2" s="90"/>
      <c r="F2" s="90"/>
      <c r="G2" s="90"/>
      <c r="H2" s="90"/>
      <c r="I2" s="90"/>
    </row>
    <row r="3" spans="1:11" ht="20.25" customHeight="1" x14ac:dyDescent="0.25">
      <c r="B3" s="90"/>
      <c r="C3" s="90"/>
      <c r="D3" s="90"/>
      <c r="E3" s="90"/>
      <c r="F3" s="90"/>
      <c r="G3" s="90"/>
      <c r="H3" s="90"/>
      <c r="I3" s="90"/>
    </row>
    <row r="4" spans="1:11" ht="20.25" customHeight="1" x14ac:dyDescent="0.25">
      <c r="B4" s="90"/>
      <c r="C4" s="90"/>
      <c r="D4" s="90"/>
      <c r="E4" s="90"/>
      <c r="F4" s="90"/>
      <c r="G4" s="90"/>
      <c r="H4" s="90"/>
      <c r="I4" s="90"/>
    </row>
    <row r="5" spans="1:11" ht="20.25" customHeight="1" x14ac:dyDescent="0.25">
      <c r="B5" s="90"/>
      <c r="C5" s="90"/>
      <c r="D5" s="90"/>
      <c r="E5" s="90"/>
      <c r="F5" s="90"/>
      <c r="G5" s="90"/>
      <c r="H5" s="90"/>
      <c r="I5" s="90"/>
    </row>
    <row r="6" spans="1:11" ht="20.25" customHeight="1" x14ac:dyDescent="0.25">
      <c r="B6" s="90"/>
      <c r="C6" s="90"/>
      <c r="D6" s="90"/>
      <c r="E6" s="90"/>
      <c r="F6" s="90"/>
      <c r="G6" s="90"/>
      <c r="H6" s="90"/>
      <c r="I6" s="90"/>
    </row>
    <row r="7" spans="1:11" ht="20.25" customHeight="1" x14ac:dyDescent="0.25">
      <c r="B7" s="90"/>
      <c r="C7" s="90"/>
      <c r="D7" s="90"/>
      <c r="E7" s="90"/>
      <c r="F7" s="90"/>
      <c r="G7" s="90"/>
      <c r="H7" s="90"/>
      <c r="I7" s="90"/>
    </row>
    <row r="8" spans="1:11" ht="20.25" customHeight="1" thickBot="1" x14ac:dyDescent="0.3">
      <c r="B8" s="90"/>
      <c r="C8" s="90"/>
      <c r="D8" s="90"/>
      <c r="E8" s="90"/>
      <c r="F8" s="90"/>
      <c r="G8" s="90"/>
      <c r="H8" s="90"/>
      <c r="I8" s="90"/>
    </row>
    <row r="9" spans="1:11" ht="20.25" customHeight="1" thickBot="1" x14ac:dyDescent="0.3">
      <c r="A9" s="27"/>
      <c r="B9" s="317" t="s">
        <v>108</v>
      </c>
      <c r="C9" s="318"/>
      <c r="D9" s="318"/>
      <c r="E9" s="318"/>
      <c r="F9" s="318"/>
      <c r="G9" s="318"/>
      <c r="H9" s="318"/>
      <c r="I9" s="319"/>
      <c r="J9" s="320" t="s">
        <v>296</v>
      </c>
      <c r="K9" s="321"/>
    </row>
    <row r="10" spans="1:11" ht="20.25" customHeight="1" x14ac:dyDescent="0.25">
      <c r="B10" s="90"/>
      <c r="C10" s="90"/>
      <c r="D10" s="90"/>
      <c r="E10" s="90"/>
      <c r="F10" s="90"/>
      <c r="G10" s="90"/>
      <c r="H10" s="90"/>
      <c r="I10" s="90"/>
    </row>
    <row r="11" spans="1:11" ht="20.25" customHeight="1" x14ac:dyDescent="0.25">
      <c r="B11" s="146" t="s">
        <v>109</v>
      </c>
      <c r="C11" s="323"/>
      <c r="D11" s="323"/>
      <c r="E11" s="323"/>
      <c r="F11" s="323"/>
      <c r="G11" s="323"/>
      <c r="H11" s="323"/>
      <c r="I11" s="324"/>
    </row>
    <row r="12" spans="1:11" ht="20.25" customHeight="1" x14ac:dyDescent="0.25">
      <c r="B12" s="145" t="s">
        <v>110</v>
      </c>
      <c r="C12" s="322"/>
      <c r="D12" s="323"/>
      <c r="E12" s="323"/>
      <c r="F12" s="323"/>
      <c r="G12" s="323"/>
      <c r="H12" s="323"/>
      <c r="I12" s="324"/>
    </row>
    <row r="13" spans="1:11" ht="20.25" customHeight="1" x14ac:dyDescent="0.25">
      <c r="B13" s="145" t="s">
        <v>111</v>
      </c>
      <c r="C13" s="322"/>
      <c r="D13" s="323"/>
      <c r="E13" s="323"/>
      <c r="F13" s="323"/>
      <c r="G13" s="323"/>
      <c r="H13" s="323"/>
      <c r="I13" s="324"/>
    </row>
    <row r="14" spans="1:11" ht="20.25" customHeight="1" x14ac:dyDescent="0.25">
      <c r="B14" s="145" t="s">
        <v>112</v>
      </c>
      <c r="C14" s="322"/>
      <c r="D14" s="323"/>
      <c r="E14" s="323"/>
      <c r="F14" s="323"/>
      <c r="G14" s="324"/>
      <c r="H14" s="146" t="s">
        <v>113</v>
      </c>
      <c r="I14" s="93">
        <f ca="1">TODAY()</f>
        <v>44005</v>
      </c>
    </row>
    <row r="15" spans="1:11" ht="20.25" customHeight="1" thickBot="1" x14ac:dyDescent="0.3">
      <c r="B15" s="90"/>
      <c r="C15" s="90"/>
      <c r="D15" s="90"/>
      <c r="E15" s="90"/>
      <c r="F15" s="90"/>
      <c r="G15" s="90"/>
      <c r="H15" s="90"/>
      <c r="I15" s="90"/>
    </row>
    <row r="16" spans="1:11" ht="20.25" customHeight="1" thickBot="1" x14ac:dyDescent="0.3">
      <c r="B16" s="325" t="s">
        <v>436</v>
      </c>
      <c r="C16" s="326"/>
      <c r="D16" s="326"/>
      <c r="E16" s="326"/>
      <c r="F16" s="326"/>
      <c r="G16" s="326"/>
      <c r="H16" s="326"/>
      <c r="I16" s="327"/>
    </row>
    <row r="17" spans="2:9" ht="20.25" customHeight="1" x14ac:dyDescent="0.25">
      <c r="B17" s="303" t="s">
        <v>468</v>
      </c>
      <c r="C17" s="303"/>
      <c r="D17" s="303"/>
      <c r="E17" s="303"/>
      <c r="F17" s="303"/>
      <c r="G17" s="303"/>
      <c r="H17" s="303"/>
      <c r="I17" s="303"/>
    </row>
    <row r="18" spans="2:9" ht="20.25" customHeight="1" x14ac:dyDescent="0.25">
      <c r="B18" s="304"/>
      <c r="C18" s="304"/>
      <c r="D18" s="304"/>
      <c r="E18" s="304"/>
      <c r="F18" s="304"/>
      <c r="G18" s="304"/>
      <c r="H18" s="304"/>
      <c r="I18" s="304"/>
    </row>
    <row r="19" spans="2:9" ht="20.25" customHeight="1" x14ac:dyDescent="0.25">
      <c r="B19" s="304"/>
      <c r="C19" s="304"/>
      <c r="D19" s="304"/>
      <c r="E19" s="304"/>
      <c r="F19" s="304"/>
      <c r="G19" s="304"/>
      <c r="H19" s="304"/>
      <c r="I19" s="304"/>
    </row>
    <row r="20" spans="2:9" ht="20.25" customHeight="1" x14ac:dyDescent="0.25">
      <c r="B20" s="304"/>
      <c r="C20" s="304"/>
      <c r="D20" s="304"/>
      <c r="E20" s="304"/>
      <c r="F20" s="304"/>
      <c r="G20" s="304"/>
      <c r="H20" s="304"/>
      <c r="I20" s="304"/>
    </row>
    <row r="21" spans="2:9" ht="20.25" customHeight="1" x14ac:dyDescent="0.25">
      <c r="B21" s="304"/>
      <c r="C21" s="304"/>
      <c r="D21" s="304"/>
      <c r="E21" s="304"/>
      <c r="F21" s="304"/>
      <c r="G21" s="304"/>
      <c r="H21" s="304"/>
      <c r="I21" s="304"/>
    </row>
    <row r="22" spans="2:9" ht="20.25" customHeight="1" x14ac:dyDescent="0.25">
      <c r="B22" s="304"/>
      <c r="C22" s="304"/>
      <c r="D22" s="304"/>
      <c r="E22" s="304"/>
      <c r="F22" s="304"/>
      <c r="G22" s="304"/>
      <c r="H22" s="304"/>
      <c r="I22" s="304"/>
    </row>
    <row r="23" spans="2:9" ht="20.25" customHeight="1" x14ac:dyDescent="0.25">
      <c r="B23" s="304"/>
      <c r="C23" s="304"/>
      <c r="D23" s="304"/>
      <c r="E23" s="304"/>
      <c r="F23" s="304"/>
      <c r="G23" s="304"/>
      <c r="H23" s="304"/>
      <c r="I23" s="304"/>
    </row>
    <row r="24" spans="2:9" ht="20.25" customHeight="1" x14ac:dyDescent="0.25">
      <c r="B24" s="304"/>
      <c r="C24" s="304"/>
      <c r="D24" s="304"/>
      <c r="E24" s="304"/>
      <c r="F24" s="304"/>
      <c r="G24" s="304"/>
      <c r="H24" s="304"/>
      <c r="I24" s="304"/>
    </row>
    <row r="25" spans="2:9" ht="20.25" customHeight="1" x14ac:dyDescent="0.25">
      <c r="B25" s="304"/>
      <c r="C25" s="304"/>
      <c r="D25" s="304"/>
      <c r="E25" s="304"/>
      <c r="F25" s="304"/>
      <c r="G25" s="304"/>
      <c r="H25" s="304"/>
      <c r="I25" s="304"/>
    </row>
    <row r="26" spans="2:9" ht="20.25" customHeight="1" x14ac:dyDescent="0.25">
      <c r="B26" s="304"/>
      <c r="C26" s="304"/>
      <c r="D26" s="304"/>
      <c r="E26" s="304"/>
      <c r="F26" s="304"/>
      <c r="G26" s="304"/>
      <c r="H26" s="304"/>
      <c r="I26" s="304"/>
    </row>
    <row r="27" spans="2:9" ht="20.25" customHeight="1" x14ac:dyDescent="0.25">
      <c r="B27" s="304"/>
      <c r="C27" s="304"/>
      <c r="D27" s="304"/>
      <c r="E27" s="304"/>
      <c r="F27" s="304"/>
      <c r="G27" s="304"/>
      <c r="H27" s="304"/>
      <c r="I27" s="304"/>
    </row>
    <row r="28" spans="2:9" ht="20.25" customHeight="1" x14ac:dyDescent="0.25">
      <c r="B28" s="304"/>
      <c r="C28" s="304"/>
      <c r="D28" s="304"/>
      <c r="E28" s="304"/>
      <c r="F28" s="304"/>
      <c r="G28" s="304"/>
      <c r="H28" s="304"/>
      <c r="I28" s="304"/>
    </row>
    <row r="29" spans="2:9" ht="20.25" customHeight="1" x14ac:dyDescent="0.25">
      <c r="B29" s="304"/>
      <c r="C29" s="304"/>
      <c r="D29" s="304"/>
      <c r="E29" s="304"/>
      <c r="F29" s="304"/>
      <c r="G29" s="304"/>
      <c r="H29" s="304"/>
      <c r="I29" s="304"/>
    </row>
    <row r="30" spans="2:9" ht="20.25" customHeight="1" x14ac:dyDescent="0.25">
      <c r="B30" s="304"/>
      <c r="C30" s="304"/>
      <c r="D30" s="304"/>
      <c r="E30" s="304"/>
      <c r="F30" s="304"/>
      <c r="G30" s="304"/>
      <c r="H30" s="304"/>
      <c r="I30" s="304"/>
    </row>
    <row r="31" spans="2:9" ht="20.25" customHeight="1" x14ac:dyDescent="0.25">
      <c r="B31" s="304"/>
      <c r="C31" s="304"/>
      <c r="D31" s="304"/>
      <c r="E31" s="304"/>
      <c r="F31" s="304"/>
      <c r="G31" s="304"/>
      <c r="H31" s="304"/>
      <c r="I31" s="304"/>
    </row>
    <row r="32" spans="2:9" ht="20.25" customHeight="1" x14ac:dyDescent="0.25">
      <c r="B32" s="304"/>
      <c r="C32" s="304"/>
      <c r="D32" s="304"/>
      <c r="E32" s="304"/>
      <c r="F32" s="304"/>
      <c r="G32" s="304"/>
      <c r="H32" s="304"/>
      <c r="I32" s="304"/>
    </row>
    <row r="33" spans="2:10" ht="20.25" customHeight="1" x14ac:dyDescent="0.25">
      <c r="B33" s="304"/>
      <c r="C33" s="304"/>
      <c r="D33" s="304"/>
      <c r="E33" s="304"/>
      <c r="F33" s="304"/>
      <c r="G33" s="304"/>
      <c r="H33" s="304"/>
      <c r="I33" s="304"/>
    </row>
    <row r="34" spans="2:10" ht="20.25" customHeight="1" x14ac:dyDescent="0.25">
      <c r="B34" s="304"/>
      <c r="C34" s="304"/>
      <c r="D34" s="304"/>
      <c r="E34" s="304"/>
      <c r="F34" s="304"/>
      <c r="G34" s="304"/>
      <c r="H34" s="304"/>
      <c r="I34" s="304"/>
    </row>
    <row r="35" spans="2:10" ht="20.25" customHeight="1" x14ac:dyDescent="0.25">
      <c r="B35" s="304"/>
      <c r="C35" s="304"/>
      <c r="D35" s="304"/>
      <c r="E35" s="304"/>
      <c r="F35" s="304"/>
      <c r="G35" s="304"/>
      <c r="H35" s="304"/>
      <c r="I35" s="304"/>
    </row>
    <row r="36" spans="2:10" ht="20.25" customHeight="1" x14ac:dyDescent="0.25">
      <c r="B36" s="304"/>
      <c r="C36" s="304"/>
      <c r="D36" s="304"/>
      <c r="E36" s="304"/>
      <c r="F36" s="304"/>
      <c r="G36" s="304"/>
      <c r="H36" s="304"/>
      <c r="I36" s="304"/>
    </row>
    <row r="37" spans="2:10" ht="20.25" customHeight="1" x14ac:dyDescent="0.25">
      <c r="B37" s="304"/>
      <c r="C37" s="304"/>
      <c r="D37" s="304"/>
      <c r="E37" s="304"/>
      <c r="F37" s="304"/>
      <c r="G37" s="304"/>
      <c r="H37" s="304"/>
      <c r="I37" s="304"/>
    </row>
    <row r="38" spans="2:10" ht="20.25" customHeight="1" x14ac:dyDescent="0.25">
      <c r="B38" s="304"/>
      <c r="C38" s="304"/>
      <c r="D38" s="304"/>
      <c r="E38" s="304"/>
      <c r="F38" s="304"/>
      <c r="G38" s="304"/>
      <c r="H38" s="304"/>
      <c r="I38" s="304"/>
    </row>
    <row r="39" spans="2:10" ht="20.25" customHeight="1" x14ac:dyDescent="0.25">
      <c r="B39" s="304"/>
      <c r="C39" s="304"/>
      <c r="D39" s="304"/>
      <c r="E39" s="304"/>
      <c r="F39" s="304"/>
      <c r="G39" s="304"/>
      <c r="H39" s="304"/>
      <c r="I39" s="304"/>
    </row>
    <row r="40" spans="2:10" ht="20.25" customHeight="1" x14ac:dyDescent="0.25">
      <c r="B40" s="304"/>
      <c r="C40" s="304"/>
      <c r="D40" s="304"/>
      <c r="E40" s="304"/>
      <c r="F40" s="304"/>
      <c r="G40" s="304"/>
      <c r="H40" s="304"/>
      <c r="I40" s="304"/>
    </row>
    <row r="41" spans="2:10" ht="20.25" customHeight="1" x14ac:dyDescent="0.25">
      <c r="B41" s="304"/>
      <c r="C41" s="304"/>
      <c r="D41" s="304"/>
      <c r="E41" s="304"/>
      <c r="F41" s="304"/>
      <c r="G41" s="304"/>
      <c r="H41" s="304"/>
      <c r="I41" s="304"/>
      <c r="J41" s="147"/>
    </row>
    <row r="42" spans="2:10" ht="20.25" customHeight="1" x14ac:dyDescent="0.25">
      <c r="B42" s="304"/>
      <c r="C42" s="304"/>
      <c r="D42" s="304"/>
      <c r="E42" s="304"/>
      <c r="F42" s="304"/>
      <c r="G42" s="304"/>
      <c r="H42" s="304"/>
      <c r="I42" s="304"/>
    </row>
    <row r="43" spans="2:10" ht="20.25" customHeight="1" x14ac:dyDescent="0.25">
      <c r="B43" s="304"/>
      <c r="C43" s="304"/>
      <c r="D43" s="304"/>
      <c r="E43" s="304"/>
      <c r="F43" s="304"/>
      <c r="G43" s="304"/>
      <c r="H43" s="304"/>
      <c r="I43" s="304"/>
    </row>
    <row r="44" spans="2:10" ht="20.25" customHeight="1" x14ac:dyDescent="0.25">
      <c r="B44" s="304"/>
      <c r="C44" s="304"/>
      <c r="D44" s="304"/>
      <c r="E44" s="304"/>
      <c r="F44" s="304"/>
      <c r="G44" s="304"/>
      <c r="H44" s="304"/>
      <c r="I44" s="304"/>
    </row>
    <row r="45" spans="2:10" ht="20.25" customHeight="1" x14ac:dyDescent="0.25">
      <c r="B45" s="304"/>
      <c r="C45" s="304"/>
      <c r="D45" s="304"/>
      <c r="E45" s="304"/>
      <c r="F45" s="304"/>
      <c r="G45" s="304"/>
      <c r="H45" s="304"/>
      <c r="I45" s="304"/>
    </row>
    <row r="46" spans="2:10" ht="20.25" customHeight="1" x14ac:dyDescent="0.25">
      <c r="B46" s="304"/>
      <c r="C46" s="304"/>
      <c r="D46" s="304"/>
      <c r="E46" s="304"/>
      <c r="F46" s="304"/>
      <c r="G46" s="304"/>
      <c r="H46" s="304"/>
      <c r="I46" s="304"/>
    </row>
    <row r="47" spans="2:10" ht="20.25" customHeight="1" x14ac:dyDescent="0.25">
      <c r="B47" s="304"/>
      <c r="C47" s="304"/>
      <c r="D47" s="304"/>
      <c r="E47" s="304"/>
      <c r="F47" s="304"/>
      <c r="G47" s="304"/>
      <c r="H47" s="304"/>
      <c r="I47" s="304"/>
    </row>
    <row r="48" spans="2:10" ht="20.25" customHeight="1" x14ac:dyDescent="0.25">
      <c r="B48" s="304"/>
      <c r="C48" s="304"/>
      <c r="D48" s="304"/>
      <c r="E48" s="304"/>
      <c r="F48" s="304"/>
      <c r="G48" s="304"/>
      <c r="H48" s="304"/>
      <c r="I48" s="304"/>
    </row>
    <row r="49" spans="2:9" ht="20.25" customHeight="1" x14ac:dyDescent="0.25">
      <c r="B49" s="304"/>
      <c r="C49" s="304"/>
      <c r="D49" s="304"/>
      <c r="E49" s="304"/>
      <c r="F49" s="304"/>
      <c r="G49" s="304"/>
      <c r="H49" s="304"/>
      <c r="I49" s="304"/>
    </row>
    <row r="50" spans="2:9" ht="20.25" customHeight="1" x14ac:dyDescent="0.25">
      <c r="B50" s="304"/>
      <c r="C50" s="304"/>
      <c r="D50" s="304"/>
      <c r="E50" s="304"/>
      <c r="F50" s="304"/>
      <c r="G50" s="304"/>
      <c r="H50" s="304"/>
      <c r="I50" s="304"/>
    </row>
    <row r="51" spans="2:9" ht="20.25" customHeight="1" x14ac:dyDescent="0.25">
      <c r="B51" s="304"/>
      <c r="C51" s="304"/>
      <c r="D51" s="304"/>
      <c r="E51" s="304"/>
      <c r="F51" s="304"/>
      <c r="G51" s="304"/>
      <c r="H51" s="304"/>
      <c r="I51" s="304"/>
    </row>
    <row r="52" spans="2:9" ht="20.25" customHeight="1" x14ac:dyDescent="0.25">
      <c r="B52" s="304"/>
      <c r="C52" s="304"/>
      <c r="D52" s="304"/>
      <c r="E52" s="304"/>
      <c r="F52" s="304"/>
      <c r="G52" s="304"/>
      <c r="H52" s="304"/>
      <c r="I52" s="304"/>
    </row>
    <row r="53" spans="2:9" ht="20.25" customHeight="1" x14ac:dyDescent="0.25">
      <c r="B53" s="304"/>
      <c r="C53" s="304"/>
      <c r="D53" s="304"/>
      <c r="E53" s="304"/>
      <c r="F53" s="304"/>
      <c r="G53" s="304"/>
      <c r="H53" s="304"/>
      <c r="I53" s="304"/>
    </row>
    <row r="54" spans="2:9" ht="20.25" customHeight="1" x14ac:dyDescent="0.25">
      <c r="B54" s="304"/>
      <c r="C54" s="304"/>
      <c r="D54" s="304"/>
      <c r="E54" s="304"/>
      <c r="F54" s="304"/>
      <c r="G54" s="304"/>
      <c r="H54" s="304"/>
      <c r="I54" s="304"/>
    </row>
    <row r="55" spans="2:9" ht="20.25" customHeight="1" x14ac:dyDescent="0.25">
      <c r="B55" s="304"/>
      <c r="C55" s="304"/>
      <c r="D55" s="304"/>
      <c r="E55" s="304"/>
      <c r="F55" s="304"/>
      <c r="G55" s="304"/>
      <c r="H55" s="304"/>
      <c r="I55" s="304"/>
    </row>
    <row r="56" spans="2:9" ht="20.25" customHeight="1" x14ac:dyDescent="0.25">
      <c r="B56" s="304"/>
      <c r="C56" s="304"/>
      <c r="D56" s="304"/>
      <c r="E56" s="304"/>
      <c r="F56" s="304"/>
      <c r="G56" s="304"/>
      <c r="H56" s="304"/>
      <c r="I56" s="304"/>
    </row>
    <row r="57" spans="2:9" ht="20.25" customHeight="1" x14ac:dyDescent="0.25">
      <c r="B57" s="304"/>
      <c r="C57" s="304"/>
      <c r="D57" s="304"/>
      <c r="E57" s="304"/>
      <c r="F57" s="304"/>
      <c r="G57" s="304"/>
      <c r="H57" s="304"/>
      <c r="I57" s="304"/>
    </row>
    <row r="58" spans="2:9" ht="20.25" customHeight="1" x14ac:dyDescent="0.25">
      <c r="B58" s="304"/>
      <c r="C58" s="304"/>
      <c r="D58" s="304"/>
      <c r="E58" s="304"/>
      <c r="F58" s="304"/>
      <c r="G58" s="304"/>
      <c r="H58" s="304"/>
      <c r="I58" s="304"/>
    </row>
    <row r="59" spans="2:9" ht="20.25" customHeight="1" x14ac:dyDescent="0.25">
      <c r="B59" s="304"/>
      <c r="C59" s="304"/>
      <c r="D59" s="304"/>
      <c r="E59" s="304"/>
      <c r="F59" s="304"/>
      <c r="G59" s="304"/>
      <c r="H59" s="304"/>
      <c r="I59" s="304"/>
    </row>
    <row r="60" spans="2:9" ht="20.25" customHeight="1" x14ac:dyDescent="0.25">
      <c r="B60" s="304"/>
      <c r="C60" s="304"/>
      <c r="D60" s="304"/>
      <c r="E60" s="304"/>
      <c r="F60" s="304"/>
      <c r="G60" s="304"/>
      <c r="H60" s="304"/>
      <c r="I60" s="304"/>
    </row>
    <row r="61" spans="2:9" ht="20.25" customHeight="1" x14ac:dyDescent="0.25">
      <c r="B61" s="304"/>
      <c r="C61" s="304"/>
      <c r="D61" s="304"/>
      <c r="E61" s="304"/>
      <c r="F61" s="304"/>
      <c r="G61" s="304"/>
      <c r="H61" s="304"/>
      <c r="I61" s="304"/>
    </row>
    <row r="62" spans="2:9" ht="20.25" customHeight="1" x14ac:dyDescent="0.25">
      <c r="B62" s="304"/>
      <c r="C62" s="304"/>
      <c r="D62" s="304"/>
      <c r="E62" s="304"/>
      <c r="F62" s="304"/>
      <c r="G62" s="304"/>
      <c r="H62" s="304"/>
      <c r="I62" s="304"/>
    </row>
    <row r="63" spans="2:9" ht="20.25" customHeight="1" thickBot="1" x14ac:dyDescent="0.3">
      <c r="B63" s="305"/>
      <c r="C63" s="305"/>
      <c r="D63" s="305"/>
      <c r="E63" s="305"/>
      <c r="F63" s="305"/>
      <c r="G63" s="305"/>
      <c r="H63" s="305"/>
      <c r="I63" s="305"/>
    </row>
    <row r="64" spans="2:9" ht="20.25" customHeight="1" x14ac:dyDescent="0.25">
      <c r="B64" s="306"/>
      <c r="C64" s="307"/>
      <c r="D64" s="307"/>
      <c r="E64" s="308"/>
      <c r="F64" s="306"/>
      <c r="G64" s="307"/>
      <c r="H64" s="307"/>
      <c r="I64" s="308"/>
    </row>
    <row r="65" spans="2:9" ht="20.25" customHeight="1" x14ac:dyDescent="0.25">
      <c r="B65" s="309"/>
      <c r="C65" s="310"/>
      <c r="D65" s="310"/>
      <c r="E65" s="311"/>
      <c r="F65" s="309"/>
      <c r="G65" s="310"/>
      <c r="H65" s="310"/>
      <c r="I65" s="311"/>
    </row>
    <row r="66" spans="2:9" ht="20.25" customHeight="1" thickBot="1" x14ac:dyDescent="0.3">
      <c r="B66" s="312"/>
      <c r="C66" s="313"/>
      <c r="D66" s="313"/>
      <c r="E66" s="314"/>
      <c r="F66" s="312"/>
      <c r="G66" s="313"/>
      <c r="H66" s="313"/>
      <c r="I66" s="314"/>
    </row>
    <row r="67" spans="2:9" ht="20.25" customHeight="1" x14ac:dyDescent="0.25">
      <c r="B67" s="315" t="s">
        <v>121</v>
      </c>
      <c r="C67" s="315"/>
      <c r="D67" s="315"/>
      <c r="E67" s="316"/>
      <c r="F67" s="315" t="s">
        <v>122</v>
      </c>
      <c r="G67" s="315"/>
      <c r="H67" s="315"/>
      <c r="I67" s="315"/>
    </row>
    <row r="97" spans="1:3" ht="20.25" customHeight="1" x14ac:dyDescent="0.25">
      <c r="A97" s="59"/>
    </row>
    <row r="98" spans="1:3" ht="20.25" customHeight="1" x14ac:dyDescent="0.25">
      <c r="A98" s="144"/>
    </row>
    <row r="99" spans="1:3" ht="20.25" customHeight="1" x14ac:dyDescent="0.25">
      <c r="A99" s="144"/>
    </row>
    <row r="100" spans="1:3" ht="20.25" customHeight="1" x14ac:dyDescent="0.25">
      <c r="A100" s="147"/>
    </row>
    <row r="101" spans="1:3" ht="20.25" customHeight="1" x14ac:dyDescent="0.25">
      <c r="A101" s="147"/>
      <c r="B101" s="43"/>
      <c r="C101" s="43"/>
    </row>
    <row r="102" spans="1:3" ht="20.25" customHeight="1" x14ac:dyDescent="0.25">
      <c r="A102" s="147"/>
    </row>
    <row r="116" spans="3:4" ht="20.25" customHeight="1" x14ac:dyDescent="0.25">
      <c r="C116" s="147"/>
      <c r="D116" s="38"/>
    </row>
    <row r="117" spans="3:4" ht="20.25" customHeight="1" x14ac:dyDescent="0.25">
      <c r="C117" s="147"/>
    </row>
    <row r="118" spans="3:4" ht="20.25" customHeight="1" x14ac:dyDescent="0.25">
      <c r="C118" s="147"/>
    </row>
    <row r="119" spans="3:4" ht="20.25" customHeight="1" x14ac:dyDescent="0.25">
      <c r="C119" s="147"/>
    </row>
    <row r="120" spans="3:4" ht="20.25" customHeight="1" x14ac:dyDescent="0.25">
      <c r="C120" s="147"/>
    </row>
    <row r="121" spans="3:4" ht="20.25" customHeight="1" x14ac:dyDescent="0.25">
      <c r="C121" s="147"/>
    </row>
    <row r="122" spans="3:4" ht="20.25" customHeight="1" x14ac:dyDescent="0.25">
      <c r="C122" s="147"/>
      <c r="D122" s="147"/>
    </row>
    <row r="123" spans="3:4" ht="20.25" customHeight="1" x14ac:dyDescent="0.25">
      <c r="C123" s="147"/>
      <c r="D123" s="147"/>
    </row>
    <row r="124" spans="3:4" ht="20.25" customHeight="1" x14ac:dyDescent="0.25">
      <c r="C124" s="147"/>
      <c r="D124" s="147"/>
    </row>
  </sheetData>
  <mergeCells count="12">
    <mergeCell ref="B9:I9"/>
    <mergeCell ref="J9:K9"/>
    <mergeCell ref="C14:G14"/>
    <mergeCell ref="B16:I16"/>
    <mergeCell ref="C11:I11"/>
    <mergeCell ref="C12:I12"/>
    <mergeCell ref="C13:I13"/>
    <mergeCell ref="B17:I63"/>
    <mergeCell ref="B64:E66"/>
    <mergeCell ref="F64:I66"/>
    <mergeCell ref="B67:E67"/>
    <mergeCell ref="F67:I67"/>
  </mergeCells>
  <hyperlinks>
    <hyperlink ref="J9:K9"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4"/>
  <sheetViews>
    <sheetView zoomScale="60" zoomScaleNormal="60" workbookViewId="0">
      <selection activeCell="N40" sqref="N40"/>
    </sheetView>
  </sheetViews>
  <sheetFormatPr defaultRowHeight="20.25" customHeight="1" x14ac:dyDescent="0.25"/>
  <cols>
    <col min="1" max="1" width="2.42578125" style="19" customWidth="1"/>
    <col min="2" max="2" width="37.28515625" style="19" customWidth="1"/>
    <col min="3" max="3" width="23.85546875" style="19" customWidth="1"/>
    <col min="4" max="4" width="19.85546875" style="19" customWidth="1"/>
    <col min="5" max="9" width="16.7109375" style="19" customWidth="1"/>
    <col min="10" max="12" width="9.140625" style="19"/>
    <col min="13" max="13" width="11.85546875" style="19" bestFit="1" customWidth="1"/>
    <col min="14" max="14" width="26.42578125" style="19" bestFit="1" customWidth="1"/>
    <col min="15" max="15" width="135.85546875" style="19" bestFit="1" customWidth="1"/>
    <col min="16" max="16" width="31.5703125" style="19" bestFit="1" customWidth="1"/>
    <col min="17" max="16384" width="9.140625" style="19"/>
  </cols>
  <sheetData>
    <row r="1" spans="1:11" ht="20.25" customHeight="1" x14ac:dyDescent="0.25">
      <c r="B1" s="90"/>
      <c r="C1" s="90"/>
      <c r="D1" s="90"/>
      <c r="E1" s="90"/>
      <c r="F1" s="90"/>
      <c r="G1" s="90"/>
      <c r="H1" s="90"/>
      <c r="I1" s="90"/>
    </row>
    <row r="2" spans="1:11" ht="20.25" customHeight="1" x14ac:dyDescent="0.25">
      <c r="B2" s="90"/>
      <c r="C2" s="90"/>
      <c r="D2" s="90"/>
      <c r="E2" s="90"/>
      <c r="F2" s="90"/>
      <c r="G2" s="90"/>
      <c r="H2" s="90"/>
      <c r="I2" s="90"/>
    </row>
    <row r="3" spans="1:11" ht="20.25" customHeight="1" x14ac:dyDescent="0.25">
      <c r="B3" s="90"/>
      <c r="C3" s="90"/>
      <c r="D3" s="90"/>
      <c r="E3" s="90"/>
      <c r="F3" s="90"/>
      <c r="G3" s="90"/>
      <c r="H3" s="90"/>
      <c r="I3" s="90"/>
    </row>
    <row r="4" spans="1:11" ht="20.25" customHeight="1" x14ac:dyDescent="0.25">
      <c r="B4" s="90"/>
      <c r="C4" s="90"/>
      <c r="D4" s="90"/>
      <c r="E4" s="90"/>
      <c r="F4" s="90"/>
      <c r="G4" s="90"/>
      <c r="H4" s="90"/>
      <c r="I4" s="90"/>
    </row>
    <row r="5" spans="1:11" ht="20.25" customHeight="1" x14ac:dyDescent="0.25">
      <c r="B5" s="90"/>
      <c r="C5" s="90"/>
      <c r="D5" s="90"/>
      <c r="E5" s="90"/>
      <c r="F5" s="90"/>
      <c r="G5" s="90"/>
      <c r="H5" s="90"/>
      <c r="I5" s="90"/>
    </row>
    <row r="6" spans="1:11" ht="20.25" customHeight="1" x14ac:dyDescent="0.25">
      <c r="B6" s="90"/>
      <c r="C6" s="90"/>
      <c r="D6" s="90"/>
      <c r="E6" s="90"/>
      <c r="F6" s="90"/>
      <c r="G6" s="90"/>
      <c r="H6" s="90"/>
      <c r="I6" s="90"/>
    </row>
    <row r="7" spans="1:11" ht="20.25" customHeight="1" x14ac:dyDescent="0.25">
      <c r="B7" s="90"/>
      <c r="C7" s="90"/>
      <c r="D7" s="90"/>
      <c r="E7" s="90"/>
      <c r="F7" s="90"/>
      <c r="G7" s="90"/>
      <c r="H7" s="90"/>
      <c r="I7" s="90"/>
    </row>
    <row r="8" spans="1:11" ht="20.25" customHeight="1" thickBot="1" x14ac:dyDescent="0.3">
      <c r="B8" s="90"/>
      <c r="C8" s="90"/>
      <c r="D8" s="90"/>
      <c r="E8" s="90"/>
      <c r="F8" s="90"/>
      <c r="G8" s="90"/>
      <c r="H8" s="90"/>
      <c r="I8" s="90"/>
    </row>
    <row r="9" spans="1:11" ht="20.25" customHeight="1" thickBot="1" x14ac:dyDescent="0.3">
      <c r="A9" s="27"/>
      <c r="B9" s="317" t="s">
        <v>108</v>
      </c>
      <c r="C9" s="318"/>
      <c r="D9" s="318"/>
      <c r="E9" s="318"/>
      <c r="F9" s="318"/>
      <c r="G9" s="318"/>
      <c r="H9" s="318"/>
      <c r="I9" s="319"/>
      <c r="J9" s="320" t="s">
        <v>296</v>
      </c>
      <c r="K9" s="321"/>
    </row>
    <row r="10" spans="1:11" ht="20.25" customHeight="1" x14ac:dyDescent="0.25">
      <c r="B10" s="90"/>
      <c r="C10" s="90"/>
      <c r="D10" s="90"/>
      <c r="E10" s="90"/>
      <c r="F10" s="90"/>
      <c r="G10" s="90"/>
      <c r="H10" s="90"/>
      <c r="I10" s="90"/>
    </row>
    <row r="11" spans="1:11" ht="20.25" customHeight="1" x14ac:dyDescent="0.25">
      <c r="B11" s="198" t="s">
        <v>109</v>
      </c>
      <c r="C11" s="323"/>
      <c r="D11" s="323"/>
      <c r="E11" s="323"/>
      <c r="F11" s="323"/>
      <c r="G11" s="323"/>
      <c r="H11" s="323"/>
      <c r="I11" s="324"/>
    </row>
    <row r="12" spans="1:11" ht="20.25" customHeight="1" x14ac:dyDescent="0.25">
      <c r="B12" s="196" t="s">
        <v>110</v>
      </c>
      <c r="C12" s="322"/>
      <c r="D12" s="323"/>
      <c r="E12" s="323"/>
      <c r="F12" s="323"/>
      <c r="G12" s="323"/>
      <c r="H12" s="323"/>
      <c r="I12" s="324"/>
    </row>
    <row r="13" spans="1:11" ht="20.25" customHeight="1" x14ac:dyDescent="0.25">
      <c r="B13" s="196" t="s">
        <v>111</v>
      </c>
      <c r="C13" s="322"/>
      <c r="D13" s="323"/>
      <c r="E13" s="323"/>
      <c r="F13" s="323"/>
      <c r="G13" s="323"/>
      <c r="H13" s="323"/>
      <c r="I13" s="324"/>
    </row>
    <row r="14" spans="1:11" ht="20.25" customHeight="1" x14ac:dyDescent="0.25">
      <c r="B14" s="196" t="s">
        <v>112</v>
      </c>
      <c r="C14" s="322"/>
      <c r="D14" s="323"/>
      <c r="E14" s="323"/>
      <c r="F14" s="323"/>
      <c r="G14" s="324"/>
      <c r="H14" s="198" t="s">
        <v>113</v>
      </c>
      <c r="I14" s="93">
        <f ca="1">TODAY()</f>
        <v>44005</v>
      </c>
    </row>
    <row r="15" spans="1:11" ht="20.25" customHeight="1" thickBot="1" x14ac:dyDescent="0.3">
      <c r="B15" s="90"/>
      <c r="C15" s="90"/>
      <c r="D15" s="90"/>
      <c r="E15" s="90"/>
      <c r="F15" s="90"/>
      <c r="G15" s="90"/>
      <c r="H15" s="90"/>
      <c r="I15" s="90"/>
    </row>
    <row r="16" spans="1:11" ht="20.25" customHeight="1" thickBot="1" x14ac:dyDescent="0.3">
      <c r="B16" s="325" t="s">
        <v>436</v>
      </c>
      <c r="C16" s="326"/>
      <c r="D16" s="326"/>
      <c r="E16" s="326"/>
      <c r="F16" s="326"/>
      <c r="G16" s="326"/>
      <c r="H16" s="326"/>
      <c r="I16" s="327"/>
    </row>
    <row r="17" spans="2:16" ht="20.25" customHeight="1" x14ac:dyDescent="0.25">
      <c r="B17" s="328" t="s">
        <v>470</v>
      </c>
      <c r="C17" s="328"/>
      <c r="D17" s="328"/>
      <c r="E17" s="328"/>
      <c r="F17" s="328"/>
      <c r="G17" s="328"/>
      <c r="H17" s="328"/>
      <c r="I17" s="328"/>
    </row>
    <row r="18" spans="2:16" ht="20.25" customHeight="1" x14ac:dyDescent="0.25">
      <c r="B18" s="329"/>
      <c r="C18" s="329"/>
      <c r="D18" s="329"/>
      <c r="E18" s="329"/>
      <c r="F18" s="329"/>
      <c r="G18" s="329"/>
      <c r="H18" s="329"/>
      <c r="I18" s="329"/>
    </row>
    <row r="19" spans="2:16" ht="20.25" customHeight="1" x14ac:dyDescent="0.25">
      <c r="B19" s="329"/>
      <c r="C19" s="329"/>
      <c r="D19" s="329"/>
      <c r="E19" s="329"/>
      <c r="F19" s="329"/>
      <c r="G19" s="329"/>
      <c r="H19" s="329"/>
      <c r="I19" s="329"/>
    </row>
    <row r="20" spans="2:16" ht="20.25" customHeight="1" x14ac:dyDescent="0.25">
      <c r="B20" s="329"/>
      <c r="C20" s="329"/>
      <c r="D20" s="329"/>
      <c r="E20" s="329"/>
      <c r="F20" s="329"/>
      <c r="G20" s="329"/>
      <c r="H20" s="329"/>
      <c r="I20" s="329"/>
    </row>
    <row r="21" spans="2:16" ht="20.25" customHeight="1" x14ac:dyDescent="0.25">
      <c r="B21" s="329"/>
      <c r="C21" s="329"/>
      <c r="D21" s="329"/>
      <c r="E21" s="329"/>
      <c r="F21" s="329"/>
      <c r="G21" s="329"/>
      <c r="H21" s="329"/>
      <c r="I21" s="329"/>
    </row>
    <row r="22" spans="2:16" ht="20.25" customHeight="1" thickBot="1" x14ac:dyDescent="0.3">
      <c r="B22" s="329"/>
      <c r="C22" s="329"/>
      <c r="D22" s="329"/>
      <c r="E22" s="329"/>
      <c r="F22" s="329"/>
      <c r="G22" s="329"/>
      <c r="H22" s="329"/>
      <c r="I22" s="329"/>
    </row>
    <row r="23" spans="2:16" ht="48" customHeight="1" thickBot="1" x14ac:dyDescent="0.3">
      <c r="B23" s="203"/>
      <c r="C23" s="203"/>
      <c r="D23" s="203"/>
      <c r="E23" s="203"/>
      <c r="F23" s="203"/>
      <c r="G23" s="203"/>
      <c r="H23" s="203"/>
      <c r="I23" s="203"/>
      <c r="M23" s="206" t="s">
        <v>471</v>
      </c>
      <c r="N23" s="207" t="s">
        <v>472</v>
      </c>
      <c r="O23" s="207" t="s">
        <v>473</v>
      </c>
      <c r="P23" s="207" t="s">
        <v>474</v>
      </c>
    </row>
    <row r="24" spans="2:16" ht="20.25" customHeight="1" thickBot="1" x14ac:dyDescent="0.3">
      <c r="B24" s="203"/>
      <c r="C24" s="203"/>
      <c r="D24" s="203"/>
      <c r="E24" s="203"/>
      <c r="F24" s="203"/>
      <c r="G24" s="203"/>
      <c r="H24" s="203"/>
      <c r="I24" s="203"/>
      <c r="M24" s="204" t="s">
        <v>434</v>
      </c>
      <c r="N24" s="205" t="s">
        <v>475</v>
      </c>
      <c r="O24" s="205" t="s">
        <v>476</v>
      </c>
      <c r="P24" s="205" t="s">
        <v>477</v>
      </c>
    </row>
    <row r="25" spans="2:16" ht="20.25" customHeight="1" thickBot="1" x14ac:dyDescent="0.3">
      <c r="B25" s="203"/>
      <c r="C25" s="203"/>
      <c r="D25" s="203"/>
      <c r="E25" s="203"/>
      <c r="F25" s="203"/>
      <c r="G25" s="203"/>
      <c r="H25" s="203"/>
      <c r="I25" s="203"/>
      <c r="M25" s="204" t="s">
        <v>348</v>
      </c>
      <c r="N25" s="205" t="s">
        <v>478</v>
      </c>
      <c r="O25" s="205" t="s">
        <v>496</v>
      </c>
      <c r="P25" s="205" t="s">
        <v>479</v>
      </c>
    </row>
    <row r="26" spans="2:16" ht="20.25" customHeight="1" thickBot="1" x14ac:dyDescent="0.3">
      <c r="B26" s="203"/>
      <c r="C26" s="203"/>
      <c r="D26" s="203"/>
      <c r="E26" s="203"/>
      <c r="F26" s="203"/>
      <c r="G26" s="203"/>
      <c r="H26" s="203"/>
      <c r="I26" s="203"/>
      <c r="M26" s="204" t="s">
        <v>349</v>
      </c>
      <c r="N26" s="205" t="s">
        <v>480</v>
      </c>
      <c r="O26" s="205" t="s">
        <v>481</v>
      </c>
      <c r="P26" s="205" t="s">
        <v>477</v>
      </c>
    </row>
    <row r="27" spans="2:16" ht="20.25" customHeight="1" thickBot="1" x14ac:dyDescent="0.3">
      <c r="B27" s="203"/>
      <c r="C27" s="203"/>
      <c r="D27" s="203"/>
      <c r="E27" s="203"/>
      <c r="F27" s="203"/>
      <c r="G27" s="203"/>
      <c r="H27" s="203"/>
      <c r="I27" s="203"/>
      <c r="M27" s="204" t="s">
        <v>350</v>
      </c>
      <c r="N27" s="205" t="s">
        <v>482</v>
      </c>
      <c r="O27" s="205" t="s">
        <v>495</v>
      </c>
      <c r="P27" s="205" t="s">
        <v>479</v>
      </c>
    </row>
    <row r="28" spans="2:16" x14ac:dyDescent="0.25">
      <c r="B28" s="203"/>
      <c r="C28" s="203"/>
      <c r="D28" s="203"/>
      <c r="E28" s="203"/>
      <c r="F28" s="203"/>
      <c r="G28" s="203"/>
      <c r="H28" s="203"/>
      <c r="I28" s="203"/>
      <c r="M28" s="332" t="s">
        <v>351</v>
      </c>
      <c r="N28" s="332" t="s">
        <v>483</v>
      </c>
      <c r="O28" s="332" t="s">
        <v>484</v>
      </c>
      <c r="P28" s="332" t="s">
        <v>485</v>
      </c>
    </row>
    <row r="29" spans="2:16" ht="20.25" customHeight="1" thickBot="1" x14ac:dyDescent="0.3">
      <c r="B29" s="203"/>
      <c r="C29" s="203"/>
      <c r="D29" s="203"/>
      <c r="E29" s="203"/>
      <c r="F29" s="203"/>
      <c r="G29" s="203"/>
      <c r="H29" s="203"/>
      <c r="I29" s="203"/>
      <c r="M29" s="333"/>
      <c r="N29" s="333"/>
      <c r="O29" s="333"/>
      <c r="P29" s="333"/>
    </row>
    <row r="30" spans="2:16" ht="20.25" customHeight="1" thickBot="1" x14ac:dyDescent="0.3">
      <c r="B30" s="203"/>
      <c r="C30" s="203"/>
      <c r="D30" s="203"/>
      <c r="E30" s="203"/>
      <c r="F30" s="203"/>
      <c r="G30" s="203"/>
      <c r="H30" s="203"/>
      <c r="I30" s="203"/>
      <c r="M30" s="204" t="s">
        <v>352</v>
      </c>
      <c r="N30" s="205" t="s">
        <v>480</v>
      </c>
      <c r="O30" s="205" t="s">
        <v>486</v>
      </c>
      <c r="P30" s="205" t="s">
        <v>487</v>
      </c>
    </row>
    <row r="31" spans="2:16" ht="20.25" customHeight="1" thickBot="1" x14ac:dyDescent="0.3">
      <c r="B31" s="203"/>
      <c r="C31" s="203"/>
      <c r="D31" s="203"/>
      <c r="E31" s="203"/>
      <c r="F31" s="203"/>
      <c r="G31" s="203"/>
      <c r="H31" s="203"/>
      <c r="I31" s="203"/>
      <c r="M31" s="204" t="s">
        <v>353</v>
      </c>
      <c r="N31" s="205" t="s">
        <v>482</v>
      </c>
      <c r="O31" s="205" t="s">
        <v>488</v>
      </c>
      <c r="P31" s="205" t="s">
        <v>485</v>
      </c>
    </row>
    <row r="32" spans="2:16" ht="20.25" customHeight="1" thickBot="1" x14ac:dyDescent="0.3">
      <c r="B32" s="203"/>
      <c r="C32" s="203"/>
      <c r="D32" s="203"/>
      <c r="E32" s="203"/>
      <c r="F32" s="203"/>
      <c r="G32" s="203"/>
      <c r="H32" s="203"/>
      <c r="I32" s="203"/>
      <c r="M32" s="204" t="s">
        <v>354</v>
      </c>
      <c r="N32" s="205" t="s">
        <v>482</v>
      </c>
      <c r="O32" s="205" t="s">
        <v>489</v>
      </c>
      <c r="P32" s="205" t="s">
        <v>490</v>
      </c>
    </row>
    <row r="33" spans="2:16" ht="20.25" customHeight="1" thickBot="1" x14ac:dyDescent="0.3">
      <c r="B33" s="203"/>
      <c r="C33" s="203"/>
      <c r="D33" s="203"/>
      <c r="E33" s="203"/>
      <c r="F33" s="203"/>
      <c r="G33" s="203"/>
      <c r="H33" s="203"/>
      <c r="I33" s="203"/>
      <c r="M33" s="204" t="s">
        <v>359</v>
      </c>
      <c r="N33" s="205" t="s">
        <v>482</v>
      </c>
      <c r="O33" s="205" t="s">
        <v>491</v>
      </c>
      <c r="P33" s="205" t="s">
        <v>492</v>
      </c>
    </row>
    <row r="34" spans="2:16" ht="21" thickBot="1" x14ac:dyDescent="0.3">
      <c r="B34" s="203"/>
      <c r="C34" s="203"/>
      <c r="D34" s="203"/>
      <c r="E34" s="203"/>
      <c r="F34" s="203"/>
      <c r="G34" s="203"/>
      <c r="H34" s="203"/>
      <c r="I34" s="203"/>
      <c r="M34" s="204" t="s">
        <v>360</v>
      </c>
      <c r="N34" s="205" t="s">
        <v>493</v>
      </c>
      <c r="O34" s="205" t="s">
        <v>494</v>
      </c>
      <c r="P34" s="205" t="s">
        <v>479</v>
      </c>
    </row>
    <row r="35" spans="2:16" ht="20.25" customHeight="1" x14ac:dyDescent="0.25">
      <c r="B35" s="203"/>
      <c r="C35" s="203"/>
      <c r="D35" s="203"/>
      <c r="E35" s="203"/>
      <c r="F35" s="203"/>
      <c r="G35" s="203"/>
      <c r="H35" s="203"/>
      <c r="I35" s="203"/>
    </row>
    <row r="36" spans="2:16" ht="20.25" customHeight="1" x14ac:dyDescent="0.25">
      <c r="B36" s="203"/>
      <c r="C36" s="203"/>
      <c r="D36" s="203"/>
      <c r="E36" s="203"/>
      <c r="F36" s="203"/>
      <c r="G36" s="203"/>
      <c r="H36" s="203"/>
      <c r="I36" s="203"/>
    </row>
    <row r="37" spans="2:16" ht="20.25" customHeight="1" x14ac:dyDescent="0.25">
      <c r="B37" s="203"/>
      <c r="C37" s="203"/>
      <c r="D37" s="203"/>
      <c r="E37" s="203"/>
      <c r="F37" s="203"/>
      <c r="G37" s="203"/>
      <c r="H37" s="203"/>
      <c r="I37" s="203"/>
    </row>
    <row r="38" spans="2:16" ht="20.25" customHeight="1" x14ac:dyDescent="0.25">
      <c r="B38" s="203"/>
      <c r="C38" s="203"/>
      <c r="D38" s="203"/>
      <c r="E38" s="203"/>
      <c r="F38" s="203"/>
      <c r="G38" s="203"/>
      <c r="H38" s="203"/>
      <c r="I38" s="203"/>
    </row>
    <row r="39" spans="2:16" ht="20.25" customHeight="1" x14ac:dyDescent="0.25">
      <c r="B39" s="203"/>
      <c r="C39" s="203"/>
      <c r="D39" s="203"/>
      <c r="E39" s="203"/>
      <c r="F39" s="203"/>
      <c r="G39" s="203"/>
      <c r="H39" s="203"/>
      <c r="I39" s="203"/>
    </row>
    <row r="40" spans="2:16" ht="20.25" customHeight="1" x14ac:dyDescent="0.25">
      <c r="B40" s="203"/>
      <c r="C40" s="203"/>
      <c r="D40" s="203"/>
      <c r="E40" s="203"/>
      <c r="F40" s="203"/>
      <c r="G40" s="203"/>
      <c r="H40" s="203"/>
      <c r="I40" s="203"/>
    </row>
    <row r="41" spans="2:16" ht="20.25" customHeight="1" x14ac:dyDescent="0.25">
      <c r="B41" s="203"/>
      <c r="C41" s="203"/>
      <c r="D41" s="203"/>
      <c r="E41" s="203"/>
      <c r="F41" s="203"/>
      <c r="G41" s="203"/>
      <c r="H41" s="203"/>
      <c r="I41" s="203"/>
      <c r="J41" s="195"/>
    </row>
    <row r="42" spans="2:16" ht="20.25" customHeight="1" x14ac:dyDescent="0.25">
      <c r="B42" s="203"/>
      <c r="C42" s="203"/>
      <c r="D42" s="203"/>
      <c r="E42" s="203"/>
      <c r="F42" s="203"/>
      <c r="G42" s="203"/>
      <c r="H42" s="203"/>
      <c r="I42" s="203"/>
    </row>
    <row r="43" spans="2:16" ht="20.25" customHeight="1" x14ac:dyDescent="0.25">
      <c r="B43" s="203"/>
      <c r="C43" s="203"/>
      <c r="D43" s="203"/>
      <c r="E43" s="203"/>
      <c r="F43" s="203"/>
      <c r="G43" s="203"/>
      <c r="H43" s="203"/>
      <c r="I43" s="203"/>
    </row>
    <row r="44" spans="2:16" ht="20.25" customHeight="1" x14ac:dyDescent="0.25">
      <c r="B44" s="203"/>
      <c r="C44" s="203"/>
      <c r="D44" s="203"/>
      <c r="E44" s="203"/>
      <c r="F44" s="203"/>
      <c r="G44" s="203"/>
      <c r="H44" s="203"/>
      <c r="I44" s="203"/>
    </row>
    <row r="45" spans="2:16" ht="20.25" customHeight="1" x14ac:dyDescent="0.25">
      <c r="B45" s="203"/>
      <c r="C45" s="203"/>
      <c r="D45" s="203"/>
      <c r="E45" s="203"/>
      <c r="F45" s="203"/>
      <c r="G45" s="203"/>
      <c r="H45" s="203"/>
      <c r="I45" s="203"/>
    </row>
    <row r="46" spans="2:16" ht="20.25" customHeight="1" x14ac:dyDescent="0.25">
      <c r="B46" s="203"/>
      <c r="C46" s="203"/>
      <c r="D46" s="203"/>
      <c r="E46" s="203"/>
      <c r="F46" s="203"/>
      <c r="G46" s="203"/>
      <c r="H46" s="203"/>
      <c r="I46" s="203"/>
    </row>
    <row r="47" spans="2:16" ht="20.25" customHeight="1" x14ac:dyDescent="0.25">
      <c r="B47" s="203"/>
      <c r="C47" s="203"/>
      <c r="D47" s="203"/>
      <c r="E47" s="203"/>
      <c r="F47" s="203"/>
      <c r="G47" s="203"/>
      <c r="H47" s="203"/>
      <c r="I47" s="203"/>
    </row>
    <row r="48" spans="2:16" ht="20.25" customHeight="1" x14ac:dyDescent="0.25">
      <c r="B48" s="203"/>
      <c r="C48" s="203"/>
      <c r="D48" s="203"/>
      <c r="E48" s="203"/>
      <c r="F48" s="203"/>
      <c r="G48" s="203"/>
      <c r="H48" s="203"/>
      <c r="I48" s="203"/>
    </row>
    <row r="49" spans="2:9" ht="20.25" customHeight="1" x14ac:dyDescent="0.25">
      <c r="B49" s="203"/>
      <c r="C49" s="203"/>
      <c r="D49" s="203"/>
      <c r="E49" s="203"/>
      <c r="F49" s="203"/>
      <c r="G49" s="203"/>
      <c r="H49" s="203"/>
      <c r="I49" s="203"/>
    </row>
    <row r="50" spans="2:9" ht="20.25" customHeight="1" x14ac:dyDescent="0.25">
      <c r="B50" s="203"/>
      <c r="C50" s="203"/>
      <c r="D50" s="203"/>
      <c r="E50" s="203"/>
      <c r="F50" s="203"/>
      <c r="G50" s="203"/>
      <c r="H50" s="203"/>
      <c r="I50" s="203"/>
    </row>
    <row r="51" spans="2:9" ht="20.25" customHeight="1" x14ac:dyDescent="0.25">
      <c r="B51" s="203"/>
      <c r="C51" s="203"/>
      <c r="D51" s="203"/>
      <c r="E51" s="203"/>
      <c r="F51" s="203"/>
      <c r="G51" s="203"/>
      <c r="H51" s="203"/>
      <c r="I51" s="203"/>
    </row>
    <row r="52" spans="2:9" ht="20.25" customHeight="1" x14ac:dyDescent="0.25">
      <c r="B52" s="203"/>
      <c r="C52" s="203"/>
      <c r="D52" s="203"/>
      <c r="E52" s="203"/>
      <c r="F52" s="203"/>
      <c r="G52" s="203"/>
      <c r="H52" s="203"/>
      <c r="I52" s="203"/>
    </row>
    <row r="53" spans="2:9" ht="20.25" customHeight="1" x14ac:dyDescent="0.25">
      <c r="B53" s="203"/>
      <c r="C53" s="203"/>
      <c r="D53" s="203"/>
      <c r="E53" s="203"/>
      <c r="F53" s="203"/>
      <c r="G53" s="203"/>
      <c r="H53" s="203"/>
      <c r="I53" s="203"/>
    </row>
    <row r="54" spans="2:9" ht="20.25" customHeight="1" x14ac:dyDescent="0.25">
      <c r="B54" s="330" t="s">
        <v>469</v>
      </c>
      <c r="C54" s="330"/>
      <c r="D54" s="330"/>
      <c r="E54" s="330"/>
      <c r="F54" s="330"/>
      <c r="G54" s="330"/>
      <c r="H54" s="330"/>
      <c r="I54" s="330"/>
    </row>
    <row r="55" spans="2:9" ht="20.25" customHeight="1" x14ac:dyDescent="0.25">
      <c r="B55" s="330"/>
      <c r="C55" s="330"/>
      <c r="D55" s="330"/>
      <c r="E55" s="330"/>
      <c r="F55" s="330"/>
      <c r="G55" s="330"/>
      <c r="H55" s="330"/>
      <c r="I55" s="330"/>
    </row>
    <row r="56" spans="2:9" ht="20.25" customHeight="1" x14ac:dyDescent="0.25">
      <c r="B56" s="330"/>
      <c r="C56" s="330"/>
      <c r="D56" s="330"/>
      <c r="E56" s="330"/>
      <c r="F56" s="330"/>
      <c r="G56" s="330"/>
      <c r="H56" s="330"/>
      <c r="I56" s="330"/>
    </row>
    <row r="57" spans="2:9" ht="20.25" customHeight="1" x14ac:dyDescent="0.25">
      <c r="B57" s="330"/>
      <c r="C57" s="330"/>
      <c r="D57" s="330"/>
      <c r="E57" s="330"/>
      <c r="F57" s="330"/>
      <c r="G57" s="330"/>
      <c r="H57" s="330"/>
      <c r="I57" s="330"/>
    </row>
    <row r="58" spans="2:9" ht="20.25" customHeight="1" x14ac:dyDescent="0.25">
      <c r="B58" s="330"/>
      <c r="C58" s="330"/>
      <c r="D58" s="330"/>
      <c r="E58" s="330"/>
      <c r="F58" s="330"/>
      <c r="G58" s="330"/>
      <c r="H58" s="330"/>
      <c r="I58" s="330"/>
    </row>
    <row r="59" spans="2:9" ht="20.25" customHeight="1" x14ac:dyDescent="0.25">
      <c r="B59" s="330"/>
      <c r="C59" s="330"/>
      <c r="D59" s="330"/>
      <c r="E59" s="330"/>
      <c r="F59" s="330"/>
      <c r="G59" s="330"/>
      <c r="H59" s="330"/>
      <c r="I59" s="330"/>
    </row>
    <row r="60" spans="2:9" ht="20.25" customHeight="1" x14ac:dyDescent="0.25">
      <c r="B60" s="330"/>
      <c r="C60" s="330"/>
      <c r="D60" s="330"/>
      <c r="E60" s="330"/>
      <c r="F60" s="330"/>
      <c r="G60" s="330"/>
      <c r="H60" s="330"/>
      <c r="I60" s="330"/>
    </row>
    <row r="61" spans="2:9" ht="20.25" customHeight="1" x14ac:dyDescent="0.25">
      <c r="B61" s="330"/>
      <c r="C61" s="330"/>
      <c r="D61" s="330"/>
      <c r="E61" s="330"/>
      <c r="F61" s="330"/>
      <c r="G61" s="330"/>
      <c r="H61" s="330"/>
      <c r="I61" s="330"/>
    </row>
    <row r="62" spans="2:9" ht="20.25" customHeight="1" x14ac:dyDescent="0.25">
      <c r="B62" s="330"/>
      <c r="C62" s="330"/>
      <c r="D62" s="330"/>
      <c r="E62" s="330"/>
      <c r="F62" s="330"/>
      <c r="G62" s="330"/>
      <c r="H62" s="330"/>
      <c r="I62" s="330"/>
    </row>
    <row r="63" spans="2:9" ht="20.25" customHeight="1" thickBot="1" x14ac:dyDescent="0.3">
      <c r="B63" s="331"/>
      <c r="C63" s="331"/>
      <c r="D63" s="331"/>
      <c r="E63" s="331"/>
      <c r="F63" s="331"/>
      <c r="G63" s="331"/>
      <c r="H63" s="331"/>
      <c r="I63" s="331"/>
    </row>
    <row r="64" spans="2:9" ht="20.25" customHeight="1" x14ac:dyDescent="0.25">
      <c r="B64" s="306"/>
      <c r="C64" s="307"/>
      <c r="D64" s="307"/>
      <c r="E64" s="308"/>
      <c r="F64" s="306"/>
      <c r="G64" s="307"/>
      <c r="H64" s="307"/>
      <c r="I64" s="308"/>
    </row>
    <row r="65" spans="2:9" ht="20.25" customHeight="1" x14ac:dyDescent="0.25">
      <c r="B65" s="309"/>
      <c r="C65" s="310"/>
      <c r="D65" s="310"/>
      <c r="E65" s="311"/>
      <c r="F65" s="309"/>
      <c r="G65" s="310"/>
      <c r="H65" s="310"/>
      <c r="I65" s="311"/>
    </row>
    <row r="66" spans="2:9" ht="20.25" customHeight="1" thickBot="1" x14ac:dyDescent="0.3">
      <c r="B66" s="312"/>
      <c r="C66" s="313"/>
      <c r="D66" s="313"/>
      <c r="E66" s="314"/>
      <c r="F66" s="312"/>
      <c r="G66" s="313"/>
      <c r="H66" s="313"/>
      <c r="I66" s="314"/>
    </row>
    <row r="67" spans="2:9" ht="20.25" customHeight="1" x14ac:dyDescent="0.25">
      <c r="B67" s="315" t="s">
        <v>121</v>
      </c>
      <c r="C67" s="315"/>
      <c r="D67" s="315"/>
      <c r="E67" s="316"/>
      <c r="F67" s="315" t="s">
        <v>122</v>
      </c>
      <c r="G67" s="315"/>
      <c r="H67" s="315"/>
      <c r="I67" s="315"/>
    </row>
    <row r="97" spans="1:3" ht="20.25" customHeight="1" x14ac:dyDescent="0.25">
      <c r="A97" s="59"/>
    </row>
    <row r="98" spans="1:3" ht="20.25" customHeight="1" x14ac:dyDescent="0.25">
      <c r="A98" s="197"/>
    </row>
    <row r="99" spans="1:3" ht="20.25" customHeight="1" x14ac:dyDescent="0.25">
      <c r="A99" s="197"/>
    </row>
    <row r="100" spans="1:3" ht="20.25" customHeight="1" x14ac:dyDescent="0.25">
      <c r="A100" s="195"/>
    </row>
    <row r="101" spans="1:3" ht="20.25" customHeight="1" x14ac:dyDescent="0.25">
      <c r="A101" s="195"/>
      <c r="B101" s="43"/>
      <c r="C101" s="43"/>
    </row>
    <row r="102" spans="1:3" ht="20.25" customHeight="1" x14ac:dyDescent="0.25">
      <c r="A102" s="195"/>
    </row>
    <row r="116" spans="3:4" ht="20.25" customHeight="1" x14ac:dyDescent="0.25">
      <c r="C116" s="195"/>
      <c r="D116" s="38"/>
    </row>
    <row r="117" spans="3:4" ht="20.25" customHeight="1" x14ac:dyDescent="0.25">
      <c r="C117" s="195"/>
    </row>
    <row r="118" spans="3:4" ht="20.25" customHeight="1" x14ac:dyDescent="0.25">
      <c r="C118" s="195"/>
    </row>
    <row r="119" spans="3:4" ht="20.25" customHeight="1" x14ac:dyDescent="0.25">
      <c r="C119" s="195"/>
    </row>
    <row r="120" spans="3:4" ht="20.25" customHeight="1" x14ac:dyDescent="0.25">
      <c r="C120" s="195"/>
    </row>
    <row r="121" spans="3:4" ht="20.25" customHeight="1" x14ac:dyDescent="0.25">
      <c r="C121" s="195"/>
    </row>
    <row r="122" spans="3:4" ht="20.25" customHeight="1" x14ac:dyDescent="0.25">
      <c r="C122" s="195"/>
      <c r="D122" s="195"/>
    </row>
    <row r="123" spans="3:4" ht="20.25" customHeight="1" x14ac:dyDescent="0.25">
      <c r="C123" s="195"/>
      <c r="D123" s="195"/>
    </row>
    <row r="124" spans="3:4" ht="20.25" customHeight="1" x14ac:dyDescent="0.25">
      <c r="C124" s="195"/>
      <c r="D124" s="195"/>
    </row>
  </sheetData>
  <mergeCells count="17">
    <mergeCell ref="M28:M29"/>
    <mergeCell ref="N28:N29"/>
    <mergeCell ref="O28:O29"/>
    <mergeCell ref="P28:P29"/>
    <mergeCell ref="B16:I16"/>
    <mergeCell ref="B64:E66"/>
    <mergeCell ref="F64:I66"/>
    <mergeCell ref="B67:E67"/>
    <mergeCell ref="F67:I67"/>
    <mergeCell ref="B17:I22"/>
    <mergeCell ref="B54:I63"/>
    <mergeCell ref="C14:G14"/>
    <mergeCell ref="B9:I9"/>
    <mergeCell ref="J9:K9"/>
    <mergeCell ref="C11:I11"/>
    <mergeCell ref="C12:I12"/>
    <mergeCell ref="C13:I13"/>
  </mergeCells>
  <hyperlinks>
    <hyperlink ref="J9:K9"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topLeftCell="A13" zoomScale="56" zoomScaleNormal="56" workbookViewId="0">
      <selection activeCell="M5" sqref="M5:N25"/>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hidden="1" customWidth="1" outlineLevel="1"/>
    <col min="21" max="21" width="43.42578125" style="19" hidden="1" customWidth="1" outlineLevel="1"/>
    <col min="22" max="22" width="65" style="19" hidden="1" customWidth="1" outlineLevel="1"/>
    <col min="23" max="23" width="21.28515625" style="19" hidden="1" customWidth="1" outlineLevel="1"/>
    <col min="24" max="24" width="20.28515625" style="19" hidden="1" customWidth="1" outlineLevel="1"/>
    <col min="25" max="25" width="22.42578125" style="19" hidden="1" customWidth="1" outlineLevel="1"/>
    <col min="26" max="26" width="18.85546875" style="19" hidden="1" customWidth="1" outlineLevel="1"/>
    <col min="27" max="27" width="16.85546875" style="19" hidden="1" customWidth="1" outlineLevel="1"/>
    <col min="28" max="28" width="21.5703125" style="19" hidden="1" customWidth="1" outlineLevel="1"/>
    <col min="29" max="29" width="16.85546875" style="19" hidden="1" customWidth="1" outlineLevel="1"/>
    <col min="30" max="30" width="24.42578125" style="19" hidden="1" customWidth="1" outlineLevel="1"/>
    <col min="31" max="31" width="25.42578125" style="19" hidden="1" customWidth="1" outlineLevel="1"/>
    <col min="32" max="32" width="25.5703125" style="19" hidden="1" customWidth="1" outlineLevel="1"/>
    <col min="33" max="33" width="21.42578125" style="19" hidden="1" customWidth="1" outlineLevel="1"/>
    <col min="34" max="34" width="21.5703125" style="19" hidden="1" customWidth="1" outlineLevel="1"/>
    <col min="35" max="36" width="14.28515625" style="19" hidden="1" customWidth="1" outlineLevel="1"/>
    <col min="37" max="37" width="31.42578125" style="19" hidden="1" customWidth="1" outlineLevel="1"/>
    <col min="38" max="38" width="11.42578125" style="19" hidden="1" customWidth="1" outlineLevel="1"/>
    <col min="39" max="39" width="34.28515625" style="19" hidden="1" customWidth="1" outlineLevel="1"/>
    <col min="40" max="40" width="20.85546875" style="19" hidden="1" customWidth="1" outlineLevel="1"/>
    <col min="41" max="41" width="21.28515625" style="19" hidden="1" customWidth="1" outlineLevel="1"/>
    <col min="42" max="42" width="65" style="19" hidden="1" customWidth="1" outlineLevel="1"/>
    <col min="43" max="43" width="16.7109375" style="19" hidden="1" customWidth="1" outlineLevel="1"/>
    <col min="44" max="44" width="45.85546875" style="19" hidden="1" customWidth="1" outlineLevel="1"/>
    <col min="45" max="45" width="16.7109375" style="19" hidden="1" customWidth="1" outlineLevel="1"/>
    <col min="46" max="46" width="29.28515625" style="19" hidden="1" customWidth="1" outlineLevel="1"/>
    <col min="47" max="48" width="23.85546875" style="19" hidden="1" customWidth="1" outlineLevel="1"/>
    <col min="49" max="49" width="23.5703125" style="19" hidden="1" customWidth="1" outlineLevel="1"/>
    <col min="50" max="50" width="22.42578125" style="19" hidden="1" customWidth="1" outlineLevel="1"/>
    <col min="51" max="51" width="28.5703125" style="19" hidden="1" customWidth="1" outlineLevel="1"/>
    <col min="52" max="52" width="23" style="19" hidden="1" customWidth="1" outlineLevel="1"/>
    <col min="53" max="54" width="16.7109375" style="19" hidden="1" customWidth="1" outlineLevel="1"/>
    <col min="55" max="55" width="9.140625" style="19" hidden="1" customWidth="1" outlineLevel="1"/>
    <col min="56" max="56" width="9.140625" style="19" collapsed="1"/>
    <col min="57"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23"/>
      <c r="N3" s="12"/>
      <c r="O3" s="12"/>
      <c r="P3" s="12"/>
      <c r="Q3" s="12"/>
      <c r="R3" s="13"/>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320" t="s">
        <v>296</v>
      </c>
      <c r="N4" s="321"/>
      <c r="O4" s="342" t="s">
        <v>181</v>
      </c>
      <c r="P4" s="342"/>
      <c r="Q4" s="25" t="s">
        <v>0</v>
      </c>
      <c r="R4" s="26"/>
      <c r="U4" s="343"/>
      <c r="V4" s="343"/>
      <c r="W4" s="343"/>
      <c r="X4" s="343"/>
      <c r="Y4" s="340"/>
      <c r="Z4" s="340"/>
      <c r="AA4" s="340"/>
      <c r="AB4" s="340"/>
      <c r="AC4" s="340"/>
      <c r="AD4" s="340"/>
      <c r="AO4" s="10"/>
      <c r="AP4" s="334" t="s">
        <v>239</v>
      </c>
      <c r="AQ4" s="334" t="s">
        <v>240</v>
      </c>
      <c r="AR4" s="334"/>
      <c r="AS4" s="17" t="s">
        <v>33</v>
      </c>
      <c r="AT4" s="17" t="s">
        <v>205</v>
      </c>
      <c r="AU4" s="17"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3" t="s">
        <v>1</v>
      </c>
      <c r="P5" s="8"/>
      <c r="Q5" s="3" t="s">
        <v>2</v>
      </c>
      <c r="R5" s="26"/>
      <c r="U5" s="343"/>
      <c r="V5" s="343"/>
      <c r="W5" s="343"/>
      <c r="X5" s="343"/>
      <c r="Y5" s="340"/>
      <c r="Z5" s="340"/>
      <c r="AA5" s="340"/>
      <c r="AB5" s="340"/>
      <c r="AC5" s="340"/>
      <c r="AD5" s="340"/>
      <c r="AO5" s="10"/>
      <c r="AP5" s="334"/>
      <c r="AQ5" s="334"/>
      <c r="AR5" s="334"/>
      <c r="AS5" s="18">
        <f>$AC$30</f>
        <v>50</v>
      </c>
      <c r="AT5" s="18" t="e">
        <f>$AC$31</f>
        <v>#N/A</v>
      </c>
      <c r="AU5" s="18" t="e">
        <f>$AC$32</f>
        <v>#N/A</v>
      </c>
      <c r="AV5" s="364"/>
      <c r="AW5" s="10"/>
      <c r="AX5" s="10"/>
      <c r="AY5" s="10"/>
      <c r="AZ5" s="10"/>
      <c r="BA5" s="10"/>
      <c r="BB5" s="10"/>
    </row>
    <row r="6" spans="1:54" ht="20.25" customHeight="1" x14ac:dyDescent="0.25">
      <c r="B6" s="90"/>
      <c r="C6" s="90"/>
      <c r="D6" s="90"/>
      <c r="E6" s="90"/>
      <c r="F6" s="90"/>
      <c r="G6" s="90"/>
      <c r="H6" s="90"/>
      <c r="I6" s="90"/>
      <c r="M6" s="351"/>
      <c r="N6" s="361"/>
      <c r="O6" s="3" t="s">
        <v>3</v>
      </c>
      <c r="P6" s="9"/>
      <c r="Q6" s="3" t="s">
        <v>55</v>
      </c>
      <c r="R6" s="26"/>
      <c r="U6" s="3" t="s">
        <v>29</v>
      </c>
      <c r="V6" s="340" t="s">
        <v>51</v>
      </c>
      <c r="W6" s="340"/>
      <c r="X6" s="340"/>
      <c r="Y6" s="340"/>
      <c r="Z6" s="340"/>
      <c r="AA6" s="340"/>
      <c r="AB6" s="340"/>
      <c r="AC6" s="340"/>
      <c r="AD6" s="340"/>
      <c r="AO6" s="10"/>
      <c r="AP6" s="17">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3" t="s">
        <v>4</v>
      </c>
      <c r="P7" s="8"/>
      <c r="Q7" s="3" t="s">
        <v>55</v>
      </c>
      <c r="R7" s="26"/>
      <c r="U7" s="3" t="s">
        <v>23</v>
      </c>
      <c r="V7" s="3" t="s">
        <v>25</v>
      </c>
      <c r="W7" s="3" t="s">
        <v>26</v>
      </c>
      <c r="X7" s="3" t="s">
        <v>31</v>
      </c>
      <c r="Y7" s="3" t="s">
        <v>53</v>
      </c>
      <c r="Z7" s="340" t="s">
        <v>54</v>
      </c>
      <c r="AA7" s="340"/>
      <c r="AB7" s="340"/>
      <c r="AC7" s="24" t="s">
        <v>57</v>
      </c>
      <c r="AD7" s="24" t="s">
        <v>58</v>
      </c>
      <c r="AF7" s="335" t="s">
        <v>228</v>
      </c>
      <c r="AG7" s="335"/>
      <c r="AH7" s="335"/>
      <c r="AI7" s="335"/>
      <c r="AJ7" s="335"/>
      <c r="AK7" s="335"/>
      <c r="AL7" s="335"/>
      <c r="AM7" s="335"/>
      <c r="AO7" s="10"/>
      <c r="AP7" s="17">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3" t="s">
        <v>5</v>
      </c>
      <c r="P8" s="9"/>
      <c r="Q8" s="102" t="s">
        <v>55</v>
      </c>
      <c r="R8" s="26"/>
      <c r="U8" s="3" t="s">
        <v>37</v>
      </c>
      <c r="V8" s="3" t="s">
        <v>39</v>
      </c>
      <c r="W8" s="3" t="s">
        <v>30</v>
      </c>
      <c r="X8" s="3" t="s">
        <v>43</v>
      </c>
      <c r="Y8" s="3" t="str">
        <f>IF($P$21&lt;=15.99,"correto","erro")</f>
        <v>correto</v>
      </c>
      <c r="Z8" s="3" t="str">
        <f>IF($P$13&lt;=12,"baixo","erro")</f>
        <v>baixo</v>
      </c>
      <c r="AA8" s="3" t="str">
        <f>IF(AND($P$13&gt;=12.01,$P$13&lt;=18),"medio","erro")</f>
        <v>erro</v>
      </c>
      <c r="AB8" s="3" t="str">
        <f>IF($P$13&gt;18,"adequado","erro")</f>
        <v>erro</v>
      </c>
      <c r="AC8" s="24" t="str">
        <f>IF(Z8="baixo","baixo",IF(AA8="medio","medio",IF(AB8="adequado","adequado",0)))</f>
        <v>baixo</v>
      </c>
      <c r="AD8" s="340" t="str">
        <f>VLOOKUP("correto",Y8:AC11,5,0)</f>
        <v>baixo</v>
      </c>
      <c r="AF8" s="3" t="s">
        <v>231</v>
      </c>
      <c r="AG8" s="335" t="s">
        <v>229</v>
      </c>
      <c r="AH8" s="335"/>
      <c r="AI8" s="340" t="s">
        <v>230</v>
      </c>
      <c r="AJ8" s="340"/>
      <c r="AK8" s="3" t="s">
        <v>58</v>
      </c>
      <c r="AL8" s="3" t="s">
        <v>244</v>
      </c>
      <c r="AM8" s="3" t="s">
        <v>247</v>
      </c>
      <c r="AO8" s="10"/>
      <c r="AP8" s="17">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3" t="s">
        <v>6</v>
      </c>
      <c r="P9" s="8"/>
      <c r="Q9" s="3" t="s">
        <v>55</v>
      </c>
      <c r="R9" s="26"/>
      <c r="U9" s="3" t="s">
        <v>27</v>
      </c>
      <c r="V9" s="3" t="s">
        <v>40</v>
      </c>
      <c r="W9" s="3" t="s">
        <v>44</v>
      </c>
      <c r="X9" s="3" t="s">
        <v>47</v>
      </c>
      <c r="Y9" s="3" t="str">
        <f>IF(AND($P$21&gt;15.99,P21&lt;34.99),"correto","erro")</f>
        <v>erro</v>
      </c>
      <c r="Z9" s="3" t="str">
        <f>IF($P$13&lt;=10,"baixo","erro")</f>
        <v>baixo</v>
      </c>
      <c r="AA9" s="3" t="str">
        <f>IF(AND($P$13&gt;=10.01,$P$13&lt;=15),"medio","erro")</f>
        <v>erro</v>
      </c>
      <c r="AB9" s="3" t="str">
        <f>IF($P$13&gt;15,"adequado","erro")</f>
        <v>erro</v>
      </c>
      <c r="AC9" s="24" t="str">
        <f>IF(Z9="baixo","baixo",IF(AA9="medio","medio",IF(AB9="adequado","adequado",0)))</f>
        <v>baixo</v>
      </c>
      <c r="AD9" s="340"/>
      <c r="AF9" s="335" t="s">
        <v>227</v>
      </c>
      <c r="AG9" s="28" t="s">
        <v>25</v>
      </c>
      <c r="AH9" s="28" t="s">
        <v>223</v>
      </c>
      <c r="AI9" s="3"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50</v>
      </c>
      <c r="AT9" s="48" t="e">
        <f>AT5-(SUM(AT6:AT8))</f>
        <v>#N/A</v>
      </c>
      <c r="AU9" s="48" t="e">
        <f>AU5-(SUM(AU6:AU8))</f>
        <v>#N/A</v>
      </c>
      <c r="AV9" s="48"/>
      <c r="AW9" s="10"/>
      <c r="AX9" s="10"/>
      <c r="AY9" s="10"/>
      <c r="AZ9" s="10"/>
      <c r="BA9" s="10"/>
      <c r="BB9" s="10"/>
    </row>
    <row r="10" spans="1:54" ht="20.25" customHeight="1" x14ac:dyDescent="0.25">
      <c r="B10" s="90"/>
      <c r="C10" s="90"/>
      <c r="D10" s="90"/>
      <c r="E10" s="90"/>
      <c r="F10" s="90"/>
      <c r="G10" s="90"/>
      <c r="H10" s="90"/>
      <c r="I10" s="90"/>
      <c r="M10" s="351"/>
      <c r="N10" s="361"/>
      <c r="O10" s="3" t="s">
        <v>7</v>
      </c>
      <c r="P10" s="9"/>
      <c r="Q10" s="3" t="s">
        <v>55</v>
      </c>
      <c r="R10" s="26"/>
      <c r="U10" s="3" t="s">
        <v>28</v>
      </c>
      <c r="V10" s="3" t="s">
        <v>41</v>
      </c>
      <c r="W10" s="3" t="s">
        <v>45</v>
      </c>
      <c r="X10" s="3" t="s">
        <v>48</v>
      </c>
      <c r="Y10" s="3" t="str">
        <f>IF(AND($P$21&gt;34.99,P21&lt;59.99),"correto","erro")</f>
        <v>erro</v>
      </c>
      <c r="Z10" s="3" t="str">
        <f>IF($P$13&lt;=5,"baixo","erro")</f>
        <v>baixo</v>
      </c>
      <c r="AA10" s="3" t="str">
        <f>IF(AND($P$13&gt;=5.01,$P$13&lt;=8),"medio","erro")</f>
        <v>erro</v>
      </c>
      <c r="AB10" s="3" t="str">
        <f>IF($P$13&gt;8,"adequado","erro")</f>
        <v>erro</v>
      </c>
      <c r="AC10" s="24" t="str">
        <f>IF(Z10="baixo","baixo",IF(AA10="medio","medio",IF(AB10="adequado","adequado",0)))</f>
        <v>baixo</v>
      </c>
      <c r="AD10" s="340"/>
      <c r="AF10" s="335"/>
      <c r="AG10" s="28" t="s">
        <v>26</v>
      </c>
      <c r="AH10" s="28" t="s">
        <v>219</v>
      </c>
      <c r="AI10" s="3" t="str">
        <f>IF(AND($P$14&gt;=0.201,$P$14&lt;=0.5),"medio","erro")</f>
        <v>erro</v>
      </c>
      <c r="AJ10" s="340"/>
      <c r="AK10" s="340"/>
      <c r="AL10" s="340"/>
      <c r="AM10" s="338"/>
      <c r="AO10" s="10"/>
      <c r="AP10" s="334" t="s">
        <v>239</v>
      </c>
      <c r="AQ10" s="334" t="s">
        <v>240</v>
      </c>
      <c r="AR10" s="334"/>
      <c r="AS10" s="17" t="s">
        <v>33</v>
      </c>
      <c r="AT10" s="17" t="s">
        <v>205</v>
      </c>
      <c r="AU10" s="17" t="s">
        <v>206</v>
      </c>
      <c r="AV10" s="363" t="s">
        <v>241</v>
      </c>
      <c r="AW10" s="10" t="s">
        <v>291</v>
      </c>
      <c r="AX10" s="10"/>
      <c r="AY10" s="10"/>
      <c r="AZ10" s="10"/>
      <c r="BA10" s="10"/>
      <c r="BB10" s="10"/>
    </row>
    <row r="11" spans="1:54" ht="20.25" customHeight="1" x14ac:dyDescent="0.25">
      <c r="B11" s="91" t="s">
        <v>109</v>
      </c>
      <c r="C11" s="323"/>
      <c r="D11" s="323"/>
      <c r="E11" s="323"/>
      <c r="F11" s="323"/>
      <c r="G11" s="323"/>
      <c r="H11" s="323"/>
      <c r="I11" s="324"/>
      <c r="M11" s="351"/>
      <c r="N11" s="361"/>
      <c r="O11" s="3" t="s">
        <v>8</v>
      </c>
      <c r="P11" s="8"/>
      <c r="Q11" s="3" t="s">
        <v>55</v>
      </c>
      <c r="R11" s="26"/>
      <c r="U11" s="3" t="s">
        <v>38</v>
      </c>
      <c r="V11" s="3" t="s">
        <v>42</v>
      </c>
      <c r="W11" s="3" t="s">
        <v>46</v>
      </c>
      <c r="X11" s="3" t="s">
        <v>49</v>
      </c>
      <c r="Y11" s="3" t="str">
        <f>IF($P$21&gt;59.99,"correto","erro")</f>
        <v>erro</v>
      </c>
      <c r="Z11" s="3" t="str">
        <f>IF($P$13&lt;=3,"baixo","erro")</f>
        <v>baixo</v>
      </c>
      <c r="AA11" s="3" t="str">
        <f>IF(AND($P$13&gt;=3.01,$P$13&lt;=6),"medio","erro")</f>
        <v>erro</v>
      </c>
      <c r="AB11" s="3" t="str">
        <f>IF($P$13&gt;6,"adequado","erro")</f>
        <v>erro</v>
      </c>
      <c r="AC11" s="24" t="str">
        <f>IF(Z11="baixo","baixo",IF(AA11="medio","medio",IF(AB11="adequado","adequado",0)))</f>
        <v>baixo</v>
      </c>
      <c r="AD11" s="340"/>
      <c r="AF11" s="335"/>
      <c r="AG11" s="28" t="s">
        <v>215</v>
      </c>
      <c r="AH11" s="28" t="s">
        <v>214</v>
      </c>
      <c r="AI11" s="3" t="str">
        <f>IF($P$14&gt;0.5,"adequado","erro")</f>
        <v>erro</v>
      </c>
      <c r="AJ11" s="340"/>
      <c r="AK11" s="340"/>
      <c r="AL11" s="340"/>
      <c r="AM11" s="338"/>
      <c r="AO11" s="10"/>
      <c r="AP11" s="334"/>
      <c r="AQ11" s="334"/>
      <c r="AR11" s="334"/>
      <c r="AS11" s="18">
        <f>AS9</f>
        <v>50</v>
      </c>
      <c r="AT11" s="18" t="e">
        <f t="shared" ref="AT11:AU11" si="0">AT9</f>
        <v>#N/A</v>
      </c>
      <c r="AU11" s="18" t="e">
        <f t="shared" si="0"/>
        <v>#N/A</v>
      </c>
      <c r="AV11" s="364"/>
      <c r="AW11" s="10"/>
      <c r="AX11" s="10"/>
      <c r="AY11" s="10"/>
      <c r="AZ11" s="10"/>
      <c r="BA11" s="10"/>
      <c r="BB11" s="10"/>
    </row>
    <row r="12" spans="1:54" ht="20.25" customHeight="1" x14ac:dyDescent="0.25">
      <c r="B12" s="92" t="s">
        <v>110</v>
      </c>
      <c r="C12" s="322"/>
      <c r="D12" s="323"/>
      <c r="E12" s="323"/>
      <c r="F12" s="323"/>
      <c r="G12" s="323"/>
      <c r="H12" s="323"/>
      <c r="I12" s="324"/>
      <c r="M12" s="351"/>
      <c r="N12" s="361"/>
      <c r="O12" s="3" t="s">
        <v>9</v>
      </c>
      <c r="P12" s="9"/>
      <c r="Q12" s="3" t="s">
        <v>10</v>
      </c>
      <c r="R12" s="26"/>
      <c r="AF12" s="335" t="s">
        <v>226</v>
      </c>
      <c r="AG12" s="28" t="s">
        <v>25</v>
      </c>
      <c r="AH12" s="28" t="s">
        <v>222</v>
      </c>
      <c r="AI12" s="3" t="str">
        <f>IF($P$16&lt;=0.4,"baixo","erro")</f>
        <v>baixo</v>
      </c>
      <c r="AJ12" s="340" t="str">
        <f>IF($AI$12="baixo","baixo",IF($AI$13="medio","medio",IF($AI$14="adequado","adequado",0)))</f>
        <v>baixo</v>
      </c>
      <c r="AK12" s="340" t="e">
        <f>IF(AJ12="Baixo",AL12,0)</f>
        <v>#VALUE!</v>
      </c>
      <c r="AL12" s="340" t="e">
        <f>(AM12*1000)/$E$18</f>
        <v>#VALUE!</v>
      </c>
      <c r="AM12" s="338">
        <v>2</v>
      </c>
      <c r="AO12" s="10"/>
      <c r="AP12" s="17">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92" t="s">
        <v>111</v>
      </c>
      <c r="C13" s="322"/>
      <c r="D13" s="323"/>
      <c r="E13" s="323"/>
      <c r="F13" s="323"/>
      <c r="G13" s="323"/>
      <c r="H13" s="323"/>
      <c r="I13" s="324"/>
      <c r="M13" s="351"/>
      <c r="N13" s="361"/>
      <c r="O13" s="3" t="s">
        <v>11</v>
      </c>
      <c r="P13" s="8"/>
      <c r="Q13" s="3" t="s">
        <v>12</v>
      </c>
      <c r="R13" s="26"/>
      <c r="AF13" s="335"/>
      <c r="AG13" s="28" t="s">
        <v>26</v>
      </c>
      <c r="AH13" s="28" t="s">
        <v>218</v>
      </c>
      <c r="AI13" s="3" t="str">
        <f>IF(AND($P$16&gt;=0.401,$P$16&lt;=0.8),"medio","erro")</f>
        <v>erro</v>
      </c>
      <c r="AJ13" s="340"/>
      <c r="AK13" s="340"/>
      <c r="AL13" s="340"/>
      <c r="AM13" s="338"/>
      <c r="AO13" s="10"/>
      <c r="AP13" s="17">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92" t="s">
        <v>112</v>
      </c>
      <c r="C14" s="322"/>
      <c r="D14" s="323"/>
      <c r="E14" s="323"/>
      <c r="F14" s="323"/>
      <c r="G14" s="324"/>
      <c r="H14" s="91" t="s">
        <v>113</v>
      </c>
      <c r="I14" s="93">
        <f ca="1">TODAY()</f>
        <v>44005</v>
      </c>
      <c r="M14" s="351"/>
      <c r="N14" s="361"/>
      <c r="O14" s="3" t="s">
        <v>13</v>
      </c>
      <c r="P14" s="9"/>
      <c r="Q14" s="3" t="s">
        <v>12</v>
      </c>
      <c r="R14" s="26"/>
      <c r="AF14" s="335"/>
      <c r="AG14" s="28" t="s">
        <v>215</v>
      </c>
      <c r="AH14" s="28" t="s">
        <v>213</v>
      </c>
      <c r="AI14" s="3" t="str">
        <f>IF($P$16&gt;0.8,"adequado","erro")</f>
        <v>erro</v>
      </c>
      <c r="AJ14" s="340"/>
      <c r="AK14" s="340"/>
      <c r="AL14" s="340"/>
      <c r="AM14" s="338"/>
      <c r="AO14" s="10"/>
      <c r="AP14" s="17">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3" t="s">
        <v>14</v>
      </c>
      <c r="P15" s="8"/>
      <c r="Q15" s="3" t="s">
        <v>12</v>
      </c>
      <c r="R15" s="26"/>
      <c r="AF15" s="335" t="s">
        <v>225</v>
      </c>
      <c r="AG15" s="28" t="s">
        <v>25</v>
      </c>
      <c r="AH15" s="28" t="s">
        <v>221</v>
      </c>
      <c r="AI15" s="3"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50</v>
      </c>
      <c r="AT15" s="48" t="e">
        <f>AT11-(SUM(AT12:AT14))</f>
        <v>#N/A</v>
      </c>
      <c r="AU15" s="48" t="e">
        <f>AU11-(SUM(AU12:AU14))</f>
        <v>#N/A</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3" t="s">
        <v>15</v>
      </c>
      <c r="P16" s="9"/>
      <c r="Q16" s="3" t="s">
        <v>12</v>
      </c>
      <c r="R16" s="26"/>
      <c r="AF16" s="335"/>
      <c r="AG16" s="28" t="s">
        <v>26</v>
      </c>
      <c r="AH16" s="28" t="s">
        <v>217</v>
      </c>
      <c r="AI16" s="3" t="str">
        <f>IF(AND($P$18&gt;=1.901,$P$18&lt;=5),"medio","erro")</f>
        <v>erro</v>
      </c>
      <c r="AJ16" s="340"/>
      <c r="AK16" s="340"/>
      <c r="AL16" s="340"/>
      <c r="AM16" s="338"/>
      <c r="AO16" s="10"/>
      <c r="AP16" s="334" t="s">
        <v>239</v>
      </c>
      <c r="AQ16" s="334" t="s">
        <v>240</v>
      </c>
      <c r="AR16" s="334"/>
      <c r="AS16" s="17" t="s">
        <v>33</v>
      </c>
      <c r="AT16" s="17" t="s">
        <v>205</v>
      </c>
      <c r="AU16" s="17"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3" t="s">
        <v>16</v>
      </c>
      <c r="P17" s="8"/>
      <c r="Q17" s="3" t="s">
        <v>12</v>
      </c>
      <c r="R17" s="26"/>
      <c r="U17" s="343" t="s">
        <v>60</v>
      </c>
      <c r="V17" s="343"/>
      <c r="W17" s="343"/>
      <c r="X17" s="343"/>
      <c r="Y17" s="340" t="s">
        <v>59</v>
      </c>
      <c r="Z17" s="340"/>
      <c r="AA17" s="340"/>
      <c r="AB17" s="340"/>
      <c r="AC17" s="340"/>
      <c r="AD17" s="340"/>
      <c r="AF17" s="335"/>
      <c r="AG17" s="28" t="s">
        <v>215</v>
      </c>
      <c r="AH17" s="28" t="s">
        <v>212</v>
      </c>
      <c r="AI17" s="3" t="str">
        <f>IF($P$18&gt;5,"adequado","erro")</f>
        <v>erro</v>
      </c>
      <c r="AJ17" s="340"/>
      <c r="AK17" s="340"/>
      <c r="AL17" s="340"/>
      <c r="AM17" s="338"/>
      <c r="AO17" s="10"/>
      <c r="AP17" s="334"/>
      <c r="AQ17" s="334"/>
      <c r="AR17" s="334"/>
      <c r="AS17" s="18">
        <f>AS15</f>
        <v>50</v>
      </c>
      <c r="AT17" s="18" t="e">
        <f t="shared" ref="AT17:AU17" si="1">AT15</f>
        <v>#N/A</v>
      </c>
      <c r="AU17" s="18" t="e">
        <f t="shared" si="1"/>
        <v>#N/A</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91">
        <f>O34</f>
        <v>0</v>
      </c>
      <c r="M18" s="351"/>
      <c r="N18" s="361"/>
      <c r="O18" s="3" t="s">
        <v>17</v>
      </c>
      <c r="P18" s="9"/>
      <c r="Q18" s="3" t="s">
        <v>12</v>
      </c>
      <c r="R18" s="26"/>
      <c r="U18" s="343"/>
      <c r="V18" s="343"/>
      <c r="W18" s="343"/>
      <c r="X18" s="343"/>
      <c r="Y18" s="340"/>
      <c r="Z18" s="340"/>
      <c r="AA18" s="340"/>
      <c r="AB18" s="340"/>
      <c r="AC18" s="340"/>
      <c r="AD18" s="340"/>
      <c r="AF18" s="335" t="s">
        <v>224</v>
      </c>
      <c r="AG18" s="28" t="s">
        <v>25</v>
      </c>
      <c r="AH18" s="28" t="s">
        <v>220</v>
      </c>
      <c r="AI18" s="3" t="str">
        <f>IF($P$19&lt;=1,"baixo","erro")</f>
        <v>baixo</v>
      </c>
      <c r="AJ18" s="340" t="str">
        <f>IF($AI$18="baixo","baixo",IF($AI$19="medio","medio",IF($AI$20="adequado","adequado",0)))</f>
        <v>baixo</v>
      </c>
      <c r="AK18" s="340" t="e">
        <f>IF(AJ18="Baixo",AL18,0)</f>
        <v>#VALUE!</v>
      </c>
      <c r="AL18" s="340" t="e">
        <f>(AM18*1000)/$E$18</f>
        <v>#VALUE!</v>
      </c>
      <c r="AM18" s="338">
        <v>6</v>
      </c>
      <c r="AO18" s="10"/>
      <c r="AP18" s="17">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3" t="s">
        <v>18</v>
      </c>
      <c r="P19" s="8"/>
      <c r="Q19" s="3" t="s">
        <v>12</v>
      </c>
      <c r="R19" s="26"/>
      <c r="S19" s="20"/>
      <c r="U19" s="343"/>
      <c r="V19" s="343"/>
      <c r="W19" s="343"/>
      <c r="X19" s="343"/>
      <c r="Y19" s="340"/>
      <c r="Z19" s="340"/>
      <c r="AA19" s="340"/>
      <c r="AB19" s="340"/>
      <c r="AC19" s="340"/>
      <c r="AD19" s="340"/>
      <c r="AF19" s="335"/>
      <c r="AG19" s="28" t="s">
        <v>26</v>
      </c>
      <c r="AH19" s="28" t="s">
        <v>216</v>
      </c>
      <c r="AI19" s="3" t="str">
        <f>IF(AND($P$19&gt;=1.01,$P$19&lt;=1.6),"medio","erro")</f>
        <v>erro</v>
      </c>
      <c r="AJ19" s="340"/>
      <c r="AK19" s="340"/>
      <c r="AL19" s="340"/>
      <c r="AM19" s="338"/>
      <c r="AO19" s="10"/>
      <c r="AP19" s="17">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3" t="s">
        <v>19</v>
      </c>
      <c r="P20" s="9"/>
      <c r="Q20" s="102" t="s">
        <v>23</v>
      </c>
      <c r="R20" s="26"/>
      <c r="U20" s="3" t="s">
        <v>29</v>
      </c>
      <c r="V20" s="340" t="s">
        <v>74</v>
      </c>
      <c r="W20" s="340"/>
      <c r="X20" s="340"/>
      <c r="Y20" s="340"/>
      <c r="Z20" s="340"/>
      <c r="AA20" s="340"/>
      <c r="AB20" s="340"/>
      <c r="AC20" s="340"/>
      <c r="AD20" s="340"/>
      <c r="AF20" s="335"/>
      <c r="AG20" s="28" t="s">
        <v>215</v>
      </c>
      <c r="AH20" s="28" t="s">
        <v>211</v>
      </c>
      <c r="AI20" s="3" t="str">
        <f>IF($P$19&gt;1.6,"adequado","erro")</f>
        <v>erro</v>
      </c>
      <c r="AJ20" s="340"/>
      <c r="AK20" s="340"/>
      <c r="AL20" s="340"/>
      <c r="AM20" s="338"/>
      <c r="AO20" s="10"/>
      <c r="AP20" s="17">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3" t="s">
        <v>52</v>
      </c>
      <c r="P21" s="8"/>
      <c r="Q21" s="102" t="s">
        <v>23</v>
      </c>
      <c r="R21" s="26"/>
      <c r="S21" s="20"/>
      <c r="U21" s="3" t="s">
        <v>23</v>
      </c>
      <c r="V21" s="3" t="s">
        <v>25</v>
      </c>
      <c r="W21" s="3" t="s">
        <v>26</v>
      </c>
      <c r="X21" s="3" t="s">
        <v>31</v>
      </c>
      <c r="Y21" s="3" t="s">
        <v>53</v>
      </c>
      <c r="Z21" s="340" t="s">
        <v>62</v>
      </c>
      <c r="AA21" s="340"/>
      <c r="AB21" s="340"/>
      <c r="AC21" s="3" t="s">
        <v>57</v>
      </c>
      <c r="AD21" s="3" t="s">
        <v>58</v>
      </c>
      <c r="AO21" s="10"/>
      <c r="AP21" s="10"/>
      <c r="AQ21" s="10"/>
      <c r="AR21" s="10"/>
      <c r="AS21" s="48">
        <f>AS17-(SUM(AS18:AS20))</f>
        <v>50</v>
      </c>
      <c r="AT21" s="48" t="e">
        <f t="shared" ref="AT21:AU21" si="2">AT17-(SUM(AT18:AT20))</f>
        <v>#N/A</v>
      </c>
      <c r="AU21" s="48" t="e">
        <f t="shared" si="2"/>
        <v>#N/A</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3" t="s">
        <v>20</v>
      </c>
      <c r="P22" s="9"/>
      <c r="Q22" s="102" t="s">
        <v>23</v>
      </c>
      <c r="R22" s="26"/>
      <c r="U22" s="3" t="s">
        <v>50</v>
      </c>
      <c r="V22" s="3" t="s">
        <v>255</v>
      </c>
      <c r="W22" s="3" t="s">
        <v>257</v>
      </c>
      <c r="X22" s="3" t="s">
        <v>258</v>
      </c>
      <c r="Y22" s="3" t="str">
        <f>IF($P$21&lt;=20,"correto","erro")</f>
        <v>correto</v>
      </c>
      <c r="Z22" s="3" t="str">
        <f>IF($P$8&lt;=0.04,"baixo","erro")</f>
        <v>baixo</v>
      </c>
      <c r="AA22" s="3" t="str">
        <f>IF(AND($P$8&gt;=0.041,$P$8&lt;=0.1),"medio","erro")</f>
        <v>erro</v>
      </c>
      <c r="AB22" s="3" t="str">
        <f>IF($P$8&gt;0.101,"adequado","erro")</f>
        <v>erro</v>
      </c>
      <c r="AC22" s="3"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3" t="s">
        <v>21</v>
      </c>
      <c r="P23" s="8"/>
      <c r="Q23" s="3" t="s">
        <v>10</v>
      </c>
      <c r="R23" s="26"/>
      <c r="U23" s="3" t="s">
        <v>61</v>
      </c>
      <c r="V23" s="3" t="s">
        <v>256</v>
      </c>
      <c r="W23" s="3" t="s">
        <v>259</v>
      </c>
      <c r="X23" s="3" t="s">
        <v>260</v>
      </c>
      <c r="Y23" s="3" t="str">
        <f>IF($P$21&gt;20,"correto","erro")</f>
        <v>erro</v>
      </c>
      <c r="Z23" s="3" t="str">
        <f>IF($P$8&lt;=0.06,"baixo","erro")</f>
        <v>baixo</v>
      </c>
      <c r="AA23" s="3" t="str">
        <f>IF(AND($P$8&gt;=0.061,$P$8&lt;=0.2),"medio","erro")</f>
        <v>erro</v>
      </c>
      <c r="AB23" s="3" t="str">
        <f>IF($P$8&gt;0.201,"adequado","erro")</f>
        <v>erro</v>
      </c>
      <c r="AC23" s="3"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3" t="s">
        <v>22</v>
      </c>
      <c r="P24" s="2" t="e">
        <f>100*(P6+P7+P8+P9)/P25</f>
        <v>#DIV/0!</v>
      </c>
      <c r="Q24" s="3"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3" t="s">
        <v>24</v>
      </c>
      <c r="P25" s="1">
        <f>(P6+P7+P8+P9+P11)</f>
        <v>0</v>
      </c>
      <c r="Q25" s="3" t="s">
        <v>55</v>
      </c>
      <c r="R25" s="26"/>
      <c r="AO25" s="10"/>
      <c r="AP25" s="414" t="s">
        <v>239</v>
      </c>
      <c r="AQ25" s="414" t="s">
        <v>240</v>
      </c>
      <c r="AR25" s="414"/>
      <c r="AS25" s="16" t="s">
        <v>84</v>
      </c>
      <c r="AT25" s="16" t="s">
        <v>87</v>
      </c>
      <c r="AU25" s="16" t="s">
        <v>85</v>
      </c>
      <c r="AV25" s="16" t="s">
        <v>86</v>
      </c>
      <c r="AW25" s="10"/>
      <c r="AX25" s="10"/>
      <c r="AY25" s="10"/>
      <c r="AZ25" s="10"/>
      <c r="BA25" s="10"/>
      <c r="BB25" s="10"/>
    </row>
    <row r="26" spans="2:54" ht="20.25" customHeight="1" thickBot="1" x14ac:dyDescent="0.3">
      <c r="B26" s="358" t="s">
        <v>253</v>
      </c>
      <c r="C26" s="359"/>
      <c r="D26" s="359"/>
      <c r="E26" s="359"/>
      <c r="F26" s="359"/>
      <c r="G26" s="359"/>
      <c r="H26" s="359"/>
      <c r="I26" s="360"/>
      <c r="J26" s="22"/>
      <c r="M26" s="29"/>
      <c r="N26" s="14"/>
      <c r="O26" s="14"/>
      <c r="P26" s="14"/>
      <c r="Q26" s="14"/>
      <c r="R26" s="15"/>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103" t="s">
        <v>32</v>
      </c>
      <c r="V27" s="103" t="s">
        <v>64</v>
      </c>
      <c r="W27" s="103" t="s">
        <v>75</v>
      </c>
      <c r="X27" s="103" t="s">
        <v>71</v>
      </c>
      <c r="Y27" s="103" t="s">
        <v>36</v>
      </c>
      <c r="Z27" s="103"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23"/>
      <c r="N28" s="12"/>
      <c r="O28" s="12"/>
      <c r="P28" s="12"/>
      <c r="Q28" s="12"/>
      <c r="R28" s="13"/>
      <c r="U28" s="60">
        <v>0</v>
      </c>
      <c r="V28" s="60">
        <v>50</v>
      </c>
      <c r="W28" s="60" t="s">
        <v>68</v>
      </c>
      <c r="X28" s="60" t="str">
        <f>CONCATENATE(U28," - ",W28)</f>
        <v>0 - baixo</v>
      </c>
      <c r="Y28" s="60">
        <v>10</v>
      </c>
      <c r="Z28" s="60">
        <v>10</v>
      </c>
      <c r="AE28" s="3" t="s">
        <v>63</v>
      </c>
      <c r="AG28" s="3"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60">
        <v>0</v>
      </c>
      <c r="V29" s="60">
        <v>50</v>
      </c>
      <c r="W29" s="60" t="s">
        <v>69</v>
      </c>
      <c r="X29" s="60" t="str">
        <f t="shared" ref="X29:X30" si="9">CONCATENATE(U29," - ",W29)</f>
        <v>0 - medio</v>
      </c>
      <c r="Y29" s="60">
        <v>10</v>
      </c>
      <c r="Z29" s="60">
        <v>10</v>
      </c>
      <c r="AB29" s="413" t="s">
        <v>65</v>
      </c>
      <c r="AC29" s="413"/>
      <c r="AE29" s="3" t="s">
        <v>32</v>
      </c>
      <c r="AG29" s="3" t="s">
        <v>174</v>
      </c>
      <c r="AI29" s="30"/>
      <c r="AK29" s="52"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60">
        <v>0</v>
      </c>
      <c r="V30" s="60">
        <v>50</v>
      </c>
      <c r="W30" s="60" t="s">
        <v>70</v>
      </c>
      <c r="X30" s="60" t="str">
        <f t="shared" si="9"/>
        <v>0 - adequado</v>
      </c>
      <c r="Y30" s="60">
        <v>10</v>
      </c>
      <c r="Z30" s="60">
        <v>10</v>
      </c>
      <c r="AB30" s="63" t="s">
        <v>33</v>
      </c>
      <c r="AC30" s="63">
        <f>VLOOKUP($P$39,$U$28:$V$42,2,0)</f>
        <v>50</v>
      </c>
      <c r="AE30" s="3" t="s">
        <v>34</v>
      </c>
      <c r="AG30" s="3" t="s">
        <v>175</v>
      </c>
      <c r="AI30" s="30">
        <v>0</v>
      </c>
      <c r="AK30" s="52"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60">
        <v>1</v>
      </c>
      <c r="V31" s="60">
        <v>60</v>
      </c>
      <c r="W31" s="60" t="s">
        <v>68</v>
      </c>
      <c r="X31" s="60" t="str">
        <f t="shared" ref="X31:X42" si="10">CONCATENATE(U31," - ",W31)</f>
        <v>1 - baixo</v>
      </c>
      <c r="Y31" s="60">
        <v>120</v>
      </c>
      <c r="Z31" s="60">
        <v>80</v>
      </c>
      <c r="AB31" s="63" t="s">
        <v>66</v>
      </c>
      <c r="AC31" s="63" t="e">
        <f>VLOOKUP(AB36,X28:Z42,2,0)</f>
        <v>#N/A</v>
      </c>
      <c r="AE31" s="3">
        <v>0</v>
      </c>
      <c r="AG31" s="31" t="e">
        <f>10000/((($O$32/2)+($P$32/2))*$Q$32)</f>
        <v>#DIV/0!</v>
      </c>
      <c r="AI31" s="30">
        <v>0.1</v>
      </c>
      <c r="AK31" s="52"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60">
        <v>1</v>
      </c>
      <c r="V32" s="60">
        <v>60</v>
      </c>
      <c r="W32" s="60" t="s">
        <v>69</v>
      </c>
      <c r="X32" s="60" t="str">
        <f t="shared" si="10"/>
        <v>1 - medio</v>
      </c>
      <c r="Y32" s="60">
        <v>80</v>
      </c>
      <c r="Z32" s="60">
        <v>50</v>
      </c>
      <c r="AB32" s="63" t="s">
        <v>67</v>
      </c>
      <c r="AC32" s="63" t="e">
        <f>VLOOKUP($AB$39,X28:Z42,3,0)</f>
        <v>#N/A</v>
      </c>
      <c r="AE32" s="3">
        <v>1</v>
      </c>
      <c r="AI32" s="30">
        <v>0.2</v>
      </c>
      <c r="AK32" s="52"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60">
        <v>1</v>
      </c>
      <c r="V33" s="60">
        <v>60</v>
      </c>
      <c r="W33" s="60" t="s">
        <v>70</v>
      </c>
      <c r="X33" s="60" t="str">
        <f t="shared" si="10"/>
        <v>1 - adequado</v>
      </c>
      <c r="Y33" s="60">
        <v>40</v>
      </c>
      <c r="Z33" s="60">
        <v>30</v>
      </c>
      <c r="AE33" s="3">
        <v>2</v>
      </c>
      <c r="AI33" s="30">
        <v>0.3</v>
      </c>
      <c r="AK33" s="52"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60">
        <v>2</v>
      </c>
      <c r="V34" s="60">
        <v>120</v>
      </c>
      <c r="W34" s="60" t="s">
        <v>68</v>
      </c>
      <c r="X34" s="60" t="str">
        <f t="shared" si="10"/>
        <v>2 - baixo</v>
      </c>
      <c r="Y34" s="60">
        <v>180</v>
      </c>
      <c r="Z34" s="60">
        <v>120</v>
      </c>
      <c r="AE34" s="3">
        <v>3</v>
      </c>
      <c r="AI34" s="30">
        <v>0.4</v>
      </c>
      <c r="AK34" s="52"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Gesso Agronelli</v>
      </c>
      <c r="C35" s="350"/>
      <c r="D35" s="98" t="str">
        <f>IF(J34&gt;0,J34,"-")</f>
        <v>-</v>
      </c>
      <c r="E35" s="310" t="str">
        <f>IF(J34&gt;0,"quilos por hectare ou,","-")</f>
        <v>-</v>
      </c>
      <c r="F35" s="310"/>
      <c r="G35" s="310"/>
      <c r="H35" s="310"/>
      <c r="I35" s="310"/>
      <c r="J35" s="66">
        <f>J34/10</f>
        <v>0</v>
      </c>
      <c r="M35" s="29"/>
      <c r="N35" s="14"/>
      <c r="O35" s="14"/>
      <c r="P35" s="32" t="e">
        <f>10000/($O$30*$Q$30)</f>
        <v>#DIV/0!</v>
      </c>
      <c r="Q35" s="32" t="e">
        <f>10000/((($O$32/2)+($P$32/2))*$Q$32)</f>
        <v>#DIV/0!</v>
      </c>
      <c r="R35" s="15"/>
      <c r="U35" s="60">
        <v>2</v>
      </c>
      <c r="V35" s="60">
        <v>120</v>
      </c>
      <c r="W35" s="60" t="s">
        <v>69</v>
      </c>
      <c r="X35" s="60" t="str">
        <f t="shared" si="10"/>
        <v>2 - medio</v>
      </c>
      <c r="Y35" s="60">
        <v>120</v>
      </c>
      <c r="Z35" s="60">
        <v>80</v>
      </c>
      <c r="AB35" s="340" t="s">
        <v>72</v>
      </c>
      <c r="AC35" s="340"/>
      <c r="AE35" s="3">
        <v>4</v>
      </c>
      <c r="AI35" s="30">
        <v>0.5</v>
      </c>
      <c r="AK35" s="52"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60">
        <v>2</v>
      </c>
      <c r="V36" s="60">
        <v>120</v>
      </c>
      <c r="W36" s="60" t="s">
        <v>70</v>
      </c>
      <c r="X36" s="60" t="str">
        <f t="shared" si="10"/>
        <v>2 - adequado</v>
      </c>
      <c r="Y36" s="60">
        <v>60</v>
      </c>
      <c r="Z36" s="60">
        <v>40</v>
      </c>
      <c r="AB36" s="340" t="str">
        <f>CONCATENATE($P$39," - ",$AD$8)</f>
        <v xml:space="preserve"> - baixo</v>
      </c>
      <c r="AC36" s="340"/>
      <c r="AI36" s="30">
        <v>0.6</v>
      </c>
      <c r="AK36" s="52"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55"/>
      <c r="N37" s="54"/>
      <c r="O37" s="54"/>
      <c r="P37" s="54"/>
      <c r="Q37" s="54"/>
      <c r="R37" s="56"/>
      <c r="U37" s="60">
        <v>3</v>
      </c>
      <c r="V37" s="60">
        <v>200</v>
      </c>
      <c r="W37" s="60" t="s">
        <v>68</v>
      </c>
      <c r="X37" s="60" t="str">
        <f t="shared" si="10"/>
        <v>3 - baixo</v>
      </c>
      <c r="Y37" s="60">
        <v>240</v>
      </c>
      <c r="Z37" s="60">
        <v>160</v>
      </c>
      <c r="AI37" s="30">
        <v>0.7</v>
      </c>
      <c r="AK37" s="52"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60">
        <v>3</v>
      </c>
      <c r="V38" s="60">
        <v>200</v>
      </c>
      <c r="W38" s="60" t="s">
        <v>69</v>
      </c>
      <c r="X38" s="60" t="str">
        <f t="shared" si="10"/>
        <v>3 - medio</v>
      </c>
      <c r="Y38" s="60">
        <v>160</v>
      </c>
      <c r="Z38" s="60">
        <v>110</v>
      </c>
      <c r="AB38" s="340" t="s">
        <v>73</v>
      </c>
      <c r="AC38" s="340"/>
      <c r="AI38" s="30">
        <v>0.8</v>
      </c>
      <c r="AK38" s="52"/>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52" t="s">
        <v>167</v>
      </c>
      <c r="P39" s="341"/>
      <c r="Q39" s="341"/>
      <c r="R39" s="26"/>
      <c r="U39" s="60">
        <v>3</v>
      </c>
      <c r="V39" s="60">
        <v>200</v>
      </c>
      <c r="W39" s="60" t="s">
        <v>70</v>
      </c>
      <c r="X39" s="60" t="str">
        <f t="shared" si="10"/>
        <v>3 - adequado</v>
      </c>
      <c r="Y39" s="60">
        <v>80</v>
      </c>
      <c r="Z39" s="60">
        <v>50</v>
      </c>
      <c r="AB39" s="340" t="str">
        <f>CONCATENATE($P$39," - ",$AD$22)</f>
        <v xml:space="preserve"> - baixo</v>
      </c>
      <c r="AC39" s="340"/>
      <c r="AI39" s="30">
        <v>0.9</v>
      </c>
      <c r="AO39" s="10"/>
      <c r="AP39" s="334" t="s">
        <v>242</v>
      </c>
      <c r="AQ39" s="334"/>
      <c r="AR39" s="17" t="s">
        <v>84</v>
      </c>
      <c r="AS39" s="17" t="s">
        <v>87</v>
      </c>
      <c r="AT39" s="17" t="s">
        <v>85</v>
      </c>
      <c r="AU39" s="17" t="s">
        <v>86</v>
      </c>
      <c r="AV39" s="17" t="s">
        <v>207</v>
      </c>
      <c r="AW39" s="17" t="s">
        <v>84</v>
      </c>
      <c r="AX39" s="17" t="s">
        <v>87</v>
      </c>
      <c r="AY39" s="17" t="s">
        <v>85</v>
      </c>
      <c r="AZ39" s="17"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51"/>
      <c r="P40" s="51"/>
      <c r="Q40" s="51"/>
      <c r="R40" s="26"/>
      <c r="U40" s="60">
        <v>4</v>
      </c>
      <c r="V40" s="60">
        <v>300</v>
      </c>
      <c r="W40" s="60" t="s">
        <v>68</v>
      </c>
      <c r="X40" s="60" t="str">
        <f t="shared" si="10"/>
        <v>4 - baixo</v>
      </c>
      <c r="Y40" s="60">
        <v>300</v>
      </c>
      <c r="Z40" s="60">
        <v>200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1">IF(J39&gt;0,J39,"-")</f>
        <v>-</v>
      </c>
      <c r="E41" s="310" t="str">
        <f t="shared" ref="E41:E49" si="12">IF(J39&gt;0,"gramas por planta","-")</f>
        <v>-</v>
      </c>
      <c r="F41" s="310"/>
      <c r="G41" s="310"/>
      <c r="H41" s="310"/>
      <c r="I41" s="310"/>
      <c r="J41" s="66">
        <f>AV8</f>
        <v>0</v>
      </c>
      <c r="M41" s="351"/>
      <c r="N41" s="352"/>
      <c r="O41" s="342" t="s">
        <v>289</v>
      </c>
      <c r="P41" s="342"/>
      <c r="Q41" s="342"/>
      <c r="R41" s="26"/>
      <c r="U41" s="60">
        <v>4</v>
      </c>
      <c r="V41" s="60">
        <v>300</v>
      </c>
      <c r="W41" s="60" t="s">
        <v>69</v>
      </c>
      <c r="X41" s="60" t="str">
        <f t="shared" si="10"/>
        <v>4 - medio</v>
      </c>
      <c r="Y41" s="60">
        <v>200</v>
      </c>
      <c r="Z41" s="60">
        <v>130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3">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21"/>
      <c r="BD41" s="21"/>
      <c r="BE41" s="21"/>
    </row>
    <row r="42" spans="2:57" ht="20.25" customHeight="1" x14ac:dyDescent="0.25">
      <c r="B42" s="372" t="str">
        <f>IF(AQ7&gt;0,AQ7,"-")</f>
        <v>-</v>
      </c>
      <c r="C42" s="372"/>
      <c r="D42" s="100" t="str">
        <f t="shared" si="11"/>
        <v>-</v>
      </c>
      <c r="E42" s="310" t="str">
        <f t="shared" si="12"/>
        <v>-</v>
      </c>
      <c r="F42" s="310"/>
      <c r="G42" s="310"/>
      <c r="H42" s="310"/>
      <c r="I42" s="310"/>
      <c r="J42" s="66">
        <f>AV12</f>
        <v>0</v>
      </c>
      <c r="M42" s="351"/>
      <c r="N42" s="352"/>
      <c r="O42" s="353"/>
      <c r="P42" s="354"/>
      <c r="Q42" s="355"/>
      <c r="R42" s="26"/>
      <c r="U42" s="60">
        <v>4</v>
      </c>
      <c r="V42" s="60">
        <v>300</v>
      </c>
      <c r="W42" s="60" t="s">
        <v>70</v>
      </c>
      <c r="X42" s="60" t="str">
        <f t="shared" si="10"/>
        <v>4 - adequado</v>
      </c>
      <c r="Y42" s="60">
        <v>100</v>
      </c>
      <c r="Z42" s="60">
        <v>70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3"/>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1"/>
        <v>-</v>
      </c>
      <c r="E43" s="310" t="str">
        <f t="shared" si="12"/>
        <v>-</v>
      </c>
      <c r="F43" s="310"/>
      <c r="G43" s="310"/>
      <c r="H43" s="310"/>
      <c r="I43" s="310"/>
      <c r="J43" s="66">
        <f>AV13</f>
        <v>0</v>
      </c>
      <c r="M43" s="57"/>
      <c r="N43" s="53"/>
      <c r="O43" s="53"/>
      <c r="P43" s="53"/>
      <c r="Q43" s="53"/>
      <c r="R43" s="58"/>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3"/>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1"/>
        <v>-</v>
      </c>
      <c r="E45" s="310" t="str">
        <f t="shared" si="12"/>
        <v>-</v>
      </c>
      <c r="F45" s="310"/>
      <c r="G45" s="310"/>
      <c r="H45" s="310"/>
      <c r="I45" s="310"/>
      <c r="J45" s="66">
        <f>AV18</f>
        <v>0</v>
      </c>
      <c r="M45" s="23"/>
      <c r="N45" s="12"/>
      <c r="O45" s="382" t="s">
        <v>286</v>
      </c>
      <c r="P45" s="383"/>
      <c r="Q45" s="384"/>
      <c r="R45" s="13"/>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1"/>
        <v>-</v>
      </c>
      <c r="E46" s="310" t="str">
        <f t="shared" si="12"/>
        <v>-</v>
      </c>
      <c r="F46" s="310"/>
      <c r="G46" s="310"/>
      <c r="H46" s="310"/>
      <c r="I46" s="310"/>
      <c r="J46" s="66">
        <f>AV19</f>
        <v>0</v>
      </c>
      <c r="M46" s="351" t="s">
        <v>196</v>
      </c>
      <c r="N46" s="352"/>
      <c r="O46" s="385"/>
      <c r="P46" s="386"/>
      <c r="Q46" s="387"/>
      <c r="R46" s="26"/>
      <c r="U46" s="60"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1"/>
        <v>-</v>
      </c>
      <c r="E47" s="310" t="str">
        <f t="shared" si="12"/>
        <v>-</v>
      </c>
      <c r="F47" s="310"/>
      <c r="G47" s="310"/>
      <c r="H47" s="310"/>
      <c r="I47" s="310"/>
      <c r="J47" s="66">
        <f>AV20</f>
        <v>0</v>
      </c>
      <c r="M47" s="351"/>
      <c r="N47" s="352"/>
      <c r="O47" s="398"/>
      <c r="P47" s="399"/>
      <c r="Q47" s="101"/>
      <c r="R47" s="26"/>
      <c r="U47" s="3"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1"/>
        <v>-</v>
      </c>
      <c r="E48" s="310" t="str">
        <f t="shared" si="12"/>
        <v>-</v>
      </c>
      <c r="F48" s="310"/>
      <c r="G48" s="310"/>
      <c r="H48" s="310"/>
      <c r="I48" s="310"/>
      <c r="J48" s="67"/>
      <c r="M48" s="351"/>
      <c r="N48" s="352"/>
      <c r="O48" s="388" t="s">
        <v>287</v>
      </c>
      <c r="P48" s="389"/>
      <c r="Q48" s="390"/>
      <c r="R48" s="26"/>
      <c r="U48" s="3" t="s">
        <v>187</v>
      </c>
      <c r="V48" s="2">
        <f>IF(V47&lt;0,(0),IF(V47&gt;=0,(V47)))</f>
        <v>0</v>
      </c>
      <c r="X48" s="412" t="s">
        <v>187</v>
      </c>
      <c r="Y48" s="412"/>
      <c r="Z48" s="2">
        <f>IFERROR(IF(Z47&lt;0,(0),IF(Z47&gt;=0,(Z47))),0)</f>
        <v>0</v>
      </c>
    </row>
    <row r="49" spans="2:50" ht="20.25" customHeight="1" x14ac:dyDescent="0.25">
      <c r="B49" s="372" t="str">
        <f>IF(AQ20&gt;0,AQ20,"-")</f>
        <v>-</v>
      </c>
      <c r="C49" s="372"/>
      <c r="D49" s="100" t="str">
        <f t="shared" si="11"/>
        <v>-</v>
      </c>
      <c r="E49" s="310" t="str">
        <f t="shared" si="12"/>
        <v>-</v>
      </c>
      <c r="F49" s="310"/>
      <c r="G49" s="310"/>
      <c r="H49" s="310"/>
      <c r="I49" s="310"/>
      <c r="M49" s="351"/>
      <c r="N49" s="352"/>
      <c r="O49" s="385"/>
      <c r="P49" s="386"/>
      <c r="Q49" s="387"/>
      <c r="R49" s="26"/>
      <c r="U49" s="3"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3"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29"/>
      <c r="N51" s="14"/>
      <c r="O51" s="14"/>
      <c r="P51" s="14"/>
      <c r="Q51" s="14"/>
      <c r="R51" s="15"/>
      <c r="U51" s="3" t="s">
        <v>254</v>
      </c>
      <c r="V51" s="2">
        <f>V48*$Q$47</f>
        <v>0</v>
      </c>
      <c r="AT51" s="60">
        <v>0</v>
      </c>
      <c r="AU51" s="64" t="s">
        <v>267</v>
      </c>
      <c r="AV51" s="64" t="str">
        <f>CONCATENATE(AT51," - ",AU51)</f>
        <v>0 - Composto de lixo (COL)</v>
      </c>
      <c r="AW51" s="60">
        <v>15</v>
      </c>
    </row>
    <row r="52" spans="2:50" ht="20.25" customHeight="1" thickBot="1" x14ac:dyDescent="0.3">
      <c r="B52" s="391"/>
      <c r="C52" s="391"/>
      <c r="D52" s="391"/>
      <c r="E52" s="391"/>
      <c r="F52" s="391"/>
      <c r="G52" s="391"/>
      <c r="H52" s="391"/>
      <c r="I52" s="391"/>
      <c r="AT52" s="60">
        <v>1</v>
      </c>
      <c r="AU52" s="64" t="s">
        <v>267</v>
      </c>
      <c r="AV52" s="64" t="str">
        <f t="shared" ref="AV52:AV55" si="14">CONCATENATE(AT52," - ",AU52)</f>
        <v>1 - Composto de lixo (COL)</v>
      </c>
      <c r="AW52" s="60">
        <v>5</v>
      </c>
    </row>
    <row r="53" spans="2:50" ht="20.25" customHeight="1" thickBot="1" x14ac:dyDescent="0.3">
      <c r="B53" s="392"/>
      <c r="C53" s="392"/>
      <c r="D53" s="392"/>
      <c r="E53" s="392"/>
      <c r="F53" s="392"/>
      <c r="G53" s="392"/>
      <c r="H53" s="392"/>
      <c r="I53" s="392"/>
      <c r="M53" s="23"/>
      <c r="N53" s="12"/>
      <c r="O53" s="12"/>
      <c r="P53" s="12"/>
      <c r="Q53" s="12"/>
      <c r="R53" s="13"/>
      <c r="AP53" s="38"/>
      <c r="AQ53" s="38"/>
      <c r="AS53" s="38"/>
      <c r="AT53" s="60">
        <v>2</v>
      </c>
      <c r="AU53" s="64" t="s">
        <v>267</v>
      </c>
      <c r="AV53" s="64" t="str">
        <f t="shared" si="14"/>
        <v>2 - Composto de lixo (COL)</v>
      </c>
      <c r="AW53" s="60">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60">
        <v>3</v>
      </c>
      <c r="AU54" s="64" t="s">
        <v>267</v>
      </c>
      <c r="AV54" s="64" t="str">
        <f t="shared" si="14"/>
        <v>3 - Composto de lixo (COL)</v>
      </c>
      <c r="AW54" s="60">
        <v>15</v>
      </c>
    </row>
    <row r="55" spans="2:50" ht="20.25" customHeight="1" x14ac:dyDescent="0.25">
      <c r="B55" s="372" t="str">
        <f>IF(AP40&gt;0,AP40,"-")</f>
        <v>-</v>
      </c>
      <c r="C55" s="372"/>
      <c r="D55" s="100" t="str">
        <f>IF(AV40&gt;0,AV40,"-")</f>
        <v>-</v>
      </c>
      <c r="E55" s="310" t="str">
        <f>IF(AV40&gt;0,"gramas por planta","-")</f>
        <v>-</v>
      </c>
      <c r="F55" s="310"/>
      <c r="G55" s="310"/>
      <c r="H55" s="310"/>
      <c r="I55" s="310"/>
      <c r="M55" s="351"/>
      <c r="N55" s="352"/>
      <c r="O55" s="341" t="s">
        <v>173</v>
      </c>
      <c r="P55" s="341"/>
      <c r="Q55" s="341"/>
      <c r="R55" s="26"/>
      <c r="U55" s="368"/>
      <c r="V55" s="368"/>
      <c r="W55" s="368"/>
      <c r="X55" s="34" t="s">
        <v>98</v>
      </c>
      <c r="Y55" s="34" t="s">
        <v>99</v>
      </c>
      <c r="Z55" s="34" t="s">
        <v>100</v>
      </c>
      <c r="AA55" s="34" t="s">
        <v>180</v>
      </c>
      <c r="AP55" s="365"/>
      <c r="AQ55" s="365"/>
      <c r="AS55" s="365"/>
      <c r="AT55" s="60">
        <v>4</v>
      </c>
      <c r="AU55" s="64" t="s">
        <v>267</v>
      </c>
      <c r="AV55" s="64" t="str">
        <f t="shared" si="14"/>
        <v>4 - Composto de lixo (COL)</v>
      </c>
      <c r="AW55" s="60">
        <v>20</v>
      </c>
    </row>
    <row r="56" spans="2:50" ht="20.2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51"/>
      <c r="AQ56" s="51"/>
      <c r="AS56" s="51"/>
      <c r="AT56" s="60">
        <v>0</v>
      </c>
      <c r="AU56" s="64" t="s">
        <v>274</v>
      </c>
      <c r="AV56" s="64" t="str">
        <f t="shared" ref="AV56:AV95" si="15">CONCATENATE(AT56," - ",AU56)</f>
        <v>0 - Cama de frango corte</v>
      </c>
      <c r="AW56" s="60">
        <v>3</v>
      </c>
      <c r="AX56" s="51"/>
    </row>
    <row r="57" spans="2:50" ht="20.25" customHeight="1" x14ac:dyDescent="0.25">
      <c r="B57" s="372" t="str">
        <f>IF(AP42&gt;0,AP42,"-")</f>
        <v>-</v>
      </c>
      <c r="C57" s="372"/>
      <c r="D57" s="100" t="str">
        <f>IF(AV42&gt;0,AV42,"-")</f>
        <v>-</v>
      </c>
      <c r="E57" s="310" t="str">
        <f t="shared" ref="E57:E59" si="16">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51"/>
      <c r="AQ57" s="341" t="s">
        <v>275</v>
      </c>
      <c r="AR57" s="341"/>
      <c r="AS57" s="51"/>
      <c r="AT57" s="60">
        <v>1</v>
      </c>
      <c r="AU57" s="64" t="s">
        <v>274</v>
      </c>
      <c r="AV57" s="64" t="str">
        <f t="shared" si="15"/>
        <v>1 - Cama de frango corte</v>
      </c>
      <c r="AW57" s="60">
        <v>1</v>
      </c>
    </row>
    <row r="58" spans="2:50" ht="20.25" customHeight="1" x14ac:dyDescent="0.25">
      <c r="B58" s="372" t="str">
        <f>IF(AP43&gt;0,AP43,"-")</f>
        <v>-</v>
      </c>
      <c r="C58" s="372"/>
      <c r="D58" s="100" t="str">
        <f>IF(AV43&gt;0,AV43,"-")</f>
        <v>-</v>
      </c>
      <c r="E58" s="310" t="str">
        <f t="shared" si="16"/>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51"/>
      <c r="AQ58" s="341" t="str">
        <f>CONCATENATE($P$39," - ",$O$42)</f>
        <v xml:space="preserve"> - </v>
      </c>
      <c r="AR58" s="341"/>
      <c r="AS58" s="51"/>
      <c r="AT58" s="60">
        <v>2</v>
      </c>
      <c r="AU58" s="64" t="s">
        <v>274</v>
      </c>
      <c r="AV58" s="64" t="str">
        <f t="shared" si="15"/>
        <v>2 - Cama de frango corte</v>
      </c>
      <c r="AW58" s="60">
        <v>2</v>
      </c>
    </row>
    <row r="59" spans="2:50" ht="20.25" customHeight="1" x14ac:dyDescent="0.25">
      <c r="B59" s="372" t="str">
        <f>IF(AP44&gt;0,AP44,"-")</f>
        <v>-</v>
      </c>
      <c r="C59" s="372"/>
      <c r="D59" s="100" t="str">
        <f>IF(AV44&gt;0,AV44,"-")</f>
        <v>-</v>
      </c>
      <c r="E59" s="310" t="str">
        <f t="shared" si="16"/>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51"/>
      <c r="AQ59" s="338">
        <f>IFERROR(VLOOKUP(AQ58,AV51:AW95,2,0),0)</f>
        <v>0</v>
      </c>
      <c r="AR59" s="338"/>
      <c r="AS59" s="51"/>
      <c r="AT59" s="60">
        <v>3</v>
      </c>
      <c r="AU59" s="64" t="s">
        <v>274</v>
      </c>
      <c r="AV59" s="64" t="str">
        <f t="shared" si="15"/>
        <v>3 - Cama de frango corte</v>
      </c>
      <c r="AW59" s="60">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51"/>
      <c r="AQ60" s="51"/>
      <c r="AS60" s="51"/>
      <c r="AT60" s="60">
        <v>4</v>
      </c>
      <c r="AU60" s="64" t="s">
        <v>274</v>
      </c>
      <c r="AV60" s="64" t="str">
        <f t="shared" si="15"/>
        <v>4 - Cama de frango corte</v>
      </c>
      <c r="AW60" s="60">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51"/>
      <c r="AQ61" s="51"/>
      <c r="AS61" s="51"/>
      <c r="AT61" s="60">
        <v>0</v>
      </c>
      <c r="AU61" s="64" t="s">
        <v>148</v>
      </c>
      <c r="AV61" s="64" t="str">
        <f t="shared" si="15"/>
        <v>0 - Esterco de galinha</v>
      </c>
      <c r="AW61" s="60">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60">
        <v>1</v>
      </c>
      <c r="AU62" s="64" t="s">
        <v>148</v>
      </c>
      <c r="AV62" s="64" t="str">
        <f t="shared" si="15"/>
        <v>1 - Esterco de galinha</v>
      </c>
      <c r="AW62" s="60">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60">
        <v>2</v>
      </c>
      <c r="AU63" s="64" t="s">
        <v>148</v>
      </c>
      <c r="AV63" s="64" t="str">
        <f t="shared" si="15"/>
        <v>2 - Esterco de galinha</v>
      </c>
      <c r="AW63" s="60">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60">
        <v>3</v>
      </c>
      <c r="AU64" s="64" t="s">
        <v>148</v>
      </c>
      <c r="AV64" s="64" t="str">
        <f t="shared" si="15"/>
        <v>3 - Esterco de galinha</v>
      </c>
      <c r="AW64" s="60">
        <v>3</v>
      </c>
    </row>
    <row r="65" spans="2:49" ht="20.25" customHeight="1" x14ac:dyDescent="0.25">
      <c r="B65" s="309"/>
      <c r="C65" s="310"/>
      <c r="D65" s="310"/>
      <c r="E65" s="311"/>
      <c r="F65" s="309"/>
      <c r="G65" s="310"/>
      <c r="H65" s="310"/>
      <c r="I65" s="311"/>
      <c r="M65" s="351"/>
      <c r="N65" s="352"/>
      <c r="O65" s="21"/>
      <c r="P65" s="21"/>
      <c r="Q65" s="21"/>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60">
        <v>4</v>
      </c>
      <c r="AU65" s="64" t="s">
        <v>148</v>
      </c>
      <c r="AV65" s="64" t="str">
        <f t="shared" si="15"/>
        <v>4 - Esterco de galinha</v>
      </c>
      <c r="AW65" s="60">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60">
        <v>0</v>
      </c>
      <c r="AU66" s="64" t="s">
        <v>273</v>
      </c>
      <c r="AV66" s="64" t="str">
        <f t="shared" si="15"/>
        <v>0 - Esterco Bovino curtido</v>
      </c>
      <c r="AW66" s="60">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60">
        <v>1</v>
      </c>
      <c r="AU67" s="64" t="s">
        <v>273</v>
      </c>
      <c r="AV67" s="64" t="str">
        <f t="shared" si="15"/>
        <v>1 - Esterco Bovino curtido</v>
      </c>
      <c r="AW67" s="60">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60">
        <v>2</v>
      </c>
      <c r="AU68" s="64" t="s">
        <v>273</v>
      </c>
      <c r="AV68" s="64" t="str">
        <f t="shared" si="15"/>
        <v>2 - Esterco Bovino curtido</v>
      </c>
      <c r="AW68" s="60">
        <v>10</v>
      </c>
    </row>
    <row r="69" spans="2:49" ht="20.25" customHeight="1" thickBot="1" x14ac:dyDescent="0.3">
      <c r="M69" s="29"/>
      <c r="N69" s="14"/>
      <c r="O69" s="14"/>
      <c r="P69" s="14"/>
      <c r="Q69" s="14"/>
      <c r="R69" s="15"/>
      <c r="AT69" s="60">
        <v>3</v>
      </c>
      <c r="AU69" s="64" t="s">
        <v>273</v>
      </c>
      <c r="AV69" s="64" t="str">
        <f t="shared" si="15"/>
        <v>3 - Esterco Bovino curtido</v>
      </c>
      <c r="AW69" s="60">
        <v>15</v>
      </c>
    </row>
    <row r="70" spans="2:49" ht="20.25" customHeight="1" thickBot="1" x14ac:dyDescent="0.3">
      <c r="AT70" s="60">
        <v>4</v>
      </c>
      <c r="AU70" s="64" t="s">
        <v>273</v>
      </c>
      <c r="AV70" s="64" t="str">
        <f t="shared" si="15"/>
        <v>4 - Esterco Bovino curtido</v>
      </c>
      <c r="AW70" s="60">
        <v>20</v>
      </c>
    </row>
    <row r="71" spans="2:49" ht="20.25" customHeight="1" x14ac:dyDescent="0.25">
      <c r="M71" s="23"/>
      <c r="N71" s="12"/>
      <c r="O71" s="12"/>
      <c r="P71" s="12"/>
      <c r="Q71" s="12"/>
      <c r="R71" s="13"/>
      <c r="U71" s="371" t="s">
        <v>125</v>
      </c>
      <c r="V71" s="371" t="s">
        <v>76</v>
      </c>
      <c r="W71" s="371" t="s">
        <v>77</v>
      </c>
      <c r="X71" s="371" t="s">
        <v>265</v>
      </c>
      <c r="Y71" s="371"/>
      <c r="Z71" s="371"/>
      <c r="AT71" s="60">
        <v>0</v>
      </c>
      <c r="AU71" s="64" t="s">
        <v>273</v>
      </c>
      <c r="AV71" s="64" t="str">
        <f t="shared" si="15"/>
        <v>0 - Esterco Bovino curtido</v>
      </c>
      <c r="AW71" s="60">
        <v>15</v>
      </c>
    </row>
    <row r="72" spans="2:49" ht="20.25" customHeight="1" x14ac:dyDescent="0.25">
      <c r="M72" s="351" t="s">
        <v>198</v>
      </c>
      <c r="N72" s="352"/>
      <c r="O72" s="400" t="s">
        <v>233</v>
      </c>
      <c r="P72" s="401"/>
      <c r="Q72" s="402"/>
      <c r="R72" s="26"/>
      <c r="U72" s="371"/>
      <c r="V72" s="371"/>
      <c r="W72" s="371"/>
      <c r="X72" s="36" t="s">
        <v>81</v>
      </c>
      <c r="Y72" s="36" t="s">
        <v>82</v>
      </c>
      <c r="Z72" s="36" t="s">
        <v>83</v>
      </c>
      <c r="AT72" s="60">
        <v>1</v>
      </c>
      <c r="AU72" s="64" t="s">
        <v>266</v>
      </c>
      <c r="AV72" s="64" t="str">
        <f t="shared" si="15"/>
        <v>1 - Esterco de equino</v>
      </c>
      <c r="AW72" s="60">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60">
        <v>2</v>
      </c>
      <c r="AU73" s="64" t="s">
        <v>266</v>
      </c>
      <c r="AV73" s="64" t="str">
        <f t="shared" si="15"/>
        <v>2 - Esterco de equino</v>
      </c>
      <c r="AW73" s="60">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60">
        <v>3</v>
      </c>
      <c r="AU74" s="64" t="s">
        <v>266</v>
      </c>
      <c r="AV74" s="64" t="str">
        <f t="shared" si="15"/>
        <v>3 - Esterco de equino</v>
      </c>
      <c r="AW74" s="60">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60">
        <v>4</v>
      </c>
      <c r="AU75" s="64" t="s">
        <v>266</v>
      </c>
      <c r="AV75" s="64" t="str">
        <f t="shared" si="15"/>
        <v>4 - Esterco de equino</v>
      </c>
      <c r="AW75" s="60">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60">
        <v>0</v>
      </c>
      <c r="AU76" s="64" t="s">
        <v>273</v>
      </c>
      <c r="AV76" s="64" t="str">
        <f t="shared" si="15"/>
        <v>0 - Esterco Bovino curtido</v>
      </c>
      <c r="AW76" s="60">
        <v>3</v>
      </c>
    </row>
    <row r="77" spans="2:49" ht="20.25" customHeight="1" x14ac:dyDescent="0.25">
      <c r="M77" s="351"/>
      <c r="N77" s="352"/>
      <c r="O77" s="21"/>
      <c r="P77" s="21"/>
      <c r="Q77" s="21"/>
      <c r="R77" s="26"/>
      <c r="U77" s="411"/>
      <c r="V77" s="37" t="str">
        <f>'Adubos e corretivos'!C108</f>
        <v>Nutrigesso Nutrion</v>
      </c>
      <c r="W77" s="37">
        <f>'Adubos e corretivos'!D108</f>
        <v>0</v>
      </c>
      <c r="X77" s="37">
        <f>'Adubos e corretivos'!E108</f>
        <v>13</v>
      </c>
      <c r="Y77" s="37">
        <f>'Adubos e corretivos'!F108</f>
        <v>0</v>
      </c>
      <c r="Z77" s="37">
        <f>'Adubos e corretivos'!G108</f>
        <v>16</v>
      </c>
      <c r="AT77" s="60">
        <v>1</v>
      </c>
      <c r="AU77" s="64" t="s">
        <v>268</v>
      </c>
      <c r="AV77" s="64" t="str">
        <f t="shared" si="15"/>
        <v>1 - Esterco de suínos</v>
      </c>
      <c r="AW77" s="60">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60">
        <v>2</v>
      </c>
      <c r="AU78" s="64" t="s">
        <v>268</v>
      </c>
      <c r="AV78" s="64" t="str">
        <f t="shared" si="15"/>
        <v>2 - Esterco de suínos</v>
      </c>
      <c r="AW78" s="60">
        <v>2</v>
      </c>
    </row>
    <row r="79" spans="2:49" ht="20.25" customHeight="1" x14ac:dyDescent="0.25">
      <c r="M79" s="351"/>
      <c r="N79" s="352"/>
      <c r="O79" s="21"/>
      <c r="P79" s="21"/>
      <c r="Q79" s="21"/>
      <c r="R79" s="26"/>
      <c r="U79" s="411"/>
      <c r="V79" s="37">
        <f>'Adubos e corretivos'!C110</f>
        <v>0</v>
      </c>
      <c r="W79" s="37">
        <f>'Adubos e corretivos'!D110</f>
        <v>0</v>
      </c>
      <c r="X79" s="37">
        <f>'Adubos e corretivos'!E110</f>
        <v>0</v>
      </c>
      <c r="Y79" s="37">
        <f>'Adubos e corretivos'!F110</f>
        <v>0</v>
      </c>
      <c r="Z79" s="37">
        <f>'Adubos e corretivos'!G110</f>
        <v>0</v>
      </c>
      <c r="AT79" s="60">
        <v>3</v>
      </c>
      <c r="AU79" s="64" t="s">
        <v>268</v>
      </c>
      <c r="AV79" s="64" t="str">
        <f t="shared" si="15"/>
        <v>3 - Esterco de suínos</v>
      </c>
      <c r="AW79" s="60">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60">
        <v>4</v>
      </c>
      <c r="AU80" s="64" t="s">
        <v>268</v>
      </c>
      <c r="AV80" s="64" t="str">
        <f t="shared" si="15"/>
        <v>4 - Esterco de suínos</v>
      </c>
      <c r="AW80" s="60">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60">
        <v>0</v>
      </c>
      <c r="AU81" s="64" t="s">
        <v>269</v>
      </c>
      <c r="AV81" s="64" t="str">
        <f t="shared" si="15"/>
        <v>0 - Esterco de ovinos</v>
      </c>
      <c r="AW81" s="60">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60">
        <v>1</v>
      </c>
      <c r="AU82" s="64" t="s">
        <v>269</v>
      </c>
      <c r="AV82" s="64" t="str">
        <f t="shared" si="15"/>
        <v>1 - Esterco de ovinos</v>
      </c>
      <c r="AW82" s="60">
        <v>1</v>
      </c>
    </row>
    <row r="83" spans="13:49" ht="20.25" customHeight="1" x14ac:dyDescent="0.25">
      <c r="M83" s="351"/>
      <c r="N83" s="352"/>
      <c r="O83" s="341"/>
      <c r="P83" s="341"/>
      <c r="Q83" s="33"/>
      <c r="R83" s="26"/>
      <c r="AT83" s="60">
        <v>2</v>
      </c>
      <c r="AU83" s="64" t="s">
        <v>269</v>
      </c>
      <c r="AV83" s="64" t="str">
        <f t="shared" si="15"/>
        <v>2 - Esterco de ovinos</v>
      </c>
      <c r="AW83" s="60">
        <v>2</v>
      </c>
    </row>
    <row r="84" spans="13:49" ht="20.25" customHeight="1" x14ac:dyDescent="0.25">
      <c r="M84" s="351"/>
      <c r="N84" s="352"/>
      <c r="O84" s="341"/>
      <c r="P84" s="341"/>
      <c r="Q84" s="33"/>
      <c r="R84" s="26"/>
      <c r="AT84" s="60">
        <v>3</v>
      </c>
      <c r="AU84" s="64" t="s">
        <v>269</v>
      </c>
      <c r="AV84" s="64" t="str">
        <f t="shared" si="15"/>
        <v>3 - Esterco de ovinos</v>
      </c>
      <c r="AW84" s="60">
        <v>3</v>
      </c>
    </row>
    <row r="85" spans="13:49" ht="20.25" customHeight="1" x14ac:dyDescent="0.25">
      <c r="M85" s="351"/>
      <c r="N85" s="352"/>
      <c r="O85" s="21"/>
      <c r="P85" s="21"/>
      <c r="Q85" s="21"/>
      <c r="R85" s="26"/>
      <c r="U85" s="370" t="s">
        <v>125</v>
      </c>
      <c r="V85" s="370" t="s">
        <v>76</v>
      </c>
      <c r="W85" s="370" t="s">
        <v>77</v>
      </c>
      <c r="X85" s="370" t="s">
        <v>78</v>
      </c>
      <c r="Y85" s="370"/>
      <c r="Z85" s="370"/>
      <c r="AA85" s="370"/>
      <c r="AB85" s="370"/>
      <c r="AC85" s="370"/>
      <c r="AD85" s="370"/>
      <c r="AE85" s="370"/>
      <c r="AT85" s="60">
        <v>4</v>
      </c>
      <c r="AU85" s="64" t="s">
        <v>269</v>
      </c>
      <c r="AV85" s="64" t="str">
        <f t="shared" si="15"/>
        <v>4 - Esterco de ovinos</v>
      </c>
      <c r="AW85" s="60">
        <v>4</v>
      </c>
    </row>
    <row r="86" spans="13:49" ht="20.25" customHeight="1" x14ac:dyDescent="0.25">
      <c r="M86" s="351"/>
      <c r="N86" s="352"/>
      <c r="O86" s="352" t="s">
        <v>245</v>
      </c>
      <c r="P86" s="352"/>
      <c r="Q86" s="352"/>
      <c r="R86" s="26"/>
      <c r="U86" s="370"/>
      <c r="V86" s="370"/>
      <c r="W86" s="370"/>
      <c r="X86" s="39" t="s">
        <v>106</v>
      </c>
      <c r="Y86" s="39" t="s">
        <v>79</v>
      </c>
      <c r="Z86" s="39" t="s">
        <v>66</v>
      </c>
      <c r="AA86" s="39" t="s">
        <v>80</v>
      </c>
      <c r="AB86" s="39" t="s">
        <v>67</v>
      </c>
      <c r="AC86" s="39" t="s">
        <v>176</v>
      </c>
      <c r="AD86" s="39" t="s">
        <v>177</v>
      </c>
      <c r="AE86" s="39" t="s">
        <v>190</v>
      </c>
      <c r="AT86" s="60">
        <v>0</v>
      </c>
      <c r="AU86" s="64" t="s">
        <v>270</v>
      </c>
      <c r="AV86" s="64" t="str">
        <f t="shared" si="15"/>
        <v>0 - Lodo de esgosto</v>
      </c>
      <c r="AW86" s="60">
        <v>3</v>
      </c>
    </row>
    <row r="87" spans="13:49" ht="20.25" customHeight="1" x14ac:dyDescent="0.25">
      <c r="M87" s="351"/>
      <c r="N87" s="352"/>
      <c r="O87" s="21"/>
      <c r="P87" s="21"/>
      <c r="Q87" s="21"/>
      <c r="R87" s="26"/>
      <c r="U87" s="410" t="s">
        <v>179</v>
      </c>
      <c r="V87" s="40" t="str">
        <f>V160</f>
        <v>Micaxisto (61) 3233-9368</v>
      </c>
      <c r="W87" s="40">
        <f>W160</f>
        <v>0.12</v>
      </c>
      <c r="X87" s="40">
        <f>AL160</f>
        <v>0</v>
      </c>
      <c r="Y87" s="40">
        <f t="shared" ref="Y87:AB87" si="17">Y160</f>
        <v>4.4999999999999998E-2</v>
      </c>
      <c r="Z87" s="40">
        <f t="shared" si="17"/>
        <v>0.1</v>
      </c>
      <c r="AA87" s="40">
        <f t="shared" si="17"/>
        <v>4.32</v>
      </c>
      <c r="AB87" s="40">
        <f t="shared" si="17"/>
        <v>5.2</v>
      </c>
      <c r="AC87" s="41">
        <f>AC160*0.602</f>
        <v>0.75776223776223772</v>
      </c>
      <c r="AD87" s="41">
        <f>AD160*0.715</f>
        <v>0.83139534883720934</v>
      </c>
      <c r="AE87" s="41">
        <f t="shared" ref="AE87:AE95" si="18">AB87+AC87+AD87</f>
        <v>6.7891575865994476</v>
      </c>
      <c r="AT87" s="60">
        <v>1</v>
      </c>
      <c r="AU87" s="64" t="s">
        <v>270</v>
      </c>
      <c r="AV87" s="64" t="str">
        <f t="shared" si="15"/>
        <v>1 - Lodo de esgosto</v>
      </c>
      <c r="AW87" s="60">
        <v>1</v>
      </c>
    </row>
    <row r="88" spans="13:49" ht="20.25" customHeight="1" x14ac:dyDescent="0.25">
      <c r="M88" s="351"/>
      <c r="N88" s="352"/>
      <c r="O88" s="400" t="s">
        <v>235</v>
      </c>
      <c r="P88" s="401"/>
      <c r="Q88" s="402"/>
      <c r="R88" s="26"/>
      <c r="U88" s="410"/>
      <c r="V88" s="40" t="str">
        <f t="shared" ref="V88:W95" si="19">V161</f>
        <v xml:space="preserve"> Remax Mistel (61) 99414-1975</v>
      </c>
      <c r="W88" s="40">
        <f t="shared" si="19"/>
        <v>0</v>
      </c>
      <c r="X88" s="40">
        <f t="shared" ref="X88:X95" si="20">AL161</f>
        <v>43.8</v>
      </c>
      <c r="Y88" s="40">
        <f t="shared" ref="Y88:AB88" si="21">Y161</f>
        <v>4.4999999999999998E-2</v>
      </c>
      <c r="Z88" s="40">
        <f t="shared" si="21"/>
        <v>0.1</v>
      </c>
      <c r="AA88" s="40">
        <f t="shared" si="21"/>
        <v>2.1949999999999998</v>
      </c>
      <c r="AB88" s="40">
        <f t="shared" si="21"/>
        <v>2.6</v>
      </c>
      <c r="AC88" s="41">
        <f t="shared" ref="AC88:AC95" si="22">AC161*0.602</f>
        <v>11.282237762237763</v>
      </c>
      <c r="AD88" s="41">
        <f t="shared" ref="AD88:AD95" si="23">AD161*0.715</f>
        <v>8.8959302325581397</v>
      </c>
      <c r="AE88" s="41">
        <f t="shared" si="18"/>
        <v>22.778167994795901</v>
      </c>
      <c r="AT88" s="60">
        <v>2</v>
      </c>
      <c r="AU88" s="64" t="s">
        <v>270</v>
      </c>
      <c r="AV88" s="64" t="str">
        <f t="shared" si="15"/>
        <v>2 - Lodo de esgosto</v>
      </c>
      <c r="AW88" s="60">
        <v>2</v>
      </c>
    </row>
    <row r="89" spans="13:49" ht="20.25" customHeight="1" x14ac:dyDescent="0.25">
      <c r="M89" s="351"/>
      <c r="N89" s="352"/>
      <c r="O89" s="400" t="s">
        <v>232</v>
      </c>
      <c r="P89" s="401"/>
      <c r="Q89" s="402"/>
      <c r="R89" s="26"/>
      <c r="U89" s="410"/>
      <c r="V89" s="40" t="str">
        <f t="shared" si="19"/>
        <v xml:space="preserve">Pó de brita Fmx (62) 3924 8565 </v>
      </c>
      <c r="W89" s="40">
        <f t="shared" si="19"/>
        <v>0</v>
      </c>
      <c r="X89" s="40">
        <f t="shared" si="20"/>
        <v>0</v>
      </c>
      <c r="Y89" s="40">
        <f t="shared" ref="Y89:AB89" si="24">Y162</f>
        <v>0</v>
      </c>
      <c r="Z89" s="40">
        <f t="shared" si="24"/>
        <v>0</v>
      </c>
      <c r="AA89" s="40">
        <f t="shared" si="24"/>
        <v>4.99</v>
      </c>
      <c r="AB89" s="40">
        <f t="shared" si="24"/>
        <v>6</v>
      </c>
      <c r="AC89" s="41">
        <f t="shared" si="22"/>
        <v>2.5258741258741257</v>
      </c>
      <c r="AD89" s="41">
        <f t="shared" si="23"/>
        <v>0.59385382059800662</v>
      </c>
      <c r="AE89" s="41">
        <f t="shared" si="18"/>
        <v>9.1197279464721319</v>
      </c>
      <c r="AT89" s="60">
        <v>3</v>
      </c>
      <c r="AU89" s="64" t="s">
        <v>270</v>
      </c>
      <c r="AV89" s="64" t="str">
        <f t="shared" si="15"/>
        <v>3 - Lodo de esgosto</v>
      </c>
      <c r="AW89" s="60">
        <v>3</v>
      </c>
    </row>
    <row r="90" spans="13:49" ht="20.25" customHeight="1" x14ac:dyDescent="0.25">
      <c r="M90" s="351"/>
      <c r="N90" s="352"/>
      <c r="O90" s="341"/>
      <c r="P90" s="341"/>
      <c r="Q90" s="33"/>
      <c r="R90" s="26"/>
      <c r="U90" s="410"/>
      <c r="V90" s="40" t="str">
        <f t="shared" si="19"/>
        <v xml:space="preserve">Biotita Xisto (61) 3233-9368 </v>
      </c>
      <c r="W90" s="40">
        <f t="shared" si="19"/>
        <v>0</v>
      </c>
      <c r="X90" s="40">
        <f t="shared" si="20"/>
        <v>57.8</v>
      </c>
      <c r="Y90" s="40">
        <f t="shared" ref="Y90:AB90" si="25">Y163</f>
        <v>8.7999999999999995E-2</v>
      </c>
      <c r="Z90" s="40">
        <f t="shared" si="25"/>
        <v>0.2</v>
      </c>
      <c r="AA90" s="40">
        <f t="shared" si="25"/>
        <v>2.83</v>
      </c>
      <c r="AB90" s="40">
        <f t="shared" si="25"/>
        <v>3.4</v>
      </c>
      <c r="AC90" s="41">
        <f t="shared" si="22"/>
        <v>1.5155244755244754</v>
      </c>
      <c r="AD90" s="41">
        <f t="shared" si="23"/>
        <v>5.4634551495016606</v>
      </c>
      <c r="AE90" s="41">
        <f t="shared" si="18"/>
        <v>10.378979625026137</v>
      </c>
      <c r="AT90" s="60">
        <v>4</v>
      </c>
      <c r="AU90" s="64" t="s">
        <v>270</v>
      </c>
      <c r="AV90" s="64" t="str">
        <f t="shared" si="15"/>
        <v>4 - Lodo de esgosto</v>
      </c>
      <c r="AW90" s="60">
        <v>4</v>
      </c>
    </row>
    <row r="91" spans="13:49" ht="20.25" customHeight="1" x14ac:dyDescent="0.25">
      <c r="M91" s="351"/>
      <c r="N91" s="352"/>
      <c r="O91" s="341"/>
      <c r="P91" s="341"/>
      <c r="Q91" s="33"/>
      <c r="R91" s="26"/>
      <c r="U91" s="410"/>
      <c r="V91" s="40" t="str">
        <f t="shared" si="19"/>
        <v>Kamafugito</v>
      </c>
      <c r="W91" s="40">
        <f t="shared" si="19"/>
        <v>0</v>
      </c>
      <c r="X91" s="40">
        <f t="shared" si="20"/>
        <v>0</v>
      </c>
      <c r="Y91" s="40">
        <f t="shared" ref="Y91:AB91" si="26">Y164</f>
        <v>1.5069999999999999</v>
      </c>
      <c r="Z91" s="40">
        <f t="shared" si="26"/>
        <v>3.5</v>
      </c>
      <c r="AA91" s="40">
        <f t="shared" si="26"/>
        <v>3.3250000000000002</v>
      </c>
      <c r="AB91" s="40">
        <f t="shared" si="26"/>
        <v>4</v>
      </c>
      <c r="AC91" s="41">
        <f t="shared" si="22"/>
        <v>1.7217199999999999</v>
      </c>
      <c r="AD91" s="41">
        <f t="shared" si="23"/>
        <v>0</v>
      </c>
      <c r="AE91" s="41">
        <f t="shared" si="18"/>
        <v>5.7217199999999995</v>
      </c>
      <c r="AT91" s="60">
        <v>0</v>
      </c>
      <c r="AU91" s="64" t="s">
        <v>271</v>
      </c>
      <c r="AV91" s="64" t="str">
        <f t="shared" si="15"/>
        <v>0 - Compostos orgânicos</v>
      </c>
      <c r="AW91" s="60">
        <v>3</v>
      </c>
    </row>
    <row r="92" spans="13:49" ht="20.25" customHeight="1" x14ac:dyDescent="0.25">
      <c r="M92" s="351"/>
      <c r="N92" s="352"/>
      <c r="O92" s="341"/>
      <c r="P92" s="341"/>
      <c r="Q92" s="33"/>
      <c r="R92" s="26"/>
      <c r="U92" s="410"/>
      <c r="V92" s="40">
        <f t="shared" si="19"/>
        <v>0</v>
      </c>
      <c r="W92" s="40">
        <f t="shared" si="19"/>
        <v>0</v>
      </c>
      <c r="X92" s="40">
        <f t="shared" si="20"/>
        <v>0</v>
      </c>
      <c r="Y92" s="40">
        <f t="shared" ref="Y92:AB92" si="27">Y165</f>
        <v>0</v>
      </c>
      <c r="Z92" s="40">
        <f t="shared" si="27"/>
        <v>0</v>
      </c>
      <c r="AA92" s="40">
        <f t="shared" si="27"/>
        <v>0</v>
      </c>
      <c r="AB92" s="40">
        <f t="shared" si="27"/>
        <v>0</v>
      </c>
      <c r="AC92" s="41">
        <f t="shared" si="22"/>
        <v>0</v>
      </c>
      <c r="AD92" s="41">
        <f t="shared" si="23"/>
        <v>0</v>
      </c>
      <c r="AE92" s="41">
        <f t="shared" si="18"/>
        <v>0</v>
      </c>
      <c r="AT92" s="60">
        <v>1</v>
      </c>
      <c r="AU92" s="64" t="s">
        <v>271</v>
      </c>
      <c r="AV92" s="64" t="str">
        <f t="shared" si="15"/>
        <v>1 - Compostos orgânicos</v>
      </c>
      <c r="AW92" s="60">
        <v>1</v>
      </c>
    </row>
    <row r="93" spans="13:49" ht="20.25" customHeight="1" x14ac:dyDescent="0.25">
      <c r="M93" s="42"/>
      <c r="N93" s="21"/>
      <c r="O93" s="21"/>
      <c r="P93" s="21"/>
      <c r="Q93" s="21"/>
      <c r="R93" s="26"/>
      <c r="U93" s="410"/>
      <c r="V93" s="40">
        <f t="shared" si="19"/>
        <v>0</v>
      </c>
      <c r="W93" s="40">
        <f t="shared" si="19"/>
        <v>0</v>
      </c>
      <c r="X93" s="40">
        <f t="shared" si="20"/>
        <v>0</v>
      </c>
      <c r="Y93" s="40">
        <f t="shared" ref="Y93:AB93" si="28">Y166</f>
        <v>0</v>
      </c>
      <c r="Z93" s="40">
        <f t="shared" si="28"/>
        <v>0</v>
      </c>
      <c r="AA93" s="40">
        <f t="shared" si="28"/>
        <v>0</v>
      </c>
      <c r="AB93" s="40">
        <f t="shared" si="28"/>
        <v>0</v>
      </c>
      <c r="AC93" s="41">
        <f t="shared" si="22"/>
        <v>0</v>
      </c>
      <c r="AD93" s="41">
        <f t="shared" si="23"/>
        <v>0</v>
      </c>
      <c r="AE93" s="41">
        <f t="shared" si="18"/>
        <v>0</v>
      </c>
      <c r="AT93" s="60">
        <v>2</v>
      </c>
      <c r="AU93" s="64" t="s">
        <v>271</v>
      </c>
      <c r="AV93" s="64" t="str">
        <f t="shared" si="15"/>
        <v>2 - Compostos orgânicos</v>
      </c>
      <c r="AW93" s="60">
        <v>2</v>
      </c>
    </row>
    <row r="94" spans="13:49" ht="20.25" customHeight="1" x14ac:dyDescent="0.25">
      <c r="M94" s="42"/>
      <c r="N94" s="21"/>
      <c r="O94" s="352" t="s">
        <v>245</v>
      </c>
      <c r="P94" s="352"/>
      <c r="Q94" s="352"/>
      <c r="R94" s="26"/>
      <c r="U94" s="410"/>
      <c r="V94" s="40">
        <f t="shared" si="19"/>
        <v>0</v>
      </c>
      <c r="W94" s="40">
        <f t="shared" si="19"/>
        <v>0</v>
      </c>
      <c r="X94" s="40">
        <f t="shared" si="20"/>
        <v>0</v>
      </c>
      <c r="Y94" s="40">
        <f t="shared" ref="Y94:AB94" si="29">Y167</f>
        <v>0</v>
      </c>
      <c r="Z94" s="40">
        <f t="shared" si="29"/>
        <v>0</v>
      </c>
      <c r="AA94" s="40">
        <f t="shared" si="29"/>
        <v>0</v>
      </c>
      <c r="AB94" s="40">
        <f t="shared" si="29"/>
        <v>0</v>
      </c>
      <c r="AC94" s="41">
        <f t="shared" si="22"/>
        <v>0</v>
      </c>
      <c r="AD94" s="41">
        <f t="shared" si="23"/>
        <v>0</v>
      </c>
      <c r="AE94" s="41">
        <f t="shared" si="18"/>
        <v>0</v>
      </c>
      <c r="AT94" s="60">
        <v>3</v>
      </c>
      <c r="AU94" s="64" t="s">
        <v>271</v>
      </c>
      <c r="AV94" s="64" t="str">
        <f t="shared" si="15"/>
        <v>3 - Compostos orgânicos</v>
      </c>
      <c r="AW94" s="60">
        <v>3</v>
      </c>
    </row>
    <row r="95" spans="13:49" ht="20.25" customHeight="1" thickBot="1" x14ac:dyDescent="0.3">
      <c r="M95" s="29"/>
      <c r="N95" s="14"/>
      <c r="O95" s="14"/>
      <c r="P95" s="14"/>
      <c r="Q95" s="14"/>
      <c r="R95" s="15"/>
      <c r="U95" s="410"/>
      <c r="V95" s="40">
        <f t="shared" si="19"/>
        <v>0</v>
      </c>
      <c r="W95" s="40">
        <f t="shared" si="19"/>
        <v>0</v>
      </c>
      <c r="X95" s="40">
        <f t="shared" si="20"/>
        <v>0</v>
      </c>
      <c r="Y95" s="40">
        <f t="shared" ref="Y95:AB95" si="30">Y168</f>
        <v>0</v>
      </c>
      <c r="Z95" s="40">
        <f t="shared" si="30"/>
        <v>0</v>
      </c>
      <c r="AA95" s="40">
        <f t="shared" si="30"/>
        <v>0</v>
      </c>
      <c r="AB95" s="40">
        <f t="shared" si="30"/>
        <v>0</v>
      </c>
      <c r="AC95" s="41">
        <f t="shared" si="22"/>
        <v>0</v>
      </c>
      <c r="AD95" s="41">
        <f t="shared" si="23"/>
        <v>0</v>
      </c>
      <c r="AE95" s="41">
        <f t="shared" si="18"/>
        <v>0</v>
      </c>
      <c r="AT95" s="60">
        <v>4</v>
      </c>
      <c r="AU95" s="64" t="s">
        <v>271</v>
      </c>
      <c r="AV95" s="64" t="str">
        <f t="shared" si="15"/>
        <v>4 - Compostos orgânicos</v>
      </c>
      <c r="AW95" s="60">
        <v>4</v>
      </c>
    </row>
    <row r="96" spans="13:49" ht="20.25" customHeight="1" thickBot="1" x14ac:dyDescent="0.3"/>
    <row r="97" spans="1:41" ht="20.25" customHeight="1" x14ac:dyDescent="0.25">
      <c r="A97" s="5"/>
      <c r="M97" s="23"/>
      <c r="N97" s="12"/>
      <c r="O97" s="12"/>
      <c r="P97" s="12"/>
      <c r="Q97" s="12"/>
      <c r="R97" s="13"/>
    </row>
    <row r="98" spans="1:41" ht="20.25" customHeight="1" x14ac:dyDescent="0.25">
      <c r="A98" s="6"/>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row>
    <row r="99" spans="1:41" ht="20.25" customHeight="1" x14ac:dyDescent="0.25">
      <c r="A99" s="6"/>
      <c r="M99" s="351" t="s">
        <v>243</v>
      </c>
      <c r="N99" s="361"/>
      <c r="O99" s="45">
        <f>$AC$30</f>
        <v>50</v>
      </c>
      <c r="P99" s="45" t="e">
        <f>$AC$31</f>
        <v>#N/A</v>
      </c>
      <c r="Q99" s="45" t="e">
        <f>$AC$32</f>
        <v>#N/A</v>
      </c>
      <c r="R99" s="26"/>
      <c r="U99" s="409"/>
      <c r="V99" s="409"/>
      <c r="W99" s="409"/>
      <c r="X99" s="50" t="s">
        <v>33</v>
      </c>
      <c r="Y99" s="50" t="s">
        <v>79</v>
      </c>
      <c r="Z99" s="50" t="s">
        <v>66</v>
      </c>
      <c r="AA99" s="50" t="s">
        <v>80</v>
      </c>
      <c r="AB99" s="50" t="s">
        <v>67</v>
      </c>
      <c r="AC99" s="50" t="s">
        <v>81</v>
      </c>
      <c r="AD99" s="50" t="s">
        <v>82</v>
      </c>
      <c r="AE99" s="50" t="s">
        <v>83</v>
      </c>
      <c r="AF99" s="50" t="s">
        <v>84</v>
      </c>
      <c r="AG99" s="50" t="s">
        <v>85</v>
      </c>
      <c r="AH99" s="50" t="s">
        <v>86</v>
      </c>
      <c r="AI99" s="50" t="s">
        <v>87</v>
      </c>
      <c r="AJ99" s="50" t="s">
        <v>88</v>
      </c>
      <c r="AK99" s="50" t="s">
        <v>89</v>
      </c>
      <c r="AL99" s="50" t="s">
        <v>106</v>
      </c>
      <c r="AM99" s="50" t="s">
        <v>90</v>
      </c>
      <c r="AN99" s="50" t="s">
        <v>91</v>
      </c>
      <c r="AO99" s="50" t="s">
        <v>92</v>
      </c>
    </row>
    <row r="100" spans="1:41" ht="20.25" customHeight="1" x14ac:dyDescent="0.25">
      <c r="A100" s="21"/>
      <c r="M100" s="351" t="s">
        <v>251</v>
      </c>
      <c r="N100" s="361"/>
      <c r="O100" s="2">
        <f>AS21</f>
        <v>50</v>
      </c>
      <c r="P100" s="2" t="e">
        <f>AT21</f>
        <v>#N/A</v>
      </c>
      <c r="Q100" s="2" t="e">
        <f>AU21</f>
        <v>#N/A</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21"/>
      <c r="B101" s="43"/>
      <c r="C101" s="43"/>
      <c r="M101" s="29"/>
      <c r="N101" s="14"/>
      <c r="O101" s="14"/>
      <c r="P101" s="14"/>
      <c r="Q101" s="14"/>
      <c r="R101" s="15"/>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21"/>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23"/>
      <c r="N103" s="12"/>
      <c r="O103" s="12"/>
      <c r="P103" s="12"/>
      <c r="Q103" s="12"/>
      <c r="R103" s="13"/>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29"/>
      <c r="N110" s="14"/>
      <c r="O110" s="14"/>
      <c r="P110" s="14"/>
      <c r="Q110" s="14"/>
      <c r="R110" s="15"/>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23"/>
      <c r="N112" s="12"/>
      <c r="O112" s="12"/>
      <c r="P112" s="12"/>
      <c r="Q112" s="12"/>
      <c r="R112" s="13"/>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42"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42"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42"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21"/>
      <c r="D116" s="38"/>
      <c r="M116" s="29"/>
      <c r="N116" s="14"/>
      <c r="O116" s="14"/>
      <c r="P116" s="14"/>
      <c r="Q116" s="14"/>
      <c r="R116" s="15"/>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21"/>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21"/>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21"/>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21"/>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21"/>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21"/>
      <c r="D122" s="21"/>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21"/>
      <c r="D123" s="21"/>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21"/>
      <c r="D124" s="21"/>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21"/>
      <c r="L154" s="21"/>
      <c r="M154" s="21"/>
      <c r="N154" s="21"/>
      <c r="O154" s="21"/>
      <c r="P154" s="21"/>
      <c r="Q154" s="21"/>
      <c r="R154" s="21"/>
      <c r="S154" s="21"/>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21"/>
      <c r="L155" s="21"/>
      <c r="M155" s="21"/>
      <c r="N155" s="21"/>
      <c r="O155" s="21"/>
      <c r="P155" s="21"/>
      <c r="Q155" s="21"/>
      <c r="R155" s="21"/>
      <c r="S155" s="21"/>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21"/>
      <c r="L156" s="21"/>
      <c r="M156" s="21"/>
      <c r="N156" s="21"/>
      <c r="O156" s="21"/>
      <c r="P156" s="21"/>
      <c r="Q156" s="21"/>
      <c r="R156" s="21"/>
      <c r="S156" s="21"/>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21"/>
      <c r="L157" s="21"/>
      <c r="M157" s="21"/>
      <c r="N157" s="21"/>
      <c r="O157" s="21"/>
      <c r="P157" s="21"/>
      <c r="Q157" s="21"/>
      <c r="R157" s="21"/>
      <c r="S157" s="21"/>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21"/>
      <c r="L158" s="21"/>
      <c r="M158" s="21"/>
      <c r="N158" s="415"/>
      <c r="O158" s="415"/>
      <c r="P158" s="415"/>
      <c r="Q158" s="21"/>
      <c r="R158" s="21"/>
      <c r="S158" s="21"/>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21"/>
      <c r="L159" s="21"/>
      <c r="M159" s="21"/>
      <c r="N159" s="352"/>
      <c r="O159" s="352"/>
      <c r="P159" s="352"/>
      <c r="Q159" s="21"/>
      <c r="R159" s="21"/>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21"/>
      <c r="L160" s="21"/>
      <c r="M160" s="21"/>
      <c r="N160" s="21"/>
      <c r="O160" s="21"/>
      <c r="P160" s="21"/>
      <c r="Q160" s="21"/>
      <c r="R160" s="21"/>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21"/>
      <c r="L161" s="21"/>
      <c r="M161" s="21"/>
      <c r="N161" s="21"/>
      <c r="O161" s="21"/>
      <c r="P161" s="21"/>
      <c r="Q161" s="21"/>
      <c r="R161" s="21"/>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21"/>
      <c r="L162" s="21"/>
      <c r="M162" s="21"/>
      <c r="N162" s="21"/>
      <c r="O162" s="21"/>
      <c r="P162" s="21"/>
      <c r="Q162" s="21"/>
      <c r="R162" s="21"/>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21"/>
      <c r="L163" s="21"/>
      <c r="M163" s="21"/>
      <c r="N163" s="21"/>
      <c r="O163" s="21"/>
      <c r="P163" s="21"/>
      <c r="Q163" s="21"/>
      <c r="R163" s="21"/>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21"/>
      <c r="L164" s="21"/>
      <c r="M164" s="21"/>
      <c r="N164" s="21"/>
      <c r="O164" s="21"/>
      <c r="P164" s="21"/>
      <c r="Q164" s="21"/>
      <c r="R164" s="21"/>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21"/>
      <c r="L165" s="21"/>
      <c r="M165" s="21"/>
      <c r="N165" s="21"/>
      <c r="O165" s="21"/>
      <c r="P165" s="21"/>
      <c r="Q165" s="21"/>
      <c r="R165" s="21"/>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21"/>
      <c r="L166" s="21"/>
      <c r="M166" s="21"/>
      <c r="N166" s="21"/>
      <c r="O166" s="21"/>
      <c r="P166" s="21"/>
      <c r="Q166" s="21"/>
      <c r="R166" s="21"/>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21"/>
      <c r="L167" s="21"/>
      <c r="M167" s="21"/>
      <c r="N167" s="21"/>
      <c r="O167" s="21"/>
      <c r="P167" s="21"/>
      <c r="Q167" s="21"/>
      <c r="R167" s="21"/>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21"/>
      <c r="L168" s="21"/>
      <c r="M168" s="21"/>
      <c r="N168" s="21"/>
      <c r="O168" s="21"/>
      <c r="P168" s="21"/>
      <c r="Q168" s="21"/>
      <c r="R168" s="21"/>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21"/>
      <c r="L169" s="21"/>
      <c r="M169" s="21"/>
      <c r="N169" s="21"/>
      <c r="O169" s="21"/>
      <c r="P169" s="21"/>
      <c r="Q169" s="21"/>
      <c r="R169" s="21"/>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21"/>
    </row>
    <row r="170" spans="11:44" ht="20.25" customHeight="1" x14ac:dyDescent="0.25">
      <c r="K170" s="21"/>
      <c r="L170" s="21"/>
      <c r="M170" s="21"/>
      <c r="N170" s="21"/>
      <c r="O170" s="21"/>
      <c r="P170" s="21"/>
      <c r="Q170" s="21"/>
      <c r="R170" s="21"/>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21"/>
      <c r="L171" s="21"/>
      <c r="M171" s="21"/>
      <c r="N171" s="21"/>
      <c r="O171" s="21"/>
      <c r="P171" s="21"/>
      <c r="Q171" s="21"/>
      <c r="R171" s="21"/>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21"/>
      <c r="L172" s="21"/>
      <c r="M172" s="21"/>
      <c r="N172" s="21"/>
      <c r="O172" s="47"/>
      <c r="P172" s="47"/>
      <c r="Q172" s="47"/>
      <c r="R172" s="21"/>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21"/>
      <c r="L173" s="21"/>
      <c r="M173" s="21"/>
      <c r="N173" s="21"/>
      <c r="O173" s="47"/>
      <c r="P173" s="47"/>
      <c r="Q173" s="47"/>
      <c r="R173" s="21"/>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21"/>
      <c r="L174" s="21"/>
      <c r="M174" s="21"/>
      <c r="N174" s="21"/>
      <c r="O174" s="21"/>
      <c r="P174" s="21"/>
      <c r="Q174" s="21"/>
      <c r="R174" s="21"/>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21"/>
      <c r="L175" s="21"/>
      <c r="M175" s="21"/>
      <c r="N175" s="21"/>
      <c r="O175" s="47"/>
      <c r="P175" s="47"/>
      <c r="Q175" s="47"/>
      <c r="R175" s="21"/>
      <c r="S175" s="21"/>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21"/>
      <c r="L176" s="21"/>
      <c r="M176" s="21"/>
      <c r="N176" s="21"/>
      <c r="O176" s="21"/>
      <c r="P176" s="21"/>
      <c r="Q176" s="21"/>
      <c r="R176" s="21"/>
      <c r="S176" s="21"/>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21"/>
      <c r="L177" s="21"/>
      <c r="M177" s="21"/>
      <c r="N177" s="21"/>
      <c r="O177" s="21"/>
      <c r="P177" s="21"/>
      <c r="Q177" s="21"/>
      <c r="R177" s="21"/>
      <c r="S177" s="21"/>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21"/>
      <c r="L178" s="21"/>
      <c r="M178" s="21"/>
      <c r="N178" s="21"/>
      <c r="O178" s="21"/>
      <c r="P178" s="21"/>
      <c r="Q178" s="21"/>
      <c r="R178" s="21"/>
      <c r="S178" s="21"/>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21"/>
      <c r="L179" s="21"/>
      <c r="M179" s="21"/>
      <c r="N179" s="21"/>
      <c r="O179" s="21"/>
      <c r="P179" s="21"/>
      <c r="Q179" s="21"/>
      <c r="R179" s="21"/>
      <c r="S179" s="21"/>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AP40:AQ40"/>
    <mergeCell ref="AP41:AQ41"/>
    <mergeCell ref="AP39:AQ39"/>
    <mergeCell ref="O109:Q109"/>
    <mergeCell ref="B49:C49"/>
    <mergeCell ref="B57:C57"/>
    <mergeCell ref="O105:Q105"/>
    <mergeCell ref="O88:Q88"/>
    <mergeCell ref="N159:P159"/>
    <mergeCell ref="M104:N109"/>
    <mergeCell ref="O106:Q106"/>
    <mergeCell ref="O107:Q107"/>
    <mergeCell ref="O108:Q108"/>
    <mergeCell ref="N158:P158"/>
    <mergeCell ref="O104:Q104"/>
    <mergeCell ref="M46:N50"/>
    <mergeCell ref="M100:N100"/>
    <mergeCell ref="O89:Q89"/>
    <mergeCell ref="O81:Q81"/>
    <mergeCell ref="O84:P84"/>
    <mergeCell ref="O72:Q72"/>
    <mergeCell ref="O91:P91"/>
    <mergeCell ref="O75:P75"/>
    <mergeCell ref="M99:N99"/>
    <mergeCell ref="X47:Y47"/>
    <mergeCell ref="AM15:AM17"/>
    <mergeCell ref="AM18:AM20"/>
    <mergeCell ref="AL15:AL17"/>
    <mergeCell ref="AB29:AC29"/>
    <mergeCell ref="AP42:AQ42"/>
    <mergeCell ref="AP43:AQ43"/>
    <mergeCell ref="AP44:AQ44"/>
    <mergeCell ref="U115:U130"/>
    <mergeCell ref="U45:V45"/>
    <mergeCell ref="AQ25:AR26"/>
    <mergeCell ref="AP25:AP26"/>
    <mergeCell ref="AQ16:AR17"/>
    <mergeCell ref="AP16:AP17"/>
    <mergeCell ref="AQ20:AR20"/>
    <mergeCell ref="Z21:AB21"/>
    <mergeCell ref="Y17:AD20"/>
    <mergeCell ref="AP27:AP36"/>
    <mergeCell ref="X46:Y46"/>
    <mergeCell ref="AK15:AK17"/>
    <mergeCell ref="AK18:AK20"/>
    <mergeCell ref="X48:Y48"/>
    <mergeCell ref="X45:Z45"/>
    <mergeCell ref="X49:Y49"/>
    <mergeCell ref="U131:U150"/>
    <mergeCell ref="U151:U159"/>
    <mergeCell ref="AT50:AW50"/>
    <mergeCell ref="AQ58:AR58"/>
    <mergeCell ref="AQ59:AR59"/>
    <mergeCell ref="W85:W86"/>
    <mergeCell ref="X85:AE85"/>
    <mergeCell ref="V54:V55"/>
    <mergeCell ref="W54:W55"/>
    <mergeCell ref="X54:AA54"/>
    <mergeCell ref="V85:V86"/>
    <mergeCell ref="V71:V72"/>
    <mergeCell ref="V98:V99"/>
    <mergeCell ref="W71:W72"/>
    <mergeCell ref="X71:Z71"/>
    <mergeCell ref="X98:AO98"/>
    <mergeCell ref="W98:W99"/>
    <mergeCell ref="AP54:AP55"/>
    <mergeCell ref="AQ57:AR57"/>
    <mergeCell ref="U98:U99"/>
    <mergeCell ref="U100:U114"/>
    <mergeCell ref="U87:U95"/>
    <mergeCell ref="U73:U82"/>
    <mergeCell ref="AQ54:AQ55"/>
    <mergeCell ref="B67:E67"/>
    <mergeCell ref="F67:I67"/>
    <mergeCell ref="M72:N92"/>
    <mergeCell ref="O73:Q73"/>
    <mergeCell ref="O74:P74"/>
    <mergeCell ref="O80:Q80"/>
    <mergeCell ref="O76:P76"/>
    <mergeCell ref="O82:P82"/>
    <mergeCell ref="O83:P83"/>
    <mergeCell ref="O78:Q78"/>
    <mergeCell ref="M54:N68"/>
    <mergeCell ref="O66:Q67"/>
    <mergeCell ref="O54:Q54"/>
    <mergeCell ref="O55:Q55"/>
    <mergeCell ref="O68:Q68"/>
    <mergeCell ref="B60:I63"/>
    <mergeCell ref="O90:P90"/>
    <mergeCell ref="O92:P92"/>
    <mergeCell ref="E59:I59"/>
    <mergeCell ref="E55:I55"/>
    <mergeCell ref="E56:I56"/>
    <mergeCell ref="E57:I57"/>
    <mergeCell ref="O86:Q86"/>
    <mergeCell ref="F64:I66"/>
    <mergeCell ref="E46:I46"/>
    <mergeCell ref="E47:I47"/>
    <mergeCell ref="E48:I48"/>
    <mergeCell ref="E49:I49"/>
    <mergeCell ref="B50:I53"/>
    <mergeCell ref="M2:R2"/>
    <mergeCell ref="M36:R36"/>
    <mergeCell ref="M44:R44"/>
    <mergeCell ref="O47:P47"/>
    <mergeCell ref="O50:P50"/>
    <mergeCell ref="B47:C47"/>
    <mergeCell ref="E43:I43"/>
    <mergeCell ref="E44:I44"/>
    <mergeCell ref="E45:I45"/>
    <mergeCell ref="C13:I13"/>
    <mergeCell ref="C14:G14"/>
    <mergeCell ref="E28:I28"/>
    <mergeCell ref="B26:I26"/>
    <mergeCell ref="E41:I41"/>
    <mergeCell ref="E42:I42"/>
    <mergeCell ref="E30:I30"/>
    <mergeCell ref="M29:N34"/>
    <mergeCell ref="E40:I40"/>
    <mergeCell ref="B29:C30"/>
    <mergeCell ref="U54:U55"/>
    <mergeCell ref="M98:N98"/>
    <mergeCell ref="U56:U68"/>
    <mergeCell ref="U85:U86"/>
    <mergeCell ref="U71:U72"/>
    <mergeCell ref="O94:Q94"/>
    <mergeCell ref="B54:I54"/>
    <mergeCell ref="O38:Q38"/>
    <mergeCell ref="B58:C58"/>
    <mergeCell ref="O56:Q64"/>
    <mergeCell ref="B42:C42"/>
    <mergeCell ref="B43:C43"/>
    <mergeCell ref="B44:C44"/>
    <mergeCell ref="B45:C45"/>
    <mergeCell ref="B59:C59"/>
    <mergeCell ref="B56:C56"/>
    <mergeCell ref="B55:C55"/>
    <mergeCell ref="B46:C46"/>
    <mergeCell ref="B41:C41"/>
    <mergeCell ref="O45:Q46"/>
    <mergeCell ref="O48:Q49"/>
    <mergeCell ref="B48:C48"/>
    <mergeCell ref="B40:C40"/>
    <mergeCell ref="B64:E66"/>
    <mergeCell ref="E58:I58"/>
    <mergeCell ref="AV4:AV5"/>
    <mergeCell ref="AQ10:AR11"/>
    <mergeCell ref="AV10:AV11"/>
    <mergeCell ref="AQ18:AR18"/>
    <mergeCell ref="AQ19:AR19"/>
    <mergeCell ref="AL18:AL20"/>
    <mergeCell ref="AV16:AV17"/>
    <mergeCell ref="AS54:AS55"/>
    <mergeCell ref="AD22:AD23"/>
    <mergeCell ref="AQ30:AR30"/>
    <mergeCell ref="AQ31:AR31"/>
    <mergeCell ref="AQ32:AR32"/>
    <mergeCell ref="AQ33:AR33"/>
    <mergeCell ref="AQ29:AR29"/>
    <mergeCell ref="AQ35:AR35"/>
    <mergeCell ref="AQ36:AR36"/>
    <mergeCell ref="AL9:AL11"/>
    <mergeCell ref="AG8:AH8"/>
    <mergeCell ref="AK9:AK11"/>
    <mergeCell ref="AL12:AL14"/>
    <mergeCell ref="AJ9:AJ11"/>
    <mergeCell ref="AJ12:AJ14"/>
    <mergeCell ref="AQ34:AR34"/>
    <mergeCell ref="E29:I29"/>
    <mergeCell ref="O31:Q31"/>
    <mergeCell ref="B27:C28"/>
    <mergeCell ref="M38:N42"/>
    <mergeCell ref="B20:E20"/>
    <mergeCell ref="E35:I35"/>
    <mergeCell ref="O41:Q41"/>
    <mergeCell ref="O42:Q42"/>
    <mergeCell ref="B31:I33"/>
    <mergeCell ref="B39:I39"/>
    <mergeCell ref="B34:I34"/>
    <mergeCell ref="B35:C36"/>
    <mergeCell ref="O33:Q33"/>
    <mergeCell ref="O34:Q34"/>
    <mergeCell ref="E36:I36"/>
    <mergeCell ref="M5:N25"/>
    <mergeCell ref="B37:I38"/>
    <mergeCell ref="U160:U169"/>
    <mergeCell ref="U170:U179"/>
    <mergeCell ref="AQ14:AR14"/>
    <mergeCell ref="AQ6:AR6"/>
    <mergeCell ref="AP10:AP11"/>
    <mergeCell ref="AB35:AC35"/>
    <mergeCell ref="AB36:AC36"/>
    <mergeCell ref="AB38:AC38"/>
    <mergeCell ref="P39:Q39"/>
    <mergeCell ref="AB39:AC39"/>
    <mergeCell ref="AJ15:AJ17"/>
    <mergeCell ref="AJ18:AJ20"/>
    <mergeCell ref="AD8:AD11"/>
    <mergeCell ref="AI8:AJ8"/>
    <mergeCell ref="Y3:AD6"/>
    <mergeCell ref="O4:P4"/>
    <mergeCell ref="Z7:AB7"/>
    <mergeCell ref="V6:X6"/>
    <mergeCell ref="U3:X5"/>
    <mergeCell ref="U26:Z26"/>
    <mergeCell ref="U17:X19"/>
    <mergeCell ref="V20:X20"/>
    <mergeCell ref="AQ8:AR8"/>
    <mergeCell ref="O29:Q29"/>
    <mergeCell ref="AQ4:AR5"/>
    <mergeCell ref="AQ27:AR27"/>
    <mergeCell ref="AQ28:AR28"/>
    <mergeCell ref="B9:I9"/>
    <mergeCell ref="C11:I11"/>
    <mergeCell ref="C12:I12"/>
    <mergeCell ref="AP4:AP5"/>
    <mergeCell ref="AF9:AF11"/>
    <mergeCell ref="AF12:AF14"/>
    <mergeCell ref="AF15:AF17"/>
    <mergeCell ref="AF18:AF20"/>
    <mergeCell ref="AQ7:AR7"/>
    <mergeCell ref="AF7:AM7"/>
    <mergeCell ref="AM9:AM11"/>
    <mergeCell ref="AM12:AM14"/>
    <mergeCell ref="M4:N4"/>
    <mergeCell ref="B16:I16"/>
    <mergeCell ref="B18:D18"/>
    <mergeCell ref="F18:H18"/>
    <mergeCell ref="E27:I27"/>
    <mergeCell ref="AQ12:AR12"/>
    <mergeCell ref="AQ13:AR13"/>
    <mergeCell ref="AK12:AK14"/>
  </mergeCells>
  <dataValidations count="5">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 type="list" allowBlank="1" showInputMessage="1" showErrorMessage="1" sqref="O105:Q109">
      <formula1>$V$170:$V$179</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O74:P76 O82:P84 O90:P92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tabSelected="1" topLeftCell="D97" zoomScale="55" zoomScaleNormal="55" workbookViewId="0">
      <selection activeCell="M130" sqref="M130"/>
    </sheetView>
  </sheetViews>
  <sheetFormatPr defaultRowHeight="19.5" customHeight="1" outlineLevelCol="1" x14ac:dyDescent="0.25"/>
  <cols>
    <col min="1" max="1" width="5.7109375" style="19" customWidth="1"/>
    <col min="2" max="2" width="37.28515625" style="19" customWidth="1"/>
    <col min="3" max="3" width="29.5703125" style="19" customWidth="1"/>
    <col min="4" max="4" width="21.7109375" style="19" bestFit="1" customWidth="1"/>
    <col min="5" max="7" width="16.7109375" style="19" customWidth="1"/>
    <col min="8" max="8" width="29.42578125" style="19" bestFit="1" customWidth="1"/>
    <col min="9" max="9" width="21.7109375" style="19" bestFit="1" customWidth="1"/>
    <col min="10" max="12" width="13" style="19"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customWidth="1" outlineLevel="1"/>
    <col min="25" max="25" width="22.42578125" style="19" customWidth="1" outlineLevel="1"/>
    <col min="26" max="26" width="22"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4.710937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11.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row r="2" spans="1:54" ht="19.5" customHeight="1" thickBot="1" x14ac:dyDescent="0.3">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M3" s="72"/>
      <c r="N3" s="218"/>
      <c r="O3" s="218"/>
      <c r="P3" s="218"/>
      <c r="Q3" s="2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K4" s="259" t="s">
        <v>296</v>
      </c>
      <c r="M4" s="351" t="s">
        <v>193</v>
      </c>
      <c r="N4" s="361"/>
      <c r="O4" s="342" t="s">
        <v>181</v>
      </c>
      <c r="P4" s="342"/>
      <c r="Q4" s="213" t="s">
        <v>0</v>
      </c>
      <c r="R4" s="26"/>
      <c r="U4" s="343"/>
      <c r="V4" s="343"/>
      <c r="W4" s="343"/>
      <c r="X4" s="343"/>
      <c r="Y4" s="340"/>
      <c r="Z4" s="340"/>
      <c r="AA4" s="340"/>
      <c r="AB4" s="340"/>
      <c r="AC4" s="340"/>
      <c r="AD4" s="340"/>
      <c r="AO4" s="10"/>
      <c r="AP4" s="334" t="s">
        <v>239</v>
      </c>
      <c r="AQ4" s="334" t="s">
        <v>240</v>
      </c>
      <c r="AR4" s="334"/>
      <c r="AS4" s="208" t="s">
        <v>33</v>
      </c>
      <c r="AT4" s="208" t="s">
        <v>205</v>
      </c>
      <c r="AU4" s="208" t="s">
        <v>206</v>
      </c>
      <c r="AV4" s="363" t="s">
        <v>241</v>
      </c>
      <c r="AW4" s="10"/>
      <c r="AX4" s="10"/>
      <c r="AY4" s="10"/>
      <c r="AZ4" s="10"/>
      <c r="BA4" s="10"/>
      <c r="BB4" s="10"/>
    </row>
    <row r="5" spans="1:54" ht="19.5" customHeight="1" x14ac:dyDescent="0.25">
      <c r="M5" s="351"/>
      <c r="N5" s="361"/>
      <c r="O5" s="211" t="s">
        <v>1</v>
      </c>
      <c r="P5" s="8">
        <v>5.7</v>
      </c>
      <c r="Q5" s="211" t="s">
        <v>2</v>
      </c>
      <c r="R5" s="26"/>
      <c r="U5" s="343"/>
      <c r="V5" s="343"/>
      <c r="W5" s="343"/>
      <c r="X5" s="343"/>
      <c r="Y5" s="340"/>
      <c r="Z5" s="340"/>
      <c r="AA5" s="340"/>
      <c r="AB5" s="340"/>
      <c r="AC5" s="340"/>
      <c r="AD5" s="340"/>
      <c r="AO5" s="10"/>
      <c r="AP5" s="334"/>
      <c r="AQ5" s="334"/>
      <c r="AR5" s="334"/>
      <c r="AS5" s="18">
        <f>$AC$30</f>
        <v>126</v>
      </c>
      <c r="AT5" s="18">
        <f>$AC$31</f>
        <v>108</v>
      </c>
      <c r="AU5" s="18">
        <f>$AC$32</f>
        <v>144</v>
      </c>
      <c r="AV5" s="364"/>
      <c r="AW5" s="10"/>
      <c r="AX5" s="10"/>
      <c r="AY5" s="10"/>
      <c r="AZ5" s="10"/>
      <c r="BA5" s="10"/>
      <c r="BB5" s="10"/>
    </row>
    <row r="6" spans="1:54" ht="19.5" customHeight="1" x14ac:dyDescent="0.25">
      <c r="M6" s="351"/>
      <c r="N6" s="361"/>
      <c r="O6" s="211" t="s">
        <v>3</v>
      </c>
      <c r="P6" s="9">
        <v>1.4</v>
      </c>
      <c r="Q6" s="211" t="s">
        <v>55</v>
      </c>
      <c r="R6" s="26"/>
      <c r="U6" s="211" t="s">
        <v>29</v>
      </c>
      <c r="V6" s="340" t="s">
        <v>51</v>
      </c>
      <c r="W6" s="340"/>
      <c r="X6" s="340"/>
      <c r="Y6" s="340"/>
      <c r="Z6" s="340"/>
      <c r="AA6" s="340"/>
      <c r="AB6" s="340"/>
      <c r="AC6" s="340"/>
      <c r="AD6" s="340"/>
      <c r="AO6" s="10"/>
      <c r="AP6" s="208">
        <v>1</v>
      </c>
      <c r="AQ6" s="336" t="str">
        <f>O71</f>
        <v>Superfosfato simples</v>
      </c>
      <c r="AR6" s="337"/>
      <c r="AS6" s="18">
        <f>IFERROR((VLOOKUP(AQ6,$V$100:$AB$179,3,0)*0.01)*AV6,0)</f>
        <v>0</v>
      </c>
      <c r="AT6" s="18">
        <f>IFERROR((VLOOKUP(AQ6,$V$100:$AB$179,5,0)*0.01)*AV6,0)</f>
        <v>43.2</v>
      </c>
      <c r="AU6" s="18">
        <f>IFERROR((VLOOKUP(AQ6,$V$100:$AB$179,7,0)*0.01)*AV6,0)</f>
        <v>0</v>
      </c>
      <c r="AV6" s="18">
        <f>IFERROR($AT$5*Q71/(VLOOKUP(AQ6,$V$100:$AB$179,5,0)/100),0)</f>
        <v>240.00000000000003</v>
      </c>
      <c r="AW6" s="10"/>
      <c r="AX6" s="10"/>
      <c r="AY6" s="10"/>
      <c r="AZ6" s="10"/>
      <c r="BA6" s="10"/>
      <c r="BB6" s="10"/>
    </row>
    <row r="7" spans="1:54" ht="19.5" customHeight="1" x14ac:dyDescent="0.25">
      <c r="M7" s="351"/>
      <c r="N7" s="361"/>
      <c r="O7" s="211" t="s">
        <v>4</v>
      </c>
      <c r="P7" s="8">
        <v>0.6</v>
      </c>
      <c r="Q7" s="211" t="s">
        <v>55</v>
      </c>
      <c r="R7" s="26"/>
      <c r="U7" s="211" t="s">
        <v>23</v>
      </c>
      <c r="V7" s="211" t="s">
        <v>25</v>
      </c>
      <c r="W7" s="211" t="s">
        <v>26</v>
      </c>
      <c r="X7" s="211" t="s">
        <v>31</v>
      </c>
      <c r="Y7" s="211" t="s">
        <v>53</v>
      </c>
      <c r="Z7" s="340" t="s">
        <v>54</v>
      </c>
      <c r="AA7" s="340"/>
      <c r="AB7" s="340"/>
      <c r="AC7" s="211" t="s">
        <v>57</v>
      </c>
      <c r="AD7" s="211" t="s">
        <v>58</v>
      </c>
      <c r="AF7" s="335" t="s">
        <v>228</v>
      </c>
      <c r="AG7" s="335"/>
      <c r="AH7" s="335"/>
      <c r="AI7" s="335"/>
      <c r="AJ7" s="335"/>
      <c r="AK7" s="335"/>
      <c r="AL7" s="335"/>
      <c r="AM7" s="335"/>
      <c r="AO7" s="10"/>
      <c r="AP7" s="208">
        <v>2</v>
      </c>
      <c r="AQ7" s="336" t="str">
        <f>O72</f>
        <v>Termofosfato YOORIN</v>
      </c>
      <c r="AR7" s="337"/>
      <c r="AS7" s="18">
        <f>IFERROR((VLOOKUP(AQ7,$V$100:$AB$179,3,0)*0.01)*AV7,0)</f>
        <v>0</v>
      </c>
      <c r="AT7" s="18">
        <f>IFERROR((VLOOKUP(AQ7,$V$100:$AB$179,5,0)*0.01)*AV7,0)</f>
        <v>54.000000000000014</v>
      </c>
      <c r="AU7" s="18">
        <f>IFERROR((VLOOKUP(AQ7,$V$100:$AB$179,7,0)*0.01)*AV7,0)</f>
        <v>0</v>
      </c>
      <c r="AV7" s="18">
        <f>IFERROR($AT$5*Q72/(VLOOKUP(AQ7,$V$100:$AB$179,5,0)/100),0)</f>
        <v>308.57142857142861</v>
      </c>
      <c r="AW7" s="10"/>
      <c r="AX7" s="10"/>
      <c r="AY7" s="10"/>
      <c r="AZ7" s="10"/>
      <c r="BA7" s="10"/>
      <c r="BB7" s="10"/>
    </row>
    <row r="8" spans="1:54" ht="19.5" customHeight="1" thickBot="1" x14ac:dyDescent="0.3">
      <c r="M8" s="351"/>
      <c r="N8" s="361"/>
      <c r="O8" s="211" t="s">
        <v>5</v>
      </c>
      <c r="P8" s="9">
        <v>0.09</v>
      </c>
      <c r="Q8" s="211" t="s">
        <v>55</v>
      </c>
      <c r="R8" s="26"/>
      <c r="U8" s="211" t="s">
        <v>37</v>
      </c>
      <c r="V8" s="211" t="s">
        <v>39</v>
      </c>
      <c r="W8" s="211" t="s">
        <v>30</v>
      </c>
      <c r="X8" s="211" t="s">
        <v>43</v>
      </c>
      <c r="Y8" s="211" t="str">
        <f>IF($P$21&lt;=15.99,"correto","erro")</f>
        <v>erro</v>
      </c>
      <c r="Z8" s="211" t="str">
        <f>IF($P$13&lt;=12,"baixo","erro")</f>
        <v>baixo</v>
      </c>
      <c r="AA8" s="211" t="str">
        <f>IF(AND($P$13&gt;=12.01,$P$13&lt;=18),"medio","erro")</f>
        <v>erro</v>
      </c>
      <c r="AB8" s="211" t="str">
        <f>IF($P$13&gt;18,"adequado","erro")</f>
        <v>erro</v>
      </c>
      <c r="AC8" s="211" t="str">
        <f>IF(Z8="baixo","baixo",IF(AA8="medio","medio",IF(AB8="adequado","adequado",0)))</f>
        <v>baixo</v>
      </c>
      <c r="AD8" s="340" t="str">
        <f>VLOOKUP("correto",Y8:AC11,5,0)</f>
        <v>baixo</v>
      </c>
      <c r="AF8" s="211" t="s">
        <v>231</v>
      </c>
      <c r="AG8" s="335" t="s">
        <v>229</v>
      </c>
      <c r="AH8" s="335"/>
      <c r="AI8" s="340" t="s">
        <v>230</v>
      </c>
      <c r="AJ8" s="340"/>
      <c r="AK8" s="211" t="s">
        <v>58</v>
      </c>
      <c r="AL8" s="211" t="s">
        <v>244</v>
      </c>
      <c r="AM8" s="211" t="s">
        <v>247</v>
      </c>
      <c r="AO8" s="10"/>
      <c r="AP8" s="208">
        <v>3</v>
      </c>
      <c r="AQ8" s="336" t="str">
        <f>O73</f>
        <v>Superfosfato triplo</v>
      </c>
      <c r="AR8" s="337"/>
      <c r="AS8" s="18">
        <f>IFERROR((VLOOKUP(AQ8,$V$100:$AB$179,3,0)*0.01)*AV8,0)</f>
        <v>0</v>
      </c>
      <c r="AT8" s="18">
        <f>IFERROR((VLOOKUP(AQ8,$V$100:$AB$179,5,0)*0.01)*AV8,0)</f>
        <v>10.800000000000002</v>
      </c>
      <c r="AU8" s="18">
        <f>IFERROR((VLOOKUP(AQ8,$V$100:$AB$179,7,0)*0.01)*AV8,0)</f>
        <v>0</v>
      </c>
      <c r="AV8" s="18">
        <f>IFERROR($AT$5*Q73/(VLOOKUP(AQ8,$V$100:$AB$179,5,0)/100),0)</f>
        <v>26.341463414634148</v>
      </c>
      <c r="AW8" s="10"/>
      <c r="AX8" s="10"/>
      <c r="AY8" s="10"/>
      <c r="AZ8" s="10"/>
      <c r="BA8" s="10"/>
      <c r="BB8" s="10"/>
    </row>
    <row r="9" spans="1:54" ht="19.5" customHeight="1" thickBot="1" x14ac:dyDescent="0.3">
      <c r="A9" s="27"/>
      <c r="B9" s="417" t="s">
        <v>108</v>
      </c>
      <c r="C9" s="418"/>
      <c r="D9" s="418"/>
      <c r="E9" s="418"/>
      <c r="F9" s="418"/>
      <c r="G9" s="418"/>
      <c r="H9" s="418"/>
      <c r="I9" s="419"/>
      <c r="M9" s="351"/>
      <c r="N9" s="361"/>
      <c r="O9" s="211" t="s">
        <v>6</v>
      </c>
      <c r="P9" s="8">
        <v>0.01</v>
      </c>
      <c r="Q9" s="211" t="s">
        <v>55</v>
      </c>
      <c r="R9" s="26"/>
      <c r="U9" s="211" t="s">
        <v>27</v>
      </c>
      <c r="V9" s="211" t="s">
        <v>40</v>
      </c>
      <c r="W9" s="211" t="s">
        <v>44</v>
      </c>
      <c r="X9" s="211" t="s">
        <v>47</v>
      </c>
      <c r="Y9" s="211" t="str">
        <f>IF(AND($P$21&gt;15.99,P21&lt;34.99),"correto","erro")</f>
        <v>erro</v>
      </c>
      <c r="Z9" s="211" t="str">
        <f>IF($P$13&lt;=10,"baixo","erro")</f>
        <v>baixo</v>
      </c>
      <c r="AA9" s="211" t="str">
        <f>IF(AND($P$13&gt;=10.01,$P$13&lt;=15),"medio","erro")</f>
        <v>erro</v>
      </c>
      <c r="AB9" s="211" t="str">
        <f>IF($P$13&gt;15,"adequado","erro")</f>
        <v>erro</v>
      </c>
      <c r="AC9" s="211" t="str">
        <f>IF(Z9="baixo","baixo",IF(AA9="medio","medio",IF(AB9="adequado","adequado",0)))</f>
        <v>baixo</v>
      </c>
      <c r="AD9" s="340"/>
      <c r="AF9" s="335" t="s">
        <v>227</v>
      </c>
      <c r="AG9" s="209" t="s">
        <v>25</v>
      </c>
      <c r="AH9" s="209" t="s">
        <v>223</v>
      </c>
      <c r="AI9" s="211" t="str">
        <f>IF($P$14&lt;=0.2,"baixo","erro")</f>
        <v>baixo</v>
      </c>
      <c r="AJ9" s="340" t="str">
        <f>IF($AI$9="baixo","baixo",IF($AI$10="medio","medio",IF($AI$11="adequado","adequado",0)))</f>
        <v>baixo</v>
      </c>
      <c r="AK9" s="340">
        <f>IF(AJ9="Baixo",AL9,0)</f>
        <v>3.6</v>
      </c>
      <c r="AL9" s="340">
        <f>(AM9*1000)/$E$18</f>
        <v>3.6</v>
      </c>
      <c r="AM9" s="338">
        <v>1</v>
      </c>
      <c r="AO9" s="10"/>
      <c r="AP9" s="10"/>
      <c r="AQ9" s="10"/>
      <c r="AR9" s="10"/>
      <c r="AS9" s="48">
        <f>AS5-(SUM(AS6:AS8))</f>
        <v>126</v>
      </c>
      <c r="AT9" s="48">
        <f>AT5-(SUM(AT6:AT8))</f>
        <v>0</v>
      </c>
      <c r="AU9" s="48">
        <f>AU5-(SUM(AU6:AU8))</f>
        <v>144</v>
      </c>
      <c r="AV9" s="48"/>
      <c r="AW9" s="10"/>
      <c r="AX9" s="10"/>
      <c r="AY9" s="10"/>
      <c r="AZ9" s="10"/>
      <c r="BA9" s="10"/>
      <c r="BB9" s="10"/>
    </row>
    <row r="10" spans="1:54" ht="19.5" customHeight="1" x14ac:dyDescent="0.25">
      <c r="M10" s="351"/>
      <c r="N10" s="361"/>
      <c r="O10" s="211" t="s">
        <v>7</v>
      </c>
      <c r="P10" s="9">
        <v>0.3</v>
      </c>
      <c r="Q10" s="211" t="s">
        <v>55</v>
      </c>
      <c r="R10" s="26"/>
      <c r="U10" s="211" t="s">
        <v>28</v>
      </c>
      <c r="V10" s="211" t="s">
        <v>41</v>
      </c>
      <c r="W10" s="211" t="s">
        <v>45</v>
      </c>
      <c r="X10" s="211" t="s">
        <v>48</v>
      </c>
      <c r="Y10" s="211" t="str">
        <f>IF(AND($P$21&gt;34.99,P21&lt;59.99),"correto","erro")</f>
        <v>correto</v>
      </c>
      <c r="Z10" s="211" t="str">
        <f>IF($P$13&lt;=5,"baixo","erro")</f>
        <v>baixo</v>
      </c>
      <c r="AA10" s="211" t="str">
        <f>IF(AND($P$13&gt;=5.01,$P$13&lt;=8),"medio","erro")</f>
        <v>erro</v>
      </c>
      <c r="AB10" s="211" t="str">
        <f>IF($P$13&gt;8,"adequado","erro")</f>
        <v>erro</v>
      </c>
      <c r="AC10" s="211" t="str">
        <f>IF(Z10="baixo","baixo",IF(AA10="medio","medio",IF(AB10="adequado","adequado",0)))</f>
        <v>baixo</v>
      </c>
      <c r="AD10" s="340"/>
      <c r="AF10" s="335"/>
      <c r="AG10" s="209" t="s">
        <v>26</v>
      </c>
      <c r="AH10" s="209" t="s">
        <v>219</v>
      </c>
      <c r="AI10" s="211" t="str">
        <f>IF(AND($P$14&gt;=0.201,$P$14&lt;=0.5),"medio","erro")</f>
        <v>erro</v>
      </c>
      <c r="AJ10" s="340"/>
      <c r="AK10" s="340"/>
      <c r="AL10" s="340"/>
      <c r="AM10" s="338"/>
      <c r="AO10" s="10"/>
      <c r="AP10" s="334" t="s">
        <v>239</v>
      </c>
      <c r="AQ10" s="334" t="s">
        <v>240</v>
      </c>
      <c r="AR10" s="334"/>
      <c r="AS10" s="208" t="s">
        <v>33</v>
      </c>
      <c r="AT10" s="208" t="s">
        <v>205</v>
      </c>
      <c r="AU10" s="208" t="s">
        <v>206</v>
      </c>
      <c r="AV10" s="363" t="s">
        <v>241</v>
      </c>
      <c r="AW10" s="10"/>
      <c r="AX10" s="10"/>
      <c r="AY10" s="10"/>
      <c r="AZ10" s="10"/>
      <c r="BA10" s="10"/>
      <c r="BB10" s="10"/>
    </row>
    <row r="11" spans="1:54" ht="19.5" customHeight="1" x14ac:dyDescent="0.25">
      <c r="B11" s="247" t="s">
        <v>109</v>
      </c>
      <c r="C11" s="345"/>
      <c r="D11" s="345"/>
      <c r="E11" s="345"/>
      <c r="F11" s="345"/>
      <c r="G11" s="345"/>
      <c r="H11" s="345"/>
      <c r="I11" s="346"/>
      <c r="M11" s="351"/>
      <c r="N11" s="361"/>
      <c r="O11" s="211" t="s">
        <v>8</v>
      </c>
      <c r="P11" s="8">
        <v>4.3</v>
      </c>
      <c r="Q11" s="211" t="s">
        <v>55</v>
      </c>
      <c r="R11" s="26"/>
      <c r="U11" s="211" t="s">
        <v>38</v>
      </c>
      <c r="V11" s="211" t="s">
        <v>42</v>
      </c>
      <c r="W11" s="211" t="s">
        <v>46</v>
      </c>
      <c r="X11" s="211" t="s">
        <v>49</v>
      </c>
      <c r="Y11" s="211" t="str">
        <f>IF($P$21&gt;59.99,"correto","erro")</f>
        <v>erro</v>
      </c>
      <c r="Z11" s="211" t="str">
        <f>IF($P$13&lt;=3,"baixo","erro")</f>
        <v>erro</v>
      </c>
      <c r="AA11" s="211" t="str">
        <f>IF(AND($P$13&gt;=3.01,$P$13&lt;=6),"medio","erro")</f>
        <v>medio</v>
      </c>
      <c r="AB11" s="211" t="str">
        <f>IF($P$13&gt;6,"adequado","erro")</f>
        <v>erro</v>
      </c>
      <c r="AC11" s="211" t="str">
        <f>IF(Z11="baixo","baixo",IF(AA11="medio","medio",IF(AB11="adequado","adequado",0)))</f>
        <v>medio</v>
      </c>
      <c r="AD11" s="340"/>
      <c r="AF11" s="335"/>
      <c r="AG11" s="209" t="s">
        <v>215</v>
      </c>
      <c r="AH11" s="209" t="s">
        <v>214</v>
      </c>
      <c r="AI11" s="211" t="str">
        <f>IF($P$14&gt;0.5,"adequado","erro")</f>
        <v>erro</v>
      </c>
      <c r="AJ11" s="340"/>
      <c r="AK11" s="340"/>
      <c r="AL11" s="340"/>
      <c r="AM11" s="338"/>
      <c r="AO11" s="10"/>
      <c r="AP11" s="334"/>
      <c r="AQ11" s="334"/>
      <c r="AR11" s="334"/>
      <c r="AS11" s="18">
        <f>AS9</f>
        <v>126</v>
      </c>
      <c r="AT11" s="18">
        <f t="shared" ref="AT11:AU11" si="0">AT9</f>
        <v>0</v>
      </c>
      <c r="AU11" s="18">
        <f t="shared" si="0"/>
        <v>144</v>
      </c>
      <c r="AV11" s="364"/>
      <c r="AW11" s="10"/>
      <c r="AX11" s="10"/>
      <c r="AY11" s="10"/>
      <c r="AZ11" s="10"/>
      <c r="BA11" s="10"/>
      <c r="BB11" s="10"/>
    </row>
    <row r="12" spans="1:54" ht="19.5" customHeight="1" x14ac:dyDescent="0.25">
      <c r="B12" s="248" t="s">
        <v>110</v>
      </c>
      <c r="C12" s="344"/>
      <c r="D12" s="345"/>
      <c r="E12" s="345"/>
      <c r="F12" s="345"/>
      <c r="G12" s="345"/>
      <c r="H12" s="345"/>
      <c r="I12" s="346"/>
      <c r="M12" s="351"/>
      <c r="N12" s="361"/>
      <c r="O12" s="211" t="s">
        <v>9</v>
      </c>
      <c r="P12" s="9">
        <v>19.399999999999999</v>
      </c>
      <c r="Q12" s="211" t="s">
        <v>10</v>
      </c>
      <c r="R12" s="26"/>
      <c r="AF12" s="335" t="s">
        <v>226</v>
      </c>
      <c r="AG12" s="209" t="s">
        <v>25</v>
      </c>
      <c r="AH12" s="209" t="s">
        <v>222</v>
      </c>
      <c r="AI12" s="211" t="str">
        <f>IF($P$16&lt;=0.4,"baixo","erro")</f>
        <v>baixo</v>
      </c>
      <c r="AJ12" s="340" t="str">
        <f>IF($AI$12="baixo","baixo",IF($AI$13="medio","medio",IF($AI$14="adequado","adequado",0)))</f>
        <v>baixo</v>
      </c>
      <c r="AK12" s="340">
        <f>IF(AJ12="Baixo",AL12,0)</f>
        <v>1.8</v>
      </c>
      <c r="AL12" s="340">
        <f>(AM12*1000)/$E$18</f>
        <v>1.8</v>
      </c>
      <c r="AM12" s="338">
        <v>0.5</v>
      </c>
      <c r="AO12" s="10"/>
      <c r="AP12" s="208">
        <v>7</v>
      </c>
      <c r="AQ12" s="334" t="str">
        <f>O79</f>
        <v>Cloreto de potássio</v>
      </c>
      <c r="AR12" s="334"/>
      <c r="AS12" s="18">
        <f>IFERROR((VLOOKUP(AQ12,$V$100:$AB$179,3,0)*0.01)*AV12,0)</f>
        <v>0</v>
      </c>
      <c r="AT12" s="18">
        <f>IFERROR((VLOOKUP(AQ12,$V$100:$AB$179,5,0)*0.01)*AV12,0)</f>
        <v>0</v>
      </c>
      <c r="AU12" s="18">
        <f>IFERROR((VLOOKUP(AQ12,$V$100:$AB$179,7,0)*0.01)*AV12,0)</f>
        <v>57.599999999999994</v>
      </c>
      <c r="AV12" s="18">
        <f>IFERROR($AU$11*Q79/(VLOOKUP(AQ12,$V$100:$AB$179,7,0)/100),0)</f>
        <v>96</v>
      </c>
      <c r="AW12" s="10"/>
      <c r="AX12" s="10"/>
      <c r="AY12" s="10"/>
      <c r="AZ12" s="10"/>
      <c r="BA12" s="10"/>
      <c r="BB12" s="10"/>
    </row>
    <row r="13" spans="1:54" ht="19.5" customHeight="1" x14ac:dyDescent="0.25">
      <c r="B13" s="248" t="s">
        <v>111</v>
      </c>
      <c r="C13" s="344"/>
      <c r="D13" s="345"/>
      <c r="E13" s="345"/>
      <c r="F13" s="345"/>
      <c r="G13" s="345"/>
      <c r="H13" s="345"/>
      <c r="I13" s="346"/>
      <c r="M13" s="351"/>
      <c r="N13" s="361"/>
      <c r="O13" s="211" t="s">
        <v>11</v>
      </c>
      <c r="P13" s="8">
        <v>4</v>
      </c>
      <c r="Q13" s="211" t="s">
        <v>12</v>
      </c>
      <c r="R13" s="26"/>
      <c r="AF13" s="335"/>
      <c r="AG13" s="209" t="s">
        <v>26</v>
      </c>
      <c r="AH13" s="209" t="s">
        <v>218</v>
      </c>
      <c r="AI13" s="211" t="str">
        <f>IF(AND($P$16&gt;=0.401,$P$16&lt;=0.8),"medio","erro")</f>
        <v>erro</v>
      </c>
      <c r="AJ13" s="340"/>
      <c r="AK13" s="340"/>
      <c r="AL13" s="340"/>
      <c r="AM13" s="338"/>
      <c r="AO13" s="10"/>
      <c r="AP13" s="208">
        <v>8</v>
      </c>
      <c r="AQ13" s="334" t="str">
        <f>O80</f>
        <v>Kmag</v>
      </c>
      <c r="AR13" s="334"/>
      <c r="AS13" s="18">
        <f>IFERROR((VLOOKUP(AQ13,$V$100:$AB$179,3,0)*0.01)*AV13,0)</f>
        <v>0</v>
      </c>
      <c r="AT13" s="18">
        <f>IFERROR((VLOOKUP(AQ13,$V$100:$AB$179,5,0)*0.01)*AV13,0)</f>
        <v>0</v>
      </c>
      <c r="AU13" s="18">
        <f>IFERROR((VLOOKUP(AQ13,$V$100:$AB$179,7,0)*0.01)*AV13,0)</f>
        <v>72</v>
      </c>
      <c r="AV13" s="18">
        <f>IFERROR($AU$11*Q80/(VLOOKUP(AQ13,$V$100:$AB$179,7,0)/100),0)</f>
        <v>342.85714285714289</v>
      </c>
      <c r="AW13" s="10"/>
      <c r="AX13" s="10"/>
      <c r="AY13" s="10"/>
      <c r="AZ13" s="10"/>
      <c r="BA13" s="10"/>
      <c r="BB13" s="10"/>
    </row>
    <row r="14" spans="1:54" ht="19.5" customHeight="1" x14ac:dyDescent="0.25">
      <c r="B14" s="248" t="s">
        <v>112</v>
      </c>
      <c r="C14" s="344"/>
      <c r="D14" s="345"/>
      <c r="E14" s="345"/>
      <c r="F14" s="345"/>
      <c r="G14" s="346"/>
      <c r="H14" s="247" t="s">
        <v>113</v>
      </c>
      <c r="I14" s="252">
        <f ca="1">TODAY()</f>
        <v>44005</v>
      </c>
      <c r="M14" s="351"/>
      <c r="N14" s="361"/>
      <c r="O14" s="211" t="s">
        <v>13</v>
      </c>
      <c r="P14" s="9">
        <v>0.1</v>
      </c>
      <c r="Q14" s="211" t="s">
        <v>12</v>
      </c>
      <c r="R14" s="26"/>
      <c r="AF14" s="335"/>
      <c r="AG14" s="209" t="s">
        <v>215</v>
      </c>
      <c r="AH14" s="209" t="s">
        <v>213</v>
      </c>
      <c r="AI14" s="211" t="str">
        <f>IF($P$16&gt;0.8,"adequado","erro")</f>
        <v>erro</v>
      </c>
      <c r="AJ14" s="340"/>
      <c r="AK14" s="340"/>
      <c r="AL14" s="340"/>
      <c r="AM14" s="338"/>
      <c r="AO14" s="10"/>
      <c r="AP14" s="208">
        <v>9</v>
      </c>
      <c r="AQ14" s="334" t="str">
        <f>O81</f>
        <v>Sulfato de potássio</v>
      </c>
      <c r="AR14" s="334"/>
      <c r="AS14" s="18">
        <f>IFERROR((VLOOKUP(AQ14,$V$100:$AB$179,3,0)*0.01)*AV14,0)</f>
        <v>0</v>
      </c>
      <c r="AT14" s="18">
        <f>IFERROR((VLOOKUP(AQ14,$V$100:$AB$179,5,0)*0.01)*AV14,0)</f>
        <v>0</v>
      </c>
      <c r="AU14" s="18">
        <f>IFERROR((VLOOKUP(AQ14,$V$100:$AB$179,7,0)*0.01)*AV14,0)</f>
        <v>14.4</v>
      </c>
      <c r="AV14" s="18">
        <f>IFERROR($AU$11*Q81/(VLOOKUP(AQ14,$V$100:$AB$179,7,0)/100),0)</f>
        <v>27.692307692307693</v>
      </c>
      <c r="AW14" s="10"/>
      <c r="AX14" s="10"/>
      <c r="AY14" s="10"/>
      <c r="AZ14" s="10"/>
      <c r="BA14" s="10"/>
      <c r="BB14" s="10"/>
    </row>
    <row r="15" spans="1:54" ht="19.5" customHeight="1" thickBot="1" x14ac:dyDescent="0.3">
      <c r="M15" s="351"/>
      <c r="N15" s="361"/>
      <c r="O15" s="211" t="s">
        <v>14</v>
      </c>
      <c r="P15" s="8">
        <v>5.2</v>
      </c>
      <c r="Q15" s="211" t="s">
        <v>12</v>
      </c>
      <c r="R15" s="26"/>
      <c r="AF15" s="335" t="s">
        <v>225</v>
      </c>
      <c r="AG15" s="209" t="s">
        <v>25</v>
      </c>
      <c r="AH15" s="209" t="s">
        <v>221</v>
      </c>
      <c r="AI15" s="211" t="str">
        <f>IF($P$18&lt;=1.9,"baixo","erro")</f>
        <v>baixo</v>
      </c>
      <c r="AJ15" s="340" t="str">
        <f>IF($AI$15="baixo","baixo",IF($AI$16="medio","medio",IF($AI$17="adequado","adequado",0)))</f>
        <v>baixo</v>
      </c>
      <c r="AK15" s="340">
        <f>IF(AJ15="Baixo",AL15,0)</f>
        <v>3.6</v>
      </c>
      <c r="AL15" s="340">
        <f>(AM15*1000)/$E$18</f>
        <v>3.6</v>
      </c>
      <c r="AM15" s="338">
        <v>1</v>
      </c>
      <c r="AO15" s="10"/>
      <c r="AP15" s="10"/>
      <c r="AQ15" s="10"/>
      <c r="AR15" s="10"/>
      <c r="AS15" s="48">
        <f>AS11-(SUM(AS12:AS14))</f>
        <v>126</v>
      </c>
      <c r="AT15" s="48">
        <f>AT11-(SUM(AT12:AT14))</f>
        <v>0</v>
      </c>
      <c r="AU15" s="48">
        <f>AU11-(SUM(AU12:AU14))</f>
        <v>0</v>
      </c>
      <c r="AV15" s="10"/>
      <c r="AW15" s="10"/>
      <c r="AX15" s="10"/>
      <c r="AY15" s="10"/>
      <c r="AZ15" s="10"/>
      <c r="BA15" s="10"/>
      <c r="BB15" s="10"/>
    </row>
    <row r="16" spans="1:54" ht="19.5" customHeight="1" thickBot="1" x14ac:dyDescent="0.3">
      <c r="B16" s="420" t="s">
        <v>290</v>
      </c>
      <c r="C16" s="421"/>
      <c r="D16" s="421"/>
      <c r="E16" s="421"/>
      <c r="F16" s="421"/>
      <c r="G16" s="421"/>
      <c r="H16" s="421"/>
      <c r="I16" s="422"/>
      <c r="M16" s="351"/>
      <c r="N16" s="361"/>
      <c r="O16" s="211" t="s">
        <v>15</v>
      </c>
      <c r="P16" s="9">
        <v>0.2</v>
      </c>
      <c r="Q16" s="211" t="s">
        <v>12</v>
      </c>
      <c r="R16" s="26"/>
      <c r="AF16" s="335"/>
      <c r="AG16" s="209" t="s">
        <v>26</v>
      </c>
      <c r="AH16" s="209" t="s">
        <v>217</v>
      </c>
      <c r="AI16" s="211" t="str">
        <f>IF(AND($P$18&gt;=1.901,$P$18&lt;=5),"medio","erro")</f>
        <v>erro</v>
      </c>
      <c r="AJ16" s="340"/>
      <c r="AK16" s="340"/>
      <c r="AL16" s="340"/>
      <c r="AM16" s="338"/>
      <c r="AO16" s="10"/>
      <c r="AP16" s="334" t="s">
        <v>239</v>
      </c>
      <c r="AQ16" s="334" t="s">
        <v>240</v>
      </c>
      <c r="AR16" s="334"/>
      <c r="AS16" s="208" t="s">
        <v>33</v>
      </c>
      <c r="AT16" s="208" t="s">
        <v>205</v>
      </c>
      <c r="AU16" s="208" t="s">
        <v>206</v>
      </c>
      <c r="AV16" s="363" t="s">
        <v>241</v>
      </c>
      <c r="AW16" s="10"/>
      <c r="AX16" s="10"/>
      <c r="AY16" s="10"/>
      <c r="AZ16" s="10"/>
      <c r="BA16" s="10"/>
      <c r="BB16" s="10"/>
    </row>
    <row r="17" spans="2:54" ht="19.5" customHeight="1" x14ac:dyDescent="0.25">
      <c r="M17" s="351"/>
      <c r="N17" s="361"/>
      <c r="O17" s="211" t="s">
        <v>16</v>
      </c>
      <c r="P17" s="8">
        <v>45.3</v>
      </c>
      <c r="Q17" s="211" t="s">
        <v>12</v>
      </c>
      <c r="R17" s="26"/>
      <c r="U17" s="343" t="s">
        <v>60</v>
      </c>
      <c r="V17" s="343"/>
      <c r="W17" s="343"/>
      <c r="X17" s="343"/>
      <c r="Y17" s="340" t="s">
        <v>59</v>
      </c>
      <c r="Z17" s="340"/>
      <c r="AA17" s="340"/>
      <c r="AB17" s="340"/>
      <c r="AC17" s="340"/>
      <c r="AD17" s="340"/>
      <c r="AF17" s="335"/>
      <c r="AG17" s="209" t="s">
        <v>215</v>
      </c>
      <c r="AH17" s="209" t="s">
        <v>212</v>
      </c>
      <c r="AI17" s="211" t="str">
        <f>IF($P$18&gt;5,"adequado","erro")</f>
        <v>erro</v>
      </c>
      <c r="AJ17" s="340"/>
      <c r="AK17" s="340"/>
      <c r="AL17" s="340"/>
      <c r="AM17" s="338"/>
      <c r="AO17" s="10"/>
      <c r="AP17" s="334"/>
      <c r="AQ17" s="334"/>
      <c r="AR17" s="334"/>
      <c r="AS17" s="18">
        <f>AS15</f>
        <v>126</v>
      </c>
      <c r="AT17" s="18">
        <f t="shared" ref="AT17:AU17" si="1">AT15</f>
        <v>0</v>
      </c>
      <c r="AU17" s="18">
        <f t="shared" si="1"/>
        <v>0</v>
      </c>
      <c r="AV17" s="364"/>
      <c r="AW17" s="10"/>
      <c r="AX17" s="10"/>
      <c r="AY17" s="10"/>
      <c r="AZ17" s="10"/>
      <c r="BA17" s="10"/>
      <c r="BB17" s="10"/>
    </row>
    <row r="18" spans="2:54" ht="19.5" customHeight="1" x14ac:dyDescent="0.25">
      <c r="B18" s="339" t="s">
        <v>123</v>
      </c>
      <c r="C18" s="339"/>
      <c r="D18" s="339"/>
      <c r="E18" s="253">
        <f>$O$35</f>
        <v>277.77777777777777</v>
      </c>
      <c r="F18" s="340" t="s">
        <v>114</v>
      </c>
      <c r="G18" s="340"/>
      <c r="H18" s="340"/>
      <c r="I18" s="247">
        <f>O34</f>
        <v>1</v>
      </c>
      <c r="M18" s="351"/>
      <c r="N18" s="361"/>
      <c r="O18" s="211" t="s">
        <v>17</v>
      </c>
      <c r="P18" s="9">
        <v>0.9</v>
      </c>
      <c r="Q18" s="211" t="s">
        <v>12</v>
      </c>
      <c r="R18" s="26"/>
      <c r="U18" s="343"/>
      <c r="V18" s="343"/>
      <c r="W18" s="343"/>
      <c r="X18" s="343"/>
      <c r="Y18" s="340"/>
      <c r="Z18" s="340"/>
      <c r="AA18" s="340"/>
      <c r="AB18" s="340"/>
      <c r="AC18" s="340"/>
      <c r="AD18" s="340"/>
      <c r="AF18" s="335" t="s">
        <v>224</v>
      </c>
      <c r="AG18" s="209" t="s">
        <v>25</v>
      </c>
      <c r="AH18" s="209" t="s">
        <v>220</v>
      </c>
      <c r="AI18" s="211" t="str">
        <f>IF($P$19&lt;=1,"baixo","erro")</f>
        <v>baixo</v>
      </c>
      <c r="AJ18" s="340" t="str">
        <f>IF($AI$18="baixo","baixo",IF($AI$19="medio","medio",IF($AI$20="adequado","adequado",0)))</f>
        <v>baixo</v>
      </c>
      <c r="AK18" s="340">
        <f>IF(AJ18="Baixo",AL18,0)</f>
        <v>18</v>
      </c>
      <c r="AL18" s="340">
        <f>(AM18*1000)/$E$18</f>
        <v>18</v>
      </c>
      <c r="AM18" s="338">
        <v>5</v>
      </c>
      <c r="AO18" s="10"/>
      <c r="AP18" s="208">
        <v>13</v>
      </c>
      <c r="AQ18" s="334" t="str">
        <f>O87</f>
        <v>Uréia</v>
      </c>
      <c r="AR18" s="334"/>
      <c r="AS18" s="18">
        <f>IFERROR((VLOOKUP(AQ18,$V$100:$AB$179,3,0)*0.01)*AV18,0)</f>
        <v>50.400000000000006</v>
      </c>
      <c r="AT18" s="18">
        <f>IFERROR((VLOOKUP(AQ18,$V$100:$AB$179,5,0)*0.01)*AV18,0)</f>
        <v>0</v>
      </c>
      <c r="AU18" s="18">
        <f>IFERROR((VLOOKUP(AQ18,$V$100:$AB$179,7,0)*0.01)*AV18,0)</f>
        <v>0</v>
      </c>
      <c r="AV18" s="18">
        <f>IFERROR($AS$17*Q87/(VLOOKUP(AQ18,$V$100:$AB$179,3,0)/100),0)</f>
        <v>112.00000000000001</v>
      </c>
      <c r="AW18" s="10"/>
      <c r="AX18" s="10"/>
      <c r="AY18" s="10"/>
      <c r="AZ18" s="10"/>
      <c r="BA18" s="10"/>
      <c r="BB18" s="10"/>
    </row>
    <row r="19" spans="2:54" ht="19.5" customHeight="1" x14ac:dyDescent="0.25">
      <c r="M19" s="351"/>
      <c r="N19" s="361"/>
      <c r="O19" s="211" t="s">
        <v>18</v>
      </c>
      <c r="P19" s="8">
        <v>0.9</v>
      </c>
      <c r="Q19" s="211" t="s">
        <v>12</v>
      </c>
      <c r="R19" s="26"/>
      <c r="S19" s="20"/>
      <c r="U19" s="343"/>
      <c r="V19" s="343"/>
      <c r="W19" s="343"/>
      <c r="X19" s="343"/>
      <c r="Y19" s="340"/>
      <c r="Z19" s="340"/>
      <c r="AA19" s="340"/>
      <c r="AB19" s="340"/>
      <c r="AC19" s="340"/>
      <c r="AD19" s="340"/>
      <c r="AF19" s="335"/>
      <c r="AG19" s="209" t="s">
        <v>26</v>
      </c>
      <c r="AH19" s="209" t="s">
        <v>216</v>
      </c>
      <c r="AI19" s="211" t="str">
        <f>IF(AND($P$19&gt;=1.01,$P$19&lt;=1.6),"medio","erro")</f>
        <v>erro</v>
      </c>
      <c r="AJ19" s="340"/>
      <c r="AK19" s="340"/>
      <c r="AL19" s="340"/>
      <c r="AM19" s="338"/>
      <c r="AO19" s="10"/>
      <c r="AP19" s="208">
        <v>14</v>
      </c>
      <c r="AQ19" s="334" t="str">
        <f>O88</f>
        <v>Torta de mamona Hortibraz</v>
      </c>
      <c r="AR19" s="334"/>
      <c r="AS19" s="18">
        <f>IFERROR((VLOOKUP(AQ19,$V$100:$AB$179,3,0)*0.01)*AV19,0)</f>
        <v>63</v>
      </c>
      <c r="AT19" s="18">
        <f>IFERROR((VLOOKUP(AQ19,$V$100:$AB$179,5,0)*0.01)*AV19,0)</f>
        <v>0</v>
      </c>
      <c r="AU19" s="18">
        <f>IFERROR((VLOOKUP(AQ19,$V$100:$AB$179,7,0)*0.01)*AV19,0)</f>
        <v>0</v>
      </c>
      <c r="AV19" s="18">
        <f>IFERROR($AS$17*Q88/(VLOOKUP(AQ19,$V$100:$AB$179,3,0)/100),0)</f>
        <v>1050</v>
      </c>
      <c r="AW19" s="10"/>
      <c r="AX19" s="10"/>
      <c r="AY19" s="10"/>
      <c r="AZ19" s="10"/>
      <c r="BA19" s="10"/>
      <c r="BB19" s="10"/>
    </row>
    <row r="20" spans="2:54" ht="19.5" customHeight="1" x14ac:dyDescent="0.25">
      <c r="B20" s="344" t="s">
        <v>168</v>
      </c>
      <c r="C20" s="345"/>
      <c r="D20" s="345"/>
      <c r="E20" s="346"/>
      <c r="F20" s="2" t="s">
        <v>115</v>
      </c>
      <c r="G20" s="2">
        <f>P24</f>
        <v>32.8125</v>
      </c>
      <c r="H20" s="2" t="s">
        <v>52</v>
      </c>
      <c r="I20" s="253">
        <f>P21</f>
        <v>47.5</v>
      </c>
      <c r="M20" s="351"/>
      <c r="N20" s="361"/>
      <c r="O20" s="211" t="s">
        <v>19</v>
      </c>
      <c r="P20" s="9">
        <v>35</v>
      </c>
      <c r="Q20" s="211" t="s">
        <v>23</v>
      </c>
      <c r="R20" s="26"/>
      <c r="U20" s="211" t="s">
        <v>29</v>
      </c>
      <c r="V20" s="340" t="s">
        <v>74</v>
      </c>
      <c r="W20" s="340"/>
      <c r="X20" s="340"/>
      <c r="Y20" s="340"/>
      <c r="Z20" s="340"/>
      <c r="AA20" s="340"/>
      <c r="AB20" s="340"/>
      <c r="AC20" s="340"/>
      <c r="AD20" s="340"/>
      <c r="AF20" s="335"/>
      <c r="AG20" s="209" t="s">
        <v>215</v>
      </c>
      <c r="AH20" s="209" t="s">
        <v>211</v>
      </c>
      <c r="AI20" s="211" t="str">
        <f>IF($P$19&gt;1.6,"adequado","erro")</f>
        <v>erro</v>
      </c>
      <c r="AJ20" s="340"/>
      <c r="AK20" s="340"/>
      <c r="AL20" s="340"/>
      <c r="AM20" s="338"/>
      <c r="AO20" s="10"/>
      <c r="AP20" s="208">
        <v>15</v>
      </c>
      <c r="AQ20" s="334" t="str">
        <f>O89</f>
        <v>Uréia</v>
      </c>
      <c r="AR20" s="334"/>
      <c r="AS20" s="18">
        <f>IFERROR((VLOOKUP(AQ20,$V$100:$AB$179,3,0)*0.01)*AV20,0)</f>
        <v>12.600000000000001</v>
      </c>
      <c r="AT20" s="18">
        <f>IFERROR((VLOOKUP(AQ20,$V$100:$AB$179,5,0)*0.01)*AV20,0)</f>
        <v>0</v>
      </c>
      <c r="AU20" s="18">
        <f>IFERROR((VLOOKUP(AQ20,$V$100:$AB$179,7,0)*0.01)*AV20,0)</f>
        <v>0</v>
      </c>
      <c r="AV20" s="18">
        <f>IFERROR($AS$17*Q89/(VLOOKUP(AQ20,$V$100:$AB$179,3,0)/100),0)</f>
        <v>28.000000000000004</v>
      </c>
      <c r="AW20" s="10"/>
      <c r="AX20" s="10"/>
      <c r="AY20" s="10"/>
      <c r="AZ20" s="10"/>
      <c r="BA20" s="10"/>
      <c r="BB20" s="10"/>
    </row>
    <row r="21" spans="2:54" ht="19.5" customHeight="1" x14ac:dyDescent="0.25">
      <c r="B21" s="254" t="s">
        <v>1</v>
      </c>
      <c r="C21" s="255">
        <f>P5</f>
        <v>5.7</v>
      </c>
      <c r="D21" s="2" t="s">
        <v>116</v>
      </c>
      <c r="E21" s="2">
        <f>P9</f>
        <v>0.01</v>
      </c>
      <c r="F21" s="2" t="s">
        <v>117</v>
      </c>
      <c r="G21" s="2">
        <f>P23</f>
        <v>10</v>
      </c>
      <c r="H21" s="2" t="s">
        <v>85</v>
      </c>
      <c r="I21" s="2">
        <f>P18</f>
        <v>0.9</v>
      </c>
      <c r="M21" s="351"/>
      <c r="N21" s="361"/>
      <c r="O21" s="211" t="s">
        <v>52</v>
      </c>
      <c r="P21" s="8">
        <v>47.5</v>
      </c>
      <c r="Q21" s="211" t="s">
        <v>23</v>
      </c>
      <c r="R21" s="26"/>
      <c r="S21" s="20"/>
      <c r="U21" s="211" t="s">
        <v>23</v>
      </c>
      <c r="V21" s="211" t="s">
        <v>25</v>
      </c>
      <c r="W21" s="211" t="s">
        <v>26</v>
      </c>
      <c r="X21" s="211" t="s">
        <v>31</v>
      </c>
      <c r="Y21" s="211" t="s">
        <v>53</v>
      </c>
      <c r="Z21" s="340" t="s">
        <v>62</v>
      </c>
      <c r="AA21" s="340"/>
      <c r="AB21" s="340"/>
      <c r="AC21" s="211" t="s">
        <v>57</v>
      </c>
      <c r="AD21" s="211" t="s">
        <v>58</v>
      </c>
      <c r="AO21" s="10"/>
      <c r="AP21" s="10"/>
      <c r="AQ21" s="10"/>
      <c r="AR21" s="10"/>
      <c r="AS21" s="48">
        <f>AS17-(SUM(AS18:AS20))</f>
        <v>0</v>
      </c>
      <c r="AT21" s="48">
        <f t="shared" ref="AT21:AU21" si="2">AT17-(SUM(AT18:AT20))</f>
        <v>0</v>
      </c>
      <c r="AU21" s="48">
        <f t="shared" si="2"/>
        <v>0</v>
      </c>
      <c r="AV21" s="48"/>
      <c r="AW21" s="10"/>
      <c r="AX21" s="10"/>
      <c r="AY21" s="10"/>
      <c r="AZ21" s="10"/>
      <c r="BA21" s="10"/>
      <c r="BB21" s="10"/>
    </row>
    <row r="22" spans="2:54" ht="19.5" customHeight="1" x14ac:dyDescent="0.25">
      <c r="B22" s="254" t="s">
        <v>81</v>
      </c>
      <c r="C22" s="255">
        <f>P6</f>
        <v>1.4</v>
      </c>
      <c r="D22" s="2" t="s">
        <v>79</v>
      </c>
      <c r="E22" s="2">
        <f>P13</f>
        <v>4</v>
      </c>
      <c r="F22" s="2" t="s">
        <v>84</v>
      </c>
      <c r="G22" s="2">
        <f>P14</f>
        <v>0.1</v>
      </c>
      <c r="H22" s="2" t="s">
        <v>86</v>
      </c>
      <c r="I22" s="2">
        <f>P19</f>
        <v>0.9</v>
      </c>
      <c r="M22" s="351"/>
      <c r="N22" s="361"/>
      <c r="O22" s="211" t="s">
        <v>20</v>
      </c>
      <c r="P22" s="8">
        <v>17.5</v>
      </c>
      <c r="Q22" s="211" t="s">
        <v>23</v>
      </c>
      <c r="R22" s="26"/>
      <c r="U22" s="211" t="s">
        <v>50</v>
      </c>
      <c r="V22" s="211" t="s">
        <v>255</v>
      </c>
      <c r="W22" s="211" t="s">
        <v>257</v>
      </c>
      <c r="X22" s="211" t="s">
        <v>258</v>
      </c>
      <c r="Y22" s="211" t="str">
        <f>IF($P$21&lt;=20,"correto","erro")</f>
        <v>erro</v>
      </c>
      <c r="Z22" s="211" t="str">
        <f>IF($P$8&lt;=0.04,"baixo","erro")</f>
        <v>erro</v>
      </c>
      <c r="AA22" s="211" t="str">
        <f>IF(AND($P$8&gt;=0.041,$P$8&lt;=0.1),"medio","erro")</f>
        <v>medio</v>
      </c>
      <c r="AB22" s="211" t="str">
        <f>IF($P$8&gt;0.101,"adequado","erro")</f>
        <v>erro</v>
      </c>
      <c r="AC22" s="211" t="str">
        <f>IF(Z22="baixo","baixo",IF(AA22="medio","medio",IF(AB22="adequado","adequado",0)))</f>
        <v>medio</v>
      </c>
      <c r="AD22" s="366" t="str">
        <f>VLOOKUP("correto",Y22:AC23,5,0)</f>
        <v>medio</v>
      </c>
      <c r="AO22" s="10"/>
      <c r="AP22" s="10"/>
      <c r="AQ22" s="10"/>
      <c r="AR22" s="10"/>
      <c r="AS22" s="10"/>
      <c r="AT22" s="10"/>
      <c r="AU22" s="10"/>
      <c r="AV22" s="10"/>
      <c r="AW22" s="10"/>
      <c r="AX22" s="10"/>
      <c r="AY22" s="10"/>
      <c r="AZ22" s="10"/>
      <c r="BA22" s="10"/>
      <c r="BB22" s="10"/>
    </row>
    <row r="23" spans="2:54" ht="19.5" customHeight="1" x14ac:dyDescent="0.25">
      <c r="B23" s="254" t="s">
        <v>82</v>
      </c>
      <c r="C23" s="255">
        <f>P7</f>
        <v>0.6</v>
      </c>
      <c r="D23" s="2" t="s">
        <v>118</v>
      </c>
      <c r="E23" s="2">
        <f>P11</f>
        <v>4.3</v>
      </c>
      <c r="F23" s="2" t="s">
        <v>87</v>
      </c>
      <c r="G23" s="2">
        <f>P16</f>
        <v>0.2</v>
      </c>
      <c r="H23" s="2" t="s">
        <v>83</v>
      </c>
      <c r="I23" s="2">
        <f>P15</f>
        <v>5.2</v>
      </c>
      <c r="M23" s="351"/>
      <c r="N23" s="361"/>
      <c r="O23" s="211" t="s">
        <v>21</v>
      </c>
      <c r="P23" s="8">
        <v>10</v>
      </c>
      <c r="Q23" s="211" t="s">
        <v>10</v>
      </c>
      <c r="R23" s="26"/>
      <c r="U23" s="211" t="s">
        <v>61</v>
      </c>
      <c r="V23" s="211" t="s">
        <v>256</v>
      </c>
      <c r="W23" s="211" t="s">
        <v>259</v>
      </c>
      <c r="X23" s="211" t="s">
        <v>260</v>
      </c>
      <c r="Y23" s="211" t="str">
        <f>IF($P$21&gt;20,"correto","erro")</f>
        <v>correto</v>
      </c>
      <c r="Z23" s="211" t="str">
        <f>IF($P$8&lt;=0.06,"baixo","erro")</f>
        <v>erro</v>
      </c>
      <c r="AA23" s="211" t="str">
        <f>IF(AND($P$8&gt;=0.061,$P$8&lt;=0.2),"medio","erro")</f>
        <v>medio</v>
      </c>
      <c r="AB23" s="211" t="str">
        <f>IF($P$8&gt;0.201,"adequado","erro")</f>
        <v>erro</v>
      </c>
      <c r="AC23" s="211" t="str">
        <f>IF(Z23="baixo","baixo",IF(AA23="medio","medio",IF(AB23="adequado","adequado",0)))</f>
        <v>medio</v>
      </c>
      <c r="AD23" s="367"/>
      <c r="AO23" s="10"/>
      <c r="AP23" s="10"/>
      <c r="AQ23" s="10"/>
      <c r="AR23" s="10"/>
      <c r="AS23" s="10"/>
      <c r="AT23" s="10"/>
      <c r="AU23" s="10"/>
      <c r="AV23" s="10"/>
      <c r="AW23" s="10"/>
      <c r="AX23" s="10"/>
      <c r="AY23" s="10"/>
      <c r="AZ23" s="10"/>
      <c r="BA23" s="10"/>
      <c r="BB23" s="10"/>
    </row>
    <row r="24" spans="2:54" ht="19.5" customHeight="1" x14ac:dyDescent="0.25">
      <c r="B24" s="254" t="s">
        <v>80</v>
      </c>
      <c r="C24" s="255">
        <f>P8</f>
        <v>0.09</v>
      </c>
      <c r="D24" s="2" t="s">
        <v>119</v>
      </c>
      <c r="E24" s="2">
        <f>P10</f>
        <v>0.3</v>
      </c>
      <c r="F24" s="2" t="s">
        <v>89</v>
      </c>
      <c r="G24" s="2">
        <f>P17</f>
        <v>45.3</v>
      </c>
      <c r="H24" s="2" t="s">
        <v>120</v>
      </c>
      <c r="I24" s="2">
        <f>P25</f>
        <v>6.3999999999999995</v>
      </c>
      <c r="M24" s="351"/>
      <c r="N24" s="361"/>
      <c r="O24" s="211" t="s">
        <v>22</v>
      </c>
      <c r="P24" s="2">
        <f>100*(P6+P7+P8+P9)/P25</f>
        <v>32.8125</v>
      </c>
      <c r="Q24" s="211" t="s">
        <v>23</v>
      </c>
      <c r="R24" s="26"/>
      <c r="AO24" s="10"/>
      <c r="AP24" s="10"/>
      <c r="AQ24" s="10"/>
      <c r="AR24" s="10"/>
      <c r="AS24" s="48">
        <f>AS26-(SUM(AS27:AS36))</f>
        <v>2.5499999999999998</v>
      </c>
      <c r="AT24" s="48">
        <f t="shared" ref="AT24:AV24" si="3">AT26-(SUM(AT27:AT36))</f>
        <v>-1.3499999999999999</v>
      </c>
      <c r="AU24" s="48">
        <f t="shared" si="3"/>
        <v>-54.15</v>
      </c>
      <c r="AV24" s="48">
        <f t="shared" si="3"/>
        <v>12.75</v>
      </c>
      <c r="AW24" s="10"/>
      <c r="AX24" s="10"/>
      <c r="AY24" s="10"/>
      <c r="AZ24" s="10"/>
      <c r="BA24" s="10"/>
      <c r="BB24" s="10"/>
    </row>
    <row r="25" spans="2:54" ht="19.5" customHeight="1" thickBot="1" x14ac:dyDescent="0.3">
      <c r="M25" s="351"/>
      <c r="N25" s="361"/>
      <c r="O25" s="211" t="s">
        <v>24</v>
      </c>
      <c r="P25" s="1">
        <f>(P6+P7+P8+P9+P11)</f>
        <v>6.3999999999999995</v>
      </c>
      <c r="Q25" s="211" t="s">
        <v>55</v>
      </c>
      <c r="R25" s="26"/>
      <c r="AO25" s="10"/>
      <c r="AP25" s="414" t="s">
        <v>239</v>
      </c>
      <c r="AQ25" s="414" t="s">
        <v>240</v>
      </c>
      <c r="AR25" s="414"/>
      <c r="AS25" s="224" t="s">
        <v>84</v>
      </c>
      <c r="AT25" s="224" t="s">
        <v>87</v>
      </c>
      <c r="AU25" s="224" t="s">
        <v>85</v>
      </c>
      <c r="AV25" s="224" t="s">
        <v>86</v>
      </c>
      <c r="AW25" s="10"/>
      <c r="AX25" s="10"/>
      <c r="AY25" s="10"/>
      <c r="AZ25" s="10"/>
      <c r="BA25" s="10"/>
      <c r="BB25" s="10"/>
    </row>
    <row r="26" spans="2:54" ht="19.5" customHeight="1" thickBot="1" x14ac:dyDescent="0.3">
      <c r="B26" s="423" t="s">
        <v>253</v>
      </c>
      <c r="C26" s="424"/>
      <c r="D26" s="424"/>
      <c r="E26" s="424"/>
      <c r="F26" s="424"/>
      <c r="G26" s="424"/>
      <c r="H26" s="424"/>
      <c r="I26" s="425"/>
      <c r="J26" s="22"/>
      <c r="M26" s="75"/>
      <c r="N26" s="217"/>
      <c r="O26" s="217"/>
      <c r="P26" s="217"/>
      <c r="Q26" s="217"/>
      <c r="R26" s="77"/>
      <c r="U26" s="344" t="s">
        <v>297</v>
      </c>
      <c r="V26" s="345"/>
      <c r="W26" s="345"/>
      <c r="X26" s="345"/>
      <c r="Y26" s="345"/>
      <c r="Z26" s="346"/>
      <c r="AO26" s="10"/>
      <c r="AP26" s="414"/>
      <c r="AQ26" s="414"/>
      <c r="AR26" s="414"/>
      <c r="AS26" s="4">
        <f>AK9</f>
        <v>3.6</v>
      </c>
      <c r="AT26" s="4">
        <f>AK12</f>
        <v>1.8</v>
      </c>
      <c r="AU26" s="4">
        <f>AK15</f>
        <v>3.6</v>
      </c>
      <c r="AV26" s="4">
        <f>AK18</f>
        <v>18</v>
      </c>
      <c r="AW26" s="10"/>
      <c r="AX26" s="10"/>
      <c r="AY26" s="10"/>
      <c r="AZ26" s="10"/>
      <c r="BA26" s="10"/>
      <c r="BB26" s="10"/>
    </row>
    <row r="27" spans="2:54" ht="19.5" customHeight="1" thickBot="1" x14ac:dyDescent="0.3">
      <c r="B27" s="415" t="str">
        <f>IF($O$47&gt;0,$O$47,"-")</f>
        <v>AGROSILICIO</v>
      </c>
      <c r="C27" s="415"/>
      <c r="D27" s="256">
        <f>IF(J27&gt;0,J27,"-")</f>
        <v>1.8854489164086685</v>
      </c>
      <c r="E27" s="397" t="str">
        <f>IF(J27&gt;0,"toneladas por hectare ou,","-")</f>
        <v>toneladas por hectare ou,</v>
      </c>
      <c r="F27" s="397"/>
      <c r="G27" s="397"/>
      <c r="H27" s="264" t="s">
        <v>549</v>
      </c>
      <c r="I27" s="264">
        <f>D27*1000*VLOOKUP(B27,$V$56:$W$68,2,0)*$O$34</f>
        <v>1055.8513931888544</v>
      </c>
      <c r="J27" s="65">
        <f>V51</f>
        <v>1.8854489164086685</v>
      </c>
      <c r="U27" s="211" t="s">
        <v>281</v>
      </c>
      <c r="V27" s="211" t="s">
        <v>298</v>
      </c>
      <c r="W27" s="211" t="s">
        <v>75</v>
      </c>
      <c r="X27" s="211" t="s">
        <v>71</v>
      </c>
      <c r="Y27" s="211" t="s">
        <v>299</v>
      </c>
      <c r="Z27" s="211" t="s">
        <v>300</v>
      </c>
      <c r="AO27" s="10"/>
      <c r="AP27" s="334" t="s">
        <v>242</v>
      </c>
      <c r="AQ27" s="334" t="str">
        <f>B30</f>
        <v>Micaxisto (61) 3233-9368</v>
      </c>
      <c r="AR27" s="334"/>
      <c r="AS27" s="18">
        <f t="shared" ref="AS27:AS36" si="4">IFERROR(VLOOKUP(AQ27,$V$100:$AL$179,11,0)*0.01*VLOOKUP(AQ27,$B$27:$J$52,9,0),0)</f>
        <v>0</v>
      </c>
      <c r="AT27" s="18">
        <f t="shared" ref="AT27:AT36" si="5">IFERROR(VLOOKUP(AQ27,$V$100:$AL$179,12,0)*0.01*VLOOKUP(AQ27,$B$27:$J$52,9,0),0)</f>
        <v>0</v>
      </c>
      <c r="AU27" s="18">
        <f t="shared" ref="AU27:AU36" si="6">IFERROR(VLOOKUP(AQ27,$V$100:$AL$179,13,0)*0.01*VLOOKUP(AQ27,$B$27:$J$52,9,0),0)</f>
        <v>0</v>
      </c>
      <c r="AV27" s="18">
        <f t="shared" ref="AV27:AV36" si="7">IFERROR(VLOOKUP(AQ27,$V$100:$AL$179,14,0)*0.01*VLOOKUP(AQ27,$B$27:$J$52,9,0),0)</f>
        <v>0</v>
      </c>
      <c r="AW27" s="10"/>
      <c r="AX27" s="10"/>
      <c r="AY27" s="10"/>
      <c r="AZ27" s="10"/>
      <c r="BA27" s="10"/>
      <c r="BB27" s="10"/>
    </row>
    <row r="28" spans="2:54" ht="19.5" customHeight="1" x14ac:dyDescent="0.25">
      <c r="B28" s="415"/>
      <c r="C28" s="415"/>
      <c r="D28" s="257">
        <f>IF(J28&gt;0,J28,"-")</f>
        <v>0.18854489164086685</v>
      </c>
      <c r="E28" s="352" t="str">
        <f>IF(J28&gt;0,"gramas por metro quadrado","-")</f>
        <v>gramas por metro quadrado</v>
      </c>
      <c r="F28" s="352"/>
      <c r="G28" s="352"/>
      <c r="H28" s="265" t="s">
        <v>520</v>
      </c>
      <c r="I28" s="265">
        <f>I27/$E$18</f>
        <v>3.801065015479876</v>
      </c>
      <c r="J28" s="65">
        <f>J27/10</f>
        <v>0.18854489164086685</v>
      </c>
      <c r="M28" s="72"/>
      <c r="N28" s="218"/>
      <c r="O28" s="218"/>
      <c r="P28" s="218"/>
      <c r="Q28" s="218"/>
      <c r="R28" s="74"/>
      <c r="U28" s="211" t="s">
        <v>276</v>
      </c>
      <c r="V28" s="211">
        <v>35000</v>
      </c>
      <c r="W28" s="211" t="s">
        <v>68</v>
      </c>
      <c r="X28" s="211" t="str">
        <f>CONCATENATE(U28," - ",W28)</f>
        <v>&lt; 6 - baixo</v>
      </c>
      <c r="Y28" s="211">
        <v>30000</v>
      </c>
      <c r="Z28" s="211">
        <v>60000</v>
      </c>
      <c r="AE28" s="210" t="s">
        <v>63</v>
      </c>
      <c r="AG28" s="211" t="s">
        <v>63</v>
      </c>
      <c r="AI28" s="30" t="s">
        <v>63</v>
      </c>
      <c r="AK28" s="30" t="s">
        <v>63</v>
      </c>
      <c r="AL28" s="247" t="s">
        <v>77</v>
      </c>
      <c r="AO28" s="10"/>
      <c r="AP28" s="334"/>
      <c r="AQ28" s="334" t="str">
        <f>B48</f>
        <v>Superfosfato simples</v>
      </c>
      <c r="AR28" s="334"/>
      <c r="AS28" s="18">
        <f t="shared" si="4"/>
        <v>0</v>
      </c>
      <c r="AT28" s="18">
        <f t="shared" si="5"/>
        <v>0</v>
      </c>
      <c r="AU28" s="18">
        <f t="shared" si="6"/>
        <v>0</v>
      </c>
      <c r="AV28" s="18">
        <f t="shared" si="7"/>
        <v>0</v>
      </c>
      <c r="AW28" s="10"/>
      <c r="AX28" s="10"/>
      <c r="AY28" s="10"/>
      <c r="AZ28" s="10"/>
      <c r="BA28" s="10"/>
      <c r="BB28" s="10"/>
    </row>
    <row r="29" spans="2:54" ht="19.5" customHeight="1" x14ac:dyDescent="0.25">
      <c r="D29" s="257"/>
      <c r="E29" s="352"/>
      <c r="F29" s="352"/>
      <c r="G29" s="352"/>
      <c r="H29" s="434"/>
      <c r="I29" s="434"/>
      <c r="J29" s="22"/>
      <c r="M29" s="351" t="s">
        <v>194</v>
      </c>
      <c r="N29" s="361"/>
      <c r="O29" s="347" t="s">
        <v>497</v>
      </c>
      <c r="P29" s="348"/>
      <c r="Q29" s="349"/>
      <c r="R29" s="26"/>
      <c r="U29" s="211" t="s">
        <v>276</v>
      </c>
      <c r="V29" s="211">
        <v>35000</v>
      </c>
      <c r="W29" s="211" t="s">
        <v>69</v>
      </c>
      <c r="X29" s="211" t="str">
        <f t="shared" ref="X29:X42" si="8">CONCATENATE(U29," - ",W29)</f>
        <v>&lt; 6 - medio</v>
      </c>
      <c r="Y29" s="211">
        <v>20000</v>
      </c>
      <c r="Z29" s="211">
        <v>40000</v>
      </c>
      <c r="AB29" s="413" t="s">
        <v>65</v>
      </c>
      <c r="AC29" s="413"/>
      <c r="AE29" s="210" t="s">
        <v>281</v>
      </c>
      <c r="AG29" s="211" t="s">
        <v>174</v>
      </c>
      <c r="AI29" s="30"/>
      <c r="AK29" s="230" t="str">
        <f>'Adubos e corretivos'!E120</f>
        <v>Composto de lixo (COL)</v>
      </c>
      <c r="AL29" s="268">
        <f>'Adubos e corretivos'!F120</f>
        <v>0.15</v>
      </c>
      <c r="AO29" s="10"/>
      <c r="AP29" s="334"/>
      <c r="AQ29" s="334" t="str">
        <f>B51</f>
        <v>Termofosfato YOORIN</v>
      </c>
      <c r="AR29" s="334"/>
      <c r="AS29" s="18">
        <f t="shared" si="4"/>
        <v>1.05</v>
      </c>
      <c r="AT29" s="18">
        <f t="shared" si="5"/>
        <v>3.15</v>
      </c>
      <c r="AU29" s="18">
        <f t="shared" si="6"/>
        <v>57.75</v>
      </c>
      <c r="AV29" s="18">
        <f t="shared" si="7"/>
        <v>5.25</v>
      </c>
      <c r="AW29" s="10"/>
      <c r="AX29" s="10"/>
      <c r="AY29" s="10"/>
      <c r="AZ29" s="10"/>
      <c r="BA29" s="10"/>
      <c r="BB29" s="10"/>
    </row>
    <row r="30" spans="2:54" ht="19.5" customHeight="1" x14ac:dyDescent="0.25">
      <c r="B30" s="415" t="str">
        <f>IF($O$50&gt;0,$O$50,"-")</f>
        <v>Micaxisto (61) 3233-9368</v>
      </c>
      <c r="C30" s="415"/>
      <c r="D30" s="256">
        <f>IF(J30&gt;0,J30,"-")</f>
        <v>5.3559265105201792</v>
      </c>
      <c r="E30" s="352" t="str">
        <f>IF(J30&gt;0,"toneladas por hectare ou,","-")</f>
        <v>toneladas por hectare ou,</v>
      </c>
      <c r="F30" s="352"/>
      <c r="G30" s="352"/>
      <c r="H30" s="265" t="s">
        <v>549</v>
      </c>
      <c r="I30" s="265">
        <f>D30*1000*VLOOKUP(B30,$V$87:$W$95,2,0)*$O$34</f>
        <v>642.71118126242152</v>
      </c>
      <c r="J30" s="65">
        <f>Z49</f>
        <v>5.3559265105201792</v>
      </c>
      <c r="M30" s="351"/>
      <c r="N30" s="361"/>
      <c r="O30" s="8">
        <v>6</v>
      </c>
      <c r="P30" s="7" t="s">
        <v>186</v>
      </c>
      <c r="Q30" s="8">
        <v>6</v>
      </c>
      <c r="R30" s="26"/>
      <c r="U30" s="211" t="s">
        <v>276</v>
      </c>
      <c r="V30" s="211">
        <v>35000</v>
      </c>
      <c r="W30" s="211" t="s">
        <v>70</v>
      </c>
      <c r="X30" s="211" t="str">
        <f t="shared" si="8"/>
        <v>&lt; 6 - adequado</v>
      </c>
      <c r="Y30" s="211">
        <v>0</v>
      </c>
      <c r="Z30" s="211">
        <v>30000</v>
      </c>
      <c r="AB30" s="223" t="s">
        <v>33</v>
      </c>
      <c r="AC30" s="223">
        <f>VLOOKUP($P$39,$U$28:$V$42,2,0)/$E$18</f>
        <v>126</v>
      </c>
      <c r="AE30" s="210" t="s">
        <v>34</v>
      </c>
      <c r="AG30" s="211" t="s">
        <v>175</v>
      </c>
      <c r="AI30" s="30">
        <v>0</v>
      </c>
      <c r="AK30" s="234" t="str">
        <f>'Adubos e corretivos'!E121</f>
        <v>Cama de frango corte</v>
      </c>
      <c r="AL30" s="269">
        <f>'Adubos e corretivos'!F121</f>
        <v>0.25</v>
      </c>
      <c r="AO30" s="10"/>
      <c r="AP30" s="334"/>
      <c r="AQ30" s="334" t="str">
        <f>B54</f>
        <v>Superfosfato triplo</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15"/>
      <c r="C31" s="415"/>
      <c r="D31" s="257">
        <f>IF(J31&gt;0,J31,"-")</f>
        <v>0.53559265105201792</v>
      </c>
      <c r="E31" s="352" t="str">
        <f>IF(J31&gt;0,"gramas por metro quadrado","-")</f>
        <v>gramas por metro quadrado</v>
      </c>
      <c r="F31" s="352"/>
      <c r="G31" s="352"/>
      <c r="H31" s="265" t="s">
        <v>520</v>
      </c>
      <c r="I31" s="265">
        <f>I30/E18</f>
        <v>2.3137602525447174</v>
      </c>
      <c r="J31" s="65">
        <f>J30/10</f>
        <v>0.53559265105201792</v>
      </c>
      <c r="M31" s="351"/>
      <c r="N31" s="361"/>
      <c r="O31" s="347" t="s">
        <v>498</v>
      </c>
      <c r="P31" s="348"/>
      <c r="Q31" s="349"/>
      <c r="R31" s="26"/>
      <c r="U31" s="211" t="s">
        <v>277</v>
      </c>
      <c r="V31" s="211">
        <v>55000</v>
      </c>
      <c r="W31" s="211" t="s">
        <v>68</v>
      </c>
      <c r="X31" s="211" t="str">
        <f t="shared" si="8"/>
        <v>6,1 - 12 - baixo</v>
      </c>
      <c r="Y31" s="211">
        <v>50000</v>
      </c>
      <c r="Z31" s="211">
        <v>95000</v>
      </c>
      <c r="AB31" s="223" t="s">
        <v>66</v>
      </c>
      <c r="AC31" s="223">
        <f>VLOOKUP(AB36,X28:Z42,2,0)/$E$18</f>
        <v>108</v>
      </c>
      <c r="AE31" s="210" t="s">
        <v>276</v>
      </c>
      <c r="AG31" s="31" t="e">
        <f>10000/((($O$32/2)+($P$32/2))*$Q$32)</f>
        <v>#DIV/0!</v>
      </c>
      <c r="AI31" s="30">
        <v>0.1</v>
      </c>
      <c r="AK31" s="230" t="str">
        <f>'Adubos e corretivos'!E122</f>
        <v>Esterco de galinha</v>
      </c>
      <c r="AL31" s="268">
        <f>'Adubos e corretivos'!F122</f>
        <v>0.25</v>
      </c>
      <c r="AO31" s="10"/>
      <c r="AP31" s="334"/>
      <c r="AQ31" s="334" t="str">
        <f>B57</f>
        <v>Cloreto de potássio</v>
      </c>
      <c r="AR31" s="334"/>
      <c r="AS31" s="18">
        <f t="shared" si="4"/>
        <v>0</v>
      </c>
      <c r="AT31" s="18">
        <f t="shared" si="5"/>
        <v>0</v>
      </c>
      <c r="AU31" s="18">
        <f t="shared" si="6"/>
        <v>0</v>
      </c>
      <c r="AV31" s="18">
        <f t="shared" si="7"/>
        <v>0</v>
      </c>
      <c r="AW31" s="10"/>
      <c r="AX31" s="10"/>
      <c r="AY31" s="10"/>
      <c r="AZ31" s="10"/>
      <c r="BA31" s="10"/>
      <c r="BB31" s="10"/>
    </row>
    <row r="32" spans="2:54" ht="19.5" customHeight="1" x14ac:dyDescent="0.25">
      <c r="M32" s="351"/>
      <c r="N32" s="361"/>
      <c r="O32" s="8"/>
      <c r="P32" s="8"/>
      <c r="Q32" s="8"/>
      <c r="R32" s="26"/>
      <c r="U32" s="211" t="s">
        <v>277</v>
      </c>
      <c r="V32" s="211">
        <v>55000</v>
      </c>
      <c r="W32" s="211" t="s">
        <v>69</v>
      </c>
      <c r="X32" s="211" t="str">
        <f t="shared" si="8"/>
        <v>6,1 - 12 - medio</v>
      </c>
      <c r="Y32" s="211">
        <v>30000</v>
      </c>
      <c r="Z32" s="211">
        <v>60000</v>
      </c>
      <c r="AB32" s="223" t="s">
        <v>67</v>
      </c>
      <c r="AC32" s="223">
        <f>VLOOKUP($AB$39,X28:Z42,3,0)/$E$18</f>
        <v>144</v>
      </c>
      <c r="AE32" s="210" t="s">
        <v>277</v>
      </c>
      <c r="AI32" s="30">
        <v>0.2</v>
      </c>
      <c r="AK32" s="234" t="str">
        <f>'Adubos e corretivos'!E123</f>
        <v>Esterco Bovino curtido</v>
      </c>
      <c r="AL32" s="269">
        <f>'Adubos e corretivos'!F123</f>
        <v>0.25</v>
      </c>
      <c r="AO32" s="10"/>
      <c r="AP32" s="334"/>
      <c r="AQ32" s="334" t="str">
        <f>B60</f>
        <v>Kmag</v>
      </c>
      <c r="AR32" s="334"/>
      <c r="AS32" s="18">
        <f t="shared" si="4"/>
        <v>0</v>
      </c>
      <c r="AT32" s="18">
        <f t="shared" si="5"/>
        <v>0</v>
      </c>
      <c r="AU32" s="18">
        <f t="shared" si="6"/>
        <v>0</v>
      </c>
      <c r="AV32" s="18">
        <f t="shared" si="7"/>
        <v>0</v>
      </c>
      <c r="AW32" s="10"/>
      <c r="AX32" s="10"/>
      <c r="AY32" s="10"/>
      <c r="AZ32" s="10"/>
      <c r="BA32" s="10"/>
      <c r="BB32" s="10"/>
    </row>
    <row r="33" spans="2:57" ht="19.5" customHeight="1" x14ac:dyDescent="0.25">
      <c r="B33" s="426" t="s">
        <v>504</v>
      </c>
      <c r="C33" s="426"/>
      <c r="D33" s="426"/>
      <c r="E33" s="426"/>
      <c r="F33" s="426"/>
      <c r="G33" s="426"/>
      <c r="H33" s="426"/>
      <c r="I33" s="426"/>
      <c r="M33" s="351"/>
      <c r="N33" s="361"/>
      <c r="O33" s="347" t="s">
        <v>519</v>
      </c>
      <c r="P33" s="348"/>
      <c r="Q33" s="349"/>
      <c r="R33" s="26"/>
      <c r="U33" s="211" t="s">
        <v>277</v>
      </c>
      <c r="V33" s="211">
        <v>55000</v>
      </c>
      <c r="W33" s="211" t="s">
        <v>70</v>
      </c>
      <c r="X33" s="211" t="str">
        <f t="shared" si="8"/>
        <v>6,1 - 12 - adequado</v>
      </c>
      <c r="Y33" s="211">
        <v>0</v>
      </c>
      <c r="Z33" s="211">
        <v>40000</v>
      </c>
      <c r="AE33" s="210" t="s">
        <v>278</v>
      </c>
      <c r="AI33" s="30">
        <v>0.3</v>
      </c>
      <c r="AK33" s="230" t="str">
        <f>'Adubos e corretivos'!E124</f>
        <v>Esterco de equino</v>
      </c>
      <c r="AL33" s="268">
        <f>'Adubos e corretivos'!F124</f>
        <v>0.12</v>
      </c>
      <c r="AO33" s="10"/>
      <c r="AP33" s="334"/>
      <c r="AQ33" s="334" t="str">
        <f>B63</f>
        <v>Sulfato de potássio</v>
      </c>
      <c r="AR33" s="334"/>
      <c r="AS33" s="18">
        <f t="shared" si="4"/>
        <v>0</v>
      </c>
      <c r="AT33" s="18">
        <f t="shared" si="5"/>
        <v>0</v>
      </c>
      <c r="AU33" s="18">
        <f t="shared" si="6"/>
        <v>0</v>
      </c>
      <c r="AV33" s="18">
        <f t="shared" si="7"/>
        <v>0</v>
      </c>
      <c r="AW33" s="10"/>
      <c r="AX33" s="10"/>
      <c r="AY33" s="10"/>
      <c r="AZ33" s="10"/>
      <c r="BA33" s="10"/>
      <c r="BB33" s="10"/>
    </row>
    <row r="34" spans="2:57" ht="19.5" customHeight="1" x14ac:dyDescent="0.25">
      <c r="B34" s="426"/>
      <c r="C34" s="426"/>
      <c r="D34" s="426"/>
      <c r="E34" s="426"/>
      <c r="F34" s="426"/>
      <c r="G34" s="426"/>
      <c r="H34" s="426"/>
      <c r="I34" s="426"/>
      <c r="J34" s="68"/>
      <c r="K34" s="68"/>
      <c r="M34" s="351"/>
      <c r="N34" s="361"/>
      <c r="O34" s="341">
        <v>1</v>
      </c>
      <c r="P34" s="341"/>
      <c r="Q34" s="341"/>
      <c r="R34" s="26"/>
      <c r="U34" s="211" t="s">
        <v>278</v>
      </c>
      <c r="V34" s="211">
        <v>100000</v>
      </c>
      <c r="W34" s="211" t="s">
        <v>68</v>
      </c>
      <c r="X34" s="211" t="str">
        <f t="shared" si="8"/>
        <v>12,1 - 20 - baixo</v>
      </c>
      <c r="Y34" s="211">
        <v>90000</v>
      </c>
      <c r="Z34" s="211">
        <v>150000</v>
      </c>
      <c r="AE34" s="210" t="s">
        <v>279</v>
      </c>
      <c r="AI34" s="30">
        <v>0.4</v>
      </c>
      <c r="AK34" s="234" t="str">
        <f>'Adubos e corretivos'!E125</f>
        <v>Esterco de suínos</v>
      </c>
      <c r="AL34" s="269">
        <f>'Adubos e corretivos'!F125</f>
        <v>0.04</v>
      </c>
      <c r="AO34" s="10"/>
      <c r="AP34" s="334"/>
      <c r="AQ34" s="334" t="str">
        <f>B66</f>
        <v>Uréia</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426"/>
      <c r="C35" s="426"/>
      <c r="D35" s="426"/>
      <c r="E35" s="426"/>
      <c r="F35" s="426"/>
      <c r="G35" s="426"/>
      <c r="H35" s="426"/>
      <c r="I35" s="426"/>
      <c r="J35" s="68"/>
      <c r="K35" s="68"/>
      <c r="M35" s="75"/>
      <c r="N35" s="217"/>
      <c r="O35" s="266">
        <f>IFERROR(IF(ISERR(P35),Q35,IF(ISERR(Q35),P35)),"-")</f>
        <v>277.77777777777777</v>
      </c>
      <c r="P35" s="32">
        <f>10000/($O$30*$Q$30)</f>
        <v>277.77777777777777</v>
      </c>
      <c r="Q35" s="32" t="e">
        <f>10000/((($O$32/2)+($P$32/2))*$Q$32)</f>
        <v>#DIV/0!</v>
      </c>
      <c r="R35" s="77"/>
      <c r="U35" s="211" t="s">
        <v>278</v>
      </c>
      <c r="V35" s="211">
        <v>100000</v>
      </c>
      <c r="W35" s="211" t="s">
        <v>69</v>
      </c>
      <c r="X35" s="211" t="str">
        <f t="shared" si="8"/>
        <v>12,1 - 20 - medio</v>
      </c>
      <c r="Y35" s="211">
        <v>60000</v>
      </c>
      <c r="Z35" s="211">
        <v>100000</v>
      </c>
      <c r="AB35" s="340" t="s">
        <v>72</v>
      </c>
      <c r="AC35" s="340"/>
      <c r="AE35" s="210" t="s">
        <v>280</v>
      </c>
      <c r="AI35" s="30">
        <v>0.5</v>
      </c>
      <c r="AK35" s="230" t="str">
        <f>'Adubos e corretivos'!E126</f>
        <v>Esterco de ovinos</v>
      </c>
      <c r="AL35" s="268">
        <f>'Adubos e corretivos'!F126</f>
        <v>0.04</v>
      </c>
      <c r="AO35" s="10"/>
      <c r="AP35" s="334"/>
      <c r="AQ35" s="334" t="str">
        <f>B69</f>
        <v>Torta de mamona Hortibraz</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J36" s="22"/>
      <c r="K36" s="68"/>
      <c r="M36" s="396"/>
      <c r="N36" s="396"/>
      <c r="O36" s="396"/>
      <c r="P36" s="396"/>
      <c r="Q36" s="396"/>
      <c r="R36" s="396"/>
      <c r="U36" s="211" t="s">
        <v>278</v>
      </c>
      <c r="V36" s="211">
        <v>100000</v>
      </c>
      <c r="W36" s="211" t="s">
        <v>70</v>
      </c>
      <c r="X36" s="211" t="str">
        <f t="shared" si="8"/>
        <v>12,1 - 20 - adequado</v>
      </c>
      <c r="Y36" s="211">
        <v>15000</v>
      </c>
      <c r="Z36" s="211">
        <v>70000</v>
      </c>
      <c r="AB36" s="340" t="str">
        <f>CONCATENATE($P$39," - ",$AD$8)</f>
        <v>&lt; 6 - baixo</v>
      </c>
      <c r="AC36" s="340"/>
      <c r="AI36" s="30">
        <v>0.6</v>
      </c>
      <c r="AK36" s="234" t="str">
        <f>'Adubos e corretivos'!E127</f>
        <v>Lodo de esgosto</v>
      </c>
      <c r="AL36" s="269">
        <f>'Adubos e corretivos'!F127</f>
        <v>0.1</v>
      </c>
      <c r="AO36" s="10"/>
      <c r="AP36" s="334"/>
      <c r="AQ36" s="334" t="str">
        <f>B72</f>
        <v>Uréia</v>
      </c>
      <c r="AR36" s="334"/>
      <c r="AS36" s="18">
        <f t="shared" si="4"/>
        <v>0</v>
      </c>
      <c r="AT36" s="18">
        <f t="shared" si="5"/>
        <v>0</v>
      </c>
      <c r="AU36" s="18">
        <f t="shared" si="6"/>
        <v>0</v>
      </c>
      <c r="AV36" s="18">
        <f t="shared" si="7"/>
        <v>0</v>
      </c>
      <c r="AW36" s="10"/>
      <c r="AX36" s="10"/>
      <c r="AY36" s="10"/>
      <c r="AZ36" s="10"/>
      <c r="BA36" s="10"/>
      <c r="BB36" s="10"/>
    </row>
    <row r="37" spans="2:57" ht="19.5" customHeight="1" thickBot="1" x14ac:dyDescent="0.3">
      <c r="B37" s="423" t="s">
        <v>169</v>
      </c>
      <c r="C37" s="424"/>
      <c r="D37" s="424"/>
      <c r="E37" s="424"/>
      <c r="F37" s="424"/>
      <c r="G37" s="424"/>
      <c r="H37" s="424"/>
      <c r="I37" s="425"/>
      <c r="J37" s="22"/>
      <c r="K37" s="68"/>
      <c r="M37" s="72"/>
      <c r="N37" s="218"/>
      <c r="O37" s="218"/>
      <c r="P37" s="218"/>
      <c r="Q37" s="218"/>
      <c r="R37" s="74"/>
      <c r="U37" s="211" t="s">
        <v>279</v>
      </c>
      <c r="V37" s="211">
        <v>150000</v>
      </c>
      <c r="W37" s="211" t="s">
        <v>68</v>
      </c>
      <c r="X37" s="211" t="str">
        <f t="shared" si="8"/>
        <v>20,1 - 30 - baixo</v>
      </c>
      <c r="Y37" s="211">
        <v>130000</v>
      </c>
      <c r="Z37" s="211">
        <v>210000</v>
      </c>
      <c r="AI37" s="30">
        <v>0.7</v>
      </c>
      <c r="AK37" s="230" t="str">
        <f>'Adubos e corretivos'!E128</f>
        <v>Compostos orgânicos</v>
      </c>
      <c r="AL37" s="268">
        <f>'Adubos e corretivos'!F128</f>
        <v>0.7</v>
      </c>
      <c r="AO37" s="49"/>
      <c r="AP37" s="49"/>
      <c r="AQ37" s="49"/>
      <c r="AR37" s="49"/>
      <c r="AS37" s="48">
        <f>IF(AS24&gt;0,AS24,0)</f>
        <v>2.5499999999999998</v>
      </c>
      <c r="AT37" s="48">
        <f>IF(AT24&gt;0,AT24,0)</f>
        <v>0</v>
      </c>
      <c r="AU37" s="48">
        <f>IF(AU24&gt;0,AU24,0)</f>
        <v>0</v>
      </c>
      <c r="AV37" s="48">
        <f>IF(AV24&gt;0,AV24,0)</f>
        <v>12.75</v>
      </c>
      <c r="AW37" s="10"/>
      <c r="AX37" s="10"/>
      <c r="AY37" s="10"/>
      <c r="AZ37" s="10"/>
      <c r="BA37" s="10"/>
      <c r="BB37" s="10"/>
    </row>
    <row r="38" spans="2:57" ht="19.5" customHeight="1" x14ac:dyDescent="0.25">
      <c r="B38" s="415" t="str">
        <f>IF($O$56&gt;0,$O$56,"-")</f>
        <v>Gesso Agronelli</v>
      </c>
      <c r="C38" s="415"/>
      <c r="D38" s="270">
        <f>IF(J38&gt;0,J38,"-")</f>
        <v>356.25</v>
      </c>
      <c r="E38" s="397" t="str">
        <f>IF(J38&gt;0,"quilos por hectare ou,","-")</f>
        <v>quilos por hectare ou,</v>
      </c>
      <c r="F38" s="397"/>
      <c r="G38" s="397"/>
      <c r="H38" s="264" t="s">
        <v>549</v>
      </c>
      <c r="I38" s="264">
        <f>D38*VLOOKUP(B38,$V$73:$W$82,2,0)*$O$34</f>
        <v>270.75</v>
      </c>
      <c r="J38" s="66">
        <f>IF(O60="Não",P21*7.5, AE46)</f>
        <v>356.25</v>
      </c>
      <c r="K38" s="68"/>
      <c r="M38" s="351" t="s">
        <v>195</v>
      </c>
      <c r="N38" s="352"/>
      <c r="O38" s="342" t="s">
        <v>282</v>
      </c>
      <c r="P38" s="342"/>
      <c r="Q38" s="342"/>
      <c r="R38" s="26"/>
      <c r="U38" s="211" t="s">
        <v>279</v>
      </c>
      <c r="V38" s="211">
        <v>150000</v>
      </c>
      <c r="W38" s="211" t="s">
        <v>69</v>
      </c>
      <c r="X38" s="211" t="str">
        <f t="shared" si="8"/>
        <v>20,1 - 30 - medio</v>
      </c>
      <c r="Y38" s="211">
        <v>90000</v>
      </c>
      <c r="Z38" s="211">
        <v>140000</v>
      </c>
      <c r="AB38" s="340" t="s">
        <v>73</v>
      </c>
      <c r="AC38" s="340"/>
      <c r="AI38" s="30">
        <v>0.8</v>
      </c>
      <c r="AO38" s="10"/>
      <c r="AP38" s="10"/>
      <c r="AQ38" s="10"/>
      <c r="AR38" s="10"/>
      <c r="AS38" s="10"/>
      <c r="AT38" s="10"/>
      <c r="AU38" s="10"/>
      <c r="AV38" s="10"/>
      <c r="AW38" s="10"/>
      <c r="AX38" s="10"/>
      <c r="AY38" s="10"/>
      <c r="AZ38" s="10"/>
      <c r="BA38" s="10"/>
      <c r="BB38" s="10"/>
    </row>
    <row r="39" spans="2:57" ht="19.5" customHeight="1" x14ac:dyDescent="0.25">
      <c r="B39" s="415"/>
      <c r="C39" s="415"/>
      <c r="D39" s="270">
        <f>IF(J39&gt;0,J39,"-")</f>
        <v>35.625</v>
      </c>
      <c r="E39" s="352" t="str">
        <f>IF(J39&gt;0,"gramas por metro quadrado","-")</f>
        <v>gramas por metro quadrado</v>
      </c>
      <c r="F39" s="352"/>
      <c r="G39" s="352"/>
      <c r="H39" s="265" t="s">
        <v>548</v>
      </c>
      <c r="I39" s="265">
        <f>I38/$E$18</f>
        <v>0.97470000000000001</v>
      </c>
      <c r="J39" s="66">
        <f>J38/10</f>
        <v>35.625</v>
      </c>
      <c r="K39" s="68"/>
      <c r="M39" s="351"/>
      <c r="N39" s="352"/>
      <c r="O39" s="211" t="s">
        <v>284</v>
      </c>
      <c r="P39" s="341" t="s">
        <v>276</v>
      </c>
      <c r="Q39" s="341"/>
      <c r="R39" s="26"/>
      <c r="U39" s="211" t="s">
        <v>279</v>
      </c>
      <c r="V39" s="211">
        <v>150000</v>
      </c>
      <c r="W39" s="211" t="s">
        <v>70</v>
      </c>
      <c r="X39" s="211" t="str">
        <f t="shared" si="8"/>
        <v>20,1 - 30 - adequado</v>
      </c>
      <c r="Y39" s="211">
        <v>20000</v>
      </c>
      <c r="Z39" s="211">
        <v>100000</v>
      </c>
      <c r="AB39" s="340" t="str">
        <f>CONCATENATE($P$39," - ",$AD$22)</f>
        <v>&lt; 6 - medio</v>
      </c>
      <c r="AC39" s="340"/>
      <c r="AI39" s="30">
        <v>0.9</v>
      </c>
      <c r="AO39" s="10"/>
      <c r="AP39" s="334" t="s">
        <v>242</v>
      </c>
      <c r="AQ39" s="334"/>
      <c r="AR39" s="208" t="s">
        <v>84</v>
      </c>
      <c r="AS39" s="208" t="s">
        <v>87</v>
      </c>
      <c r="AT39" s="208" t="s">
        <v>85</v>
      </c>
      <c r="AU39" s="208" t="s">
        <v>86</v>
      </c>
      <c r="AV39" s="208" t="s">
        <v>207</v>
      </c>
      <c r="AW39" s="208" t="s">
        <v>84</v>
      </c>
      <c r="AX39" s="208" t="s">
        <v>87</v>
      </c>
      <c r="AY39" s="208" t="s">
        <v>85</v>
      </c>
      <c r="AZ39" s="208" t="s">
        <v>86</v>
      </c>
      <c r="BA39" s="10"/>
      <c r="BB39" s="10"/>
    </row>
    <row r="40" spans="2:57" ht="19.5" customHeight="1" x14ac:dyDescent="0.25">
      <c r="J40" s="22"/>
      <c r="K40" s="68"/>
      <c r="M40" s="351"/>
      <c r="N40" s="352"/>
      <c r="O40" s="215"/>
      <c r="P40" s="215"/>
      <c r="Q40" s="215"/>
      <c r="R40" s="26"/>
      <c r="U40" s="251" t="s">
        <v>280</v>
      </c>
      <c r="V40" s="211">
        <v>200000</v>
      </c>
      <c r="W40" s="211" t="s">
        <v>68</v>
      </c>
      <c r="X40" s="211" t="str">
        <f t="shared" si="8"/>
        <v>&gt; 30,1 - baixo</v>
      </c>
      <c r="Y40" s="211">
        <v>170000</v>
      </c>
      <c r="Z40" s="211">
        <v>270000</v>
      </c>
      <c r="AI40" s="30">
        <v>1</v>
      </c>
      <c r="AO40" s="10"/>
      <c r="AP40" s="334" t="str">
        <f>O102</f>
        <v>Ácido Bórico</v>
      </c>
      <c r="AQ40" s="334"/>
      <c r="AR40" s="18">
        <f>IFERROR($AS$37/((VLOOKUP(AP40,$V$100:$AO$179,11,0)*0.01)),0)</f>
        <v>14.571428571428569</v>
      </c>
      <c r="AS40" s="18">
        <f>IFERROR($AT$37/((VLOOKUP(AP40,$V$100:$AO$179,14,0)*0.01)),0)</f>
        <v>0</v>
      </c>
      <c r="AT40" s="18">
        <f>IFERROR($AU$37/((VLOOKUP(AP40,$V$100:$AO$179,12,0)*0.01)),0)</f>
        <v>0</v>
      </c>
      <c r="AU40" s="18">
        <f>IFERROR($AV$37/((VLOOKUP(AP40,$V$100:$AO$179,13,0)*0.01)),0)</f>
        <v>0</v>
      </c>
      <c r="AV40" s="18">
        <f>MAX(AR40:AU40)</f>
        <v>14.571428571428569</v>
      </c>
      <c r="AW40" s="18">
        <f>IFERROR(AV40*(VLOOKUP(AP40,$V$100:$AO$179,11,0)*0.01),0)</f>
        <v>2.5499999999999998</v>
      </c>
      <c r="AX40" s="18">
        <f>IFERROR(AV40*(VLOOKUP(AP40,$V$100:$AO$179,14,0)*0.01),0)</f>
        <v>0</v>
      </c>
      <c r="AY40" s="18">
        <f>IFERROR(AV40*(VLOOKUP(AP40,$V$100:$AO$179,12,0)*0.01),0)</f>
        <v>0</v>
      </c>
      <c r="AZ40" s="18">
        <f>IFERROR(AV40*(VLOOKUP(AP40,$V$100:$AO$179,13,0)*0.01),0)</f>
        <v>0</v>
      </c>
      <c r="BA40" s="10"/>
      <c r="BB40" s="10"/>
    </row>
    <row r="41" spans="2:57" ht="19.5" customHeight="1" x14ac:dyDescent="0.25">
      <c r="B41" s="426" t="s">
        <v>505</v>
      </c>
      <c r="C41" s="426"/>
      <c r="D41" s="426"/>
      <c r="E41" s="426"/>
      <c r="F41" s="426"/>
      <c r="G41" s="426"/>
      <c r="H41" s="426"/>
      <c r="I41" s="426"/>
      <c r="J41" s="22"/>
      <c r="K41" s="68"/>
      <c r="M41" s="351"/>
      <c r="N41" s="352"/>
      <c r="O41" s="342" t="s">
        <v>289</v>
      </c>
      <c r="P41" s="342"/>
      <c r="Q41" s="342"/>
      <c r="R41" s="26"/>
      <c r="U41" s="251" t="s">
        <v>280</v>
      </c>
      <c r="V41" s="211">
        <v>200000</v>
      </c>
      <c r="W41" s="211" t="s">
        <v>69</v>
      </c>
      <c r="X41" s="211" t="str">
        <f t="shared" si="8"/>
        <v>&gt; 30,1 - medio</v>
      </c>
      <c r="Y41" s="211">
        <v>120000</v>
      </c>
      <c r="Z41" s="211">
        <v>180000</v>
      </c>
      <c r="AO41" s="10"/>
      <c r="AP41" s="334">
        <f>O103</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9">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215"/>
      <c r="BD41" s="215"/>
      <c r="BE41" s="215"/>
    </row>
    <row r="42" spans="2:57" ht="19.5" customHeight="1" x14ac:dyDescent="0.25">
      <c r="B42" s="426"/>
      <c r="C42" s="426"/>
      <c r="D42" s="426"/>
      <c r="E42" s="426"/>
      <c r="F42" s="426"/>
      <c r="G42" s="426"/>
      <c r="H42" s="426"/>
      <c r="I42" s="426"/>
      <c r="J42" s="22"/>
      <c r="K42" s="68"/>
      <c r="M42" s="351"/>
      <c r="N42" s="352"/>
      <c r="O42" s="353" t="s">
        <v>273</v>
      </c>
      <c r="P42" s="354"/>
      <c r="Q42" s="355"/>
      <c r="R42" s="26"/>
      <c r="U42" s="251" t="s">
        <v>280</v>
      </c>
      <c r="V42" s="211">
        <v>200000</v>
      </c>
      <c r="W42" s="211" t="s">
        <v>70</v>
      </c>
      <c r="X42" s="211" t="str">
        <f t="shared" si="8"/>
        <v>&gt; 30,1 - adequado</v>
      </c>
      <c r="Y42" s="211">
        <v>25000</v>
      </c>
      <c r="Z42" s="211">
        <v>130000</v>
      </c>
      <c r="AO42" s="10"/>
      <c r="AP42" s="334" t="str">
        <f>O104</f>
        <v>Sulfato de zinco</v>
      </c>
      <c r="AQ42" s="334"/>
      <c r="AR42" s="18">
        <f>IFERROR($AS$37/((VLOOKUP(AP42,$V$100:$AO$179,11,0)*0.01)),0)</f>
        <v>0</v>
      </c>
      <c r="AS42" s="18">
        <f>IFERROR($AT$37/((VLOOKUP(AP42,$V$100:$AO$179,14,0)*0.01)),0)</f>
        <v>0</v>
      </c>
      <c r="AT42" s="18">
        <f>IFERROR($AU$37/((VLOOKUP(AP42,$V$100:$AO$179,12,0)*0.01)),0)</f>
        <v>0</v>
      </c>
      <c r="AU42" s="18">
        <f>IFERROR($AV$37/((VLOOKUP(AP42,$V$100:$AO$179,13,0)*0.01)),0)</f>
        <v>36.428571428571423</v>
      </c>
      <c r="AV42" s="18">
        <f t="shared" si="9"/>
        <v>36.428571428571423</v>
      </c>
      <c r="AW42" s="18">
        <f>IFERROR(AV42*(VLOOKUP(AP42,$V$100:$AO$179,11,0)*0.01),0)</f>
        <v>0</v>
      </c>
      <c r="AX42" s="18">
        <f>IFERROR(AV42*(VLOOKUP(AP42,$V$100:$AO$179,14,0)*0.01),0)</f>
        <v>0</v>
      </c>
      <c r="AY42" s="18">
        <f>IFERROR(AV42*(VLOOKUP(AP42,$V$100:$AO$179,12,0)*0.01),0)</f>
        <v>0</v>
      </c>
      <c r="AZ42" s="18">
        <f>IFERROR(AV42*(VLOOKUP(AP42,$V$100:$AO$179,13,0)*0.01),0)</f>
        <v>12.75</v>
      </c>
      <c r="BA42" s="10"/>
      <c r="BB42" s="10"/>
    </row>
    <row r="43" spans="2:57" ht="19.5" customHeight="1" thickBot="1" x14ac:dyDescent="0.3">
      <c r="J43" s="22"/>
      <c r="K43" s="68"/>
      <c r="M43" s="75"/>
      <c r="N43" s="217"/>
      <c r="O43" s="217"/>
      <c r="P43" s="217"/>
      <c r="Q43" s="217"/>
      <c r="R43" s="77"/>
      <c r="AO43" s="10"/>
      <c r="AP43" s="334">
        <f>O105</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9"/>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420" t="s">
        <v>248</v>
      </c>
      <c r="C44" s="421"/>
      <c r="D44" s="421"/>
      <c r="E44" s="421"/>
      <c r="F44" s="421"/>
      <c r="G44" s="421"/>
      <c r="H44" s="421"/>
      <c r="I44" s="422"/>
      <c r="J44" s="66">
        <f>AV6</f>
        <v>240.00000000000003</v>
      </c>
      <c r="K44" s="68"/>
      <c r="M44" s="397"/>
      <c r="N44" s="397"/>
      <c r="O44" s="397"/>
      <c r="P44" s="397"/>
      <c r="Q44" s="397"/>
      <c r="R44" s="397"/>
      <c r="AO44" s="10"/>
      <c r="AP44" s="334">
        <f>O106</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435" t="str">
        <f>IF(O42&gt;0,O42,"-")</f>
        <v>Esterco Bovino curtido</v>
      </c>
      <c r="C45" s="435"/>
      <c r="D45" s="271">
        <f>D46*$E$18</f>
        <v>6944.4444444444443</v>
      </c>
      <c r="E45" s="397" t="str">
        <f>IF(AQ58&gt;0,"quilos para área total","-")</f>
        <v>quilos para área total</v>
      </c>
      <c r="F45" s="397"/>
      <c r="G45" s="397"/>
      <c r="H45" s="264" t="s">
        <v>549</v>
      </c>
      <c r="I45" s="265">
        <f>I46*$E$18*$I$18</f>
        <v>1736.1111111111111</v>
      </c>
      <c r="J45" s="66">
        <f>AV7</f>
        <v>308.57142857142861</v>
      </c>
      <c r="K45" s="68"/>
      <c r="M45" s="72"/>
      <c r="N45" s="218"/>
      <c r="O45" s="383" t="s">
        <v>286</v>
      </c>
      <c r="P45" s="383"/>
      <c r="Q45" s="383"/>
      <c r="R45" s="74"/>
      <c r="U45" s="344" t="s">
        <v>101</v>
      </c>
      <c r="V45" s="346"/>
      <c r="X45" s="340" t="s">
        <v>188</v>
      </c>
      <c r="Y45" s="340"/>
      <c r="Z45" s="340"/>
      <c r="AB45" s="247" t="s">
        <v>500</v>
      </c>
      <c r="AC45" s="247" t="str">
        <f>IF($P$63&lt;=0.5,"Sim","Não")</f>
        <v>Não</v>
      </c>
      <c r="AD45" s="247" t="s">
        <v>175</v>
      </c>
      <c r="AE45" s="247">
        <f>P21*7.5</f>
        <v>356.25</v>
      </c>
      <c r="AO45" s="10"/>
      <c r="AP45" s="10"/>
      <c r="AQ45" s="10"/>
      <c r="AR45" s="10"/>
      <c r="AS45" s="10"/>
      <c r="AT45" s="10"/>
      <c r="AU45" s="10"/>
      <c r="AV45" s="10"/>
      <c r="AW45" s="48">
        <f>AS37-(SUM(AW40:AW44))</f>
        <v>0</v>
      </c>
      <c r="AX45" s="48">
        <f>AT37-(SUM(AX40:AX44))</f>
        <v>0</v>
      </c>
      <c r="AY45" s="48">
        <f>AU37-(SUM(AY40:AY44))</f>
        <v>0</v>
      </c>
      <c r="AZ45" s="48">
        <f>AV37-(SUM(AZ40:AZ44))</f>
        <v>0</v>
      </c>
      <c r="BA45" s="10"/>
      <c r="BB45" s="10"/>
    </row>
    <row r="46" spans="2:57" ht="19.5" customHeight="1" x14ac:dyDescent="0.25">
      <c r="B46" s="415"/>
      <c r="C46" s="415"/>
      <c r="D46" s="272">
        <f>IF(AQ58&gt;0,AQ58,"-")</f>
        <v>25</v>
      </c>
      <c r="E46" s="352" t="str">
        <f>IF(AQ58&gt;0,"quilos por cova ou planta","-")</f>
        <v>quilos por cova ou planta</v>
      </c>
      <c r="F46" s="352"/>
      <c r="G46" s="352"/>
      <c r="H46" s="265" t="s">
        <v>548</v>
      </c>
      <c r="I46" s="265">
        <f>D46*VLOOKUP(B45,$AK$29:$AL$38,2,0)</f>
        <v>6.25</v>
      </c>
      <c r="J46" s="66">
        <f>AV8</f>
        <v>26.341463414634148</v>
      </c>
      <c r="K46" s="68"/>
      <c r="M46" s="351" t="s">
        <v>196</v>
      </c>
      <c r="N46" s="352"/>
      <c r="O46" s="386"/>
      <c r="P46" s="386"/>
      <c r="Q46" s="386"/>
      <c r="R46" s="26"/>
      <c r="U46" s="211" t="s">
        <v>102</v>
      </c>
      <c r="V46" s="250">
        <f>'Adubos e corretivos'!C119</f>
        <v>60</v>
      </c>
      <c r="X46" s="412" t="s">
        <v>249</v>
      </c>
      <c r="Y46" s="412"/>
      <c r="Z46" s="2">
        <f>IFERROR(VLOOKUP(O50,$V$87:$AE$95,10,0),0)</f>
        <v>6.7891575865994476</v>
      </c>
      <c r="AB46" s="247" t="s">
        <v>501</v>
      </c>
      <c r="AC46" s="247" t="str">
        <f>IF($P$64&gt;=0.5,"Sim","Não")</f>
        <v>Não</v>
      </c>
      <c r="AD46" s="247" t="s">
        <v>174</v>
      </c>
      <c r="AE46" s="247">
        <f>IF(OR(AC45="Sim",AC46="Sim",AC47="Sim"),P21*7.5,0)</f>
        <v>356.25</v>
      </c>
      <c r="AO46" s="10"/>
      <c r="AP46" s="10"/>
      <c r="AQ46" s="10"/>
      <c r="AR46" s="10"/>
      <c r="AS46" s="10"/>
      <c r="AT46" s="10"/>
      <c r="AU46" s="10"/>
      <c r="AV46" s="10"/>
      <c r="AW46" s="10"/>
      <c r="AX46" s="10"/>
      <c r="AY46" s="10"/>
      <c r="AZ46" s="10"/>
      <c r="BA46" s="10"/>
      <c r="BB46" s="10"/>
    </row>
    <row r="47" spans="2:57" ht="19.5" customHeight="1" x14ac:dyDescent="0.25">
      <c r="D47" s="273"/>
      <c r="J47" s="66">
        <f>AV12</f>
        <v>96</v>
      </c>
      <c r="K47" s="68"/>
      <c r="M47" s="351"/>
      <c r="N47" s="352"/>
      <c r="O47" s="353" t="s">
        <v>544</v>
      </c>
      <c r="P47" s="355"/>
      <c r="Q47" s="33">
        <v>0.7</v>
      </c>
      <c r="R47" s="26"/>
      <c r="U47" s="211" t="s">
        <v>104</v>
      </c>
      <c r="V47" s="2">
        <f>IFERROR((((V46-P24)*P25)/V49),0)</f>
        <v>2.6934984520123839</v>
      </c>
      <c r="X47" s="412" t="s">
        <v>189</v>
      </c>
      <c r="Y47" s="412"/>
      <c r="Z47" s="2">
        <f>IFERROR((($V$50/$Z$46)*$V$47),0)</f>
        <v>17.853088368400599</v>
      </c>
      <c r="AB47" s="247" t="s">
        <v>502</v>
      </c>
      <c r="AC47" s="247" t="str">
        <f>IF($P$65&gt;=20,"Sim","Não")</f>
        <v>Sim</v>
      </c>
      <c r="AD47" s="247"/>
      <c r="AE47" s="247"/>
      <c r="AO47" s="10"/>
      <c r="BA47" s="10"/>
      <c r="BB47" s="10"/>
    </row>
    <row r="48" spans="2:57" ht="19.5" customHeight="1" x14ac:dyDescent="0.25">
      <c r="B48" s="415" t="str">
        <f>IF(AQ6&gt;0,AQ6,"-")</f>
        <v>Superfosfato simples</v>
      </c>
      <c r="C48" s="415"/>
      <c r="D48" s="271">
        <f>(D49/1000)*$E$18</f>
        <v>66.666666666666671</v>
      </c>
      <c r="E48" s="352" t="str">
        <f>IF(J44&gt;0,"quilos para área total","-")</f>
        <v>quilos para área total</v>
      </c>
      <c r="F48" s="352"/>
      <c r="G48" s="352"/>
      <c r="H48" s="265" t="s">
        <v>549</v>
      </c>
      <c r="I48" s="265">
        <f>I49*$E$18*$I$18</f>
        <v>112</v>
      </c>
      <c r="J48" s="66">
        <f>AV13</f>
        <v>342.85714285714289</v>
      </c>
      <c r="K48" s="68"/>
      <c r="M48" s="351"/>
      <c r="N48" s="352"/>
      <c r="O48" s="389" t="s">
        <v>287</v>
      </c>
      <c r="P48" s="389"/>
      <c r="Q48" s="389"/>
      <c r="R48" s="26"/>
      <c r="U48" s="211" t="s">
        <v>187</v>
      </c>
      <c r="V48" s="2">
        <f>IF(V47&lt;0,(0),IF(V47&gt;=0,(V47)))</f>
        <v>2.6934984520123839</v>
      </c>
      <c r="X48" s="412" t="s">
        <v>187</v>
      </c>
      <c r="Y48" s="412"/>
      <c r="Z48" s="2">
        <f>IFERROR(IF(Z47&lt;0,(0),IF(Z47&gt;=0,(Z47))),0)</f>
        <v>17.853088368400599</v>
      </c>
    </row>
    <row r="49" spans="2:50" ht="19.5" customHeight="1" x14ac:dyDescent="0.25">
      <c r="B49" s="415"/>
      <c r="C49" s="415"/>
      <c r="D49" s="272">
        <f>IF(J44&gt;0,J44,"-")</f>
        <v>240.00000000000003</v>
      </c>
      <c r="E49" s="352" t="str">
        <f>IF(J44&gt;0,"gramas por cova ou planta","-")</f>
        <v>gramas por cova ou planta</v>
      </c>
      <c r="F49" s="352"/>
      <c r="G49" s="352"/>
      <c r="H49" s="265" t="s">
        <v>548</v>
      </c>
      <c r="I49" s="265">
        <f>(D49/1000)*VLOOKUP(B48,$V$100:$W$179,2,0)</f>
        <v>0.4032</v>
      </c>
      <c r="J49" s="66">
        <f>AV14</f>
        <v>27.692307692307693</v>
      </c>
      <c r="K49" s="68"/>
      <c r="M49" s="351"/>
      <c r="N49" s="352"/>
      <c r="O49" s="386"/>
      <c r="P49" s="386"/>
      <c r="Q49" s="386"/>
      <c r="R49" s="26"/>
      <c r="U49" s="211" t="s">
        <v>103</v>
      </c>
      <c r="V49" s="2">
        <f>IFERROR(VLOOKUP($O$47,$V$56:$AA$68,5,0),0)</f>
        <v>64.599999999999994</v>
      </c>
      <c r="X49" s="412" t="s">
        <v>254</v>
      </c>
      <c r="Y49" s="412"/>
      <c r="Z49" s="2">
        <f>Z48*$Q$50</f>
        <v>5.3559265105201792</v>
      </c>
    </row>
    <row r="50" spans="2:50" ht="19.5" customHeight="1" x14ac:dyDescent="0.25">
      <c r="J50" s="66">
        <f>AV18</f>
        <v>112.00000000000001</v>
      </c>
      <c r="K50" s="68"/>
      <c r="L50" s="215"/>
      <c r="M50" s="351"/>
      <c r="N50" s="352"/>
      <c r="O50" s="353" t="s">
        <v>145</v>
      </c>
      <c r="P50" s="355"/>
      <c r="Q50" s="33">
        <v>0.3</v>
      </c>
      <c r="R50" s="26"/>
      <c r="U50" s="211" t="s">
        <v>178</v>
      </c>
      <c r="V50" s="2">
        <f>IFERROR(VLOOKUP($O$47,$V$56:$AA$68,6,0),0)</f>
        <v>45</v>
      </c>
      <c r="AT50" s="340" t="s">
        <v>261</v>
      </c>
      <c r="AU50" s="340"/>
      <c r="AV50" s="340"/>
    </row>
    <row r="51" spans="2:50" ht="19.5" customHeight="1" thickBot="1" x14ac:dyDescent="0.3">
      <c r="B51" s="415" t="str">
        <f>IF(AQ7&gt;0,AQ7,"-")</f>
        <v>Termofosfato YOORIN</v>
      </c>
      <c r="C51" s="415"/>
      <c r="D51" s="271">
        <f>(D52/1000)*$E$18</f>
        <v>85.714285714285722</v>
      </c>
      <c r="E51" s="352" t="str">
        <f>IF(J45&gt;0,"quilos para área total","-")</f>
        <v>quilos para área total</v>
      </c>
      <c r="F51" s="352"/>
      <c r="G51" s="352"/>
      <c r="H51" s="265" t="s">
        <v>549</v>
      </c>
      <c r="I51" s="265">
        <f>I52*$E$18*$I$18</f>
        <v>199.28571428571431</v>
      </c>
      <c r="J51" s="66">
        <f>AV19</f>
        <v>1050</v>
      </c>
      <c r="K51" s="68"/>
      <c r="L51" s="215"/>
      <c r="M51" s="75"/>
      <c r="N51" s="217"/>
      <c r="O51" s="217"/>
      <c r="P51" s="217"/>
      <c r="Q51" s="217"/>
      <c r="R51" s="77"/>
      <c r="U51" s="211" t="s">
        <v>254</v>
      </c>
      <c r="V51" s="2">
        <f>V48*$Q$47</f>
        <v>1.8854489164086685</v>
      </c>
      <c r="AT51" s="212" t="s">
        <v>272</v>
      </c>
      <c r="AU51" s="258" t="str">
        <f>AK29</f>
        <v>Composto de lixo (COL)</v>
      </c>
      <c r="AV51" s="212">
        <v>25</v>
      </c>
    </row>
    <row r="52" spans="2:50" ht="19.5" customHeight="1" x14ac:dyDescent="0.25">
      <c r="B52" s="415"/>
      <c r="C52" s="415"/>
      <c r="D52" s="272">
        <f>IF(J45&gt;0,J45,"-")</f>
        <v>308.57142857142861</v>
      </c>
      <c r="E52" s="352" t="str">
        <f>IF(J45&gt;0,"gramas por planta","-")</f>
        <v>gramas por planta</v>
      </c>
      <c r="F52" s="352"/>
      <c r="G52" s="352"/>
      <c r="H52" s="265" t="s">
        <v>548</v>
      </c>
      <c r="I52" s="265">
        <f>(D52/1000)*VLOOKUP(B51,$V$100:$W$179,2,0)</f>
        <v>0.71742857142857153</v>
      </c>
      <c r="J52" s="66">
        <f>AV20</f>
        <v>28.000000000000004</v>
      </c>
      <c r="K52" s="68"/>
      <c r="L52" s="215"/>
      <c r="AT52" s="212" t="s">
        <v>272</v>
      </c>
      <c r="AU52" s="258" t="str">
        <f t="shared" ref="AU52:AU59" si="10">AK30</f>
        <v>Cama de frango corte</v>
      </c>
      <c r="AV52" s="212">
        <v>4</v>
      </c>
    </row>
    <row r="53" spans="2:50" ht="19.5" customHeight="1" thickBot="1" x14ac:dyDescent="0.3">
      <c r="J53" s="67"/>
      <c r="K53" s="68"/>
      <c r="L53" s="215"/>
      <c r="AP53" s="215"/>
      <c r="AQ53" s="215"/>
      <c r="AS53" s="215"/>
      <c r="AT53" s="212" t="s">
        <v>272</v>
      </c>
      <c r="AU53" s="258" t="str">
        <f t="shared" si="10"/>
        <v>Esterco de galinha</v>
      </c>
      <c r="AV53" s="212">
        <v>4</v>
      </c>
    </row>
    <row r="54" spans="2:50" ht="19.5" customHeight="1" x14ac:dyDescent="0.25">
      <c r="B54" s="415" t="str">
        <f>IF(AQ8&gt;0,AQ8,"-")</f>
        <v>Superfosfato triplo</v>
      </c>
      <c r="C54" s="415"/>
      <c r="D54" s="271">
        <f>(D55/1000)*$E$18</f>
        <v>7.3170731707317076</v>
      </c>
      <c r="E54" s="352" t="str">
        <f>IF(J46&gt;0,"quilos para área total","-")</f>
        <v>quilos para área total</v>
      </c>
      <c r="F54" s="352"/>
      <c r="G54" s="352"/>
      <c r="H54" s="265" t="s">
        <v>549</v>
      </c>
      <c r="I54" s="265">
        <f>I55*$E$18*$I$18</f>
        <v>27.804878048780488</v>
      </c>
      <c r="J54" s="68"/>
      <c r="K54" s="68"/>
      <c r="M54" s="72"/>
      <c r="N54" s="218"/>
      <c r="O54" s="218"/>
      <c r="P54" s="218"/>
      <c r="Q54" s="218"/>
      <c r="R54" s="74"/>
      <c r="U54" s="368" t="s">
        <v>125</v>
      </c>
      <c r="V54" s="368" t="s">
        <v>76</v>
      </c>
      <c r="W54" s="368" t="s">
        <v>77</v>
      </c>
      <c r="X54" s="368" t="s">
        <v>78</v>
      </c>
      <c r="Y54" s="368"/>
      <c r="Z54" s="368"/>
      <c r="AA54" s="368"/>
      <c r="AP54" s="365"/>
      <c r="AQ54" s="365"/>
      <c r="AS54" s="365"/>
      <c r="AT54" s="212" t="s">
        <v>272</v>
      </c>
      <c r="AU54" s="258" t="str">
        <f t="shared" si="10"/>
        <v>Esterco Bovino curtido</v>
      </c>
      <c r="AV54" s="212">
        <v>25</v>
      </c>
    </row>
    <row r="55" spans="2:50" ht="19.5" customHeight="1" x14ac:dyDescent="0.25">
      <c r="B55" s="415"/>
      <c r="C55" s="415"/>
      <c r="D55" s="272">
        <f>IF(J46&gt;0,J46,"-")</f>
        <v>26.341463414634148</v>
      </c>
      <c r="E55" s="352" t="str">
        <f>IF(J46&gt;0,"gramas por planta","-")</f>
        <v>gramas por planta</v>
      </c>
      <c r="F55" s="352"/>
      <c r="G55" s="352"/>
      <c r="H55" s="265" t="s">
        <v>548</v>
      </c>
      <c r="I55" s="265">
        <f>(D55/1000)*VLOOKUP(B54,$V$100:$W$179,2,0)</f>
        <v>0.10009756097560976</v>
      </c>
      <c r="J55" s="68"/>
      <c r="K55" s="68"/>
      <c r="M55" s="351" t="s">
        <v>197</v>
      </c>
      <c r="N55" s="352"/>
      <c r="O55" s="347" t="s">
        <v>288</v>
      </c>
      <c r="P55" s="348"/>
      <c r="Q55" s="349"/>
      <c r="R55" s="26"/>
      <c r="U55" s="368"/>
      <c r="V55" s="368"/>
      <c r="W55" s="368"/>
      <c r="X55" s="219" t="s">
        <v>98</v>
      </c>
      <c r="Y55" s="219" t="s">
        <v>99</v>
      </c>
      <c r="Z55" s="219" t="s">
        <v>100</v>
      </c>
      <c r="AA55" s="219" t="s">
        <v>180</v>
      </c>
      <c r="AP55" s="365"/>
      <c r="AQ55" s="365"/>
      <c r="AS55" s="365"/>
      <c r="AT55" s="212" t="s">
        <v>272</v>
      </c>
      <c r="AU55" s="258" t="str">
        <f t="shared" si="10"/>
        <v>Esterco de equino</v>
      </c>
      <c r="AV55" s="212">
        <v>25</v>
      </c>
    </row>
    <row r="56" spans="2:50" ht="19.5" customHeight="1" x14ac:dyDescent="0.25">
      <c r="J56" s="68"/>
      <c r="K56" s="68"/>
      <c r="M56" s="351"/>
      <c r="N56" s="352"/>
      <c r="O56" s="341" t="s">
        <v>173</v>
      </c>
      <c r="P56" s="341"/>
      <c r="Q56" s="341"/>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215"/>
      <c r="AQ56" s="215"/>
      <c r="AS56" s="215"/>
      <c r="AT56" s="212" t="s">
        <v>272</v>
      </c>
      <c r="AU56" s="258" t="str">
        <f t="shared" si="10"/>
        <v>Esterco de suínos</v>
      </c>
      <c r="AV56" s="212">
        <v>4</v>
      </c>
    </row>
    <row r="57" spans="2:50" ht="19.5" customHeight="1" x14ac:dyDescent="0.25">
      <c r="B57" s="415" t="str">
        <f>IF(AQ12&gt;0,AQ12,"-")</f>
        <v>Cloreto de potássio</v>
      </c>
      <c r="C57" s="415"/>
      <c r="D57" s="271">
        <f>(D58/1000)*$E$18</f>
        <v>26.666666666666668</v>
      </c>
      <c r="E57" s="433" t="str">
        <f>IF(J47&gt;0,"quilos para área total","-")</f>
        <v>quilos para área total</v>
      </c>
      <c r="F57" s="433"/>
      <c r="G57" s="433"/>
      <c r="H57" s="265" t="s">
        <v>549</v>
      </c>
      <c r="I57" s="265">
        <f>I58*$E$18*$I$18</f>
        <v>92.8</v>
      </c>
      <c r="J57" s="68"/>
      <c r="K57" s="68"/>
      <c r="M57" s="351"/>
      <c r="N57" s="352"/>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215"/>
      <c r="AQ57" s="341" t="s">
        <v>283</v>
      </c>
      <c r="AR57" s="341"/>
      <c r="AS57" s="215"/>
      <c r="AT57" s="212" t="s">
        <v>272</v>
      </c>
      <c r="AU57" s="258" t="str">
        <f t="shared" si="10"/>
        <v>Esterco de ovinos</v>
      </c>
      <c r="AV57" s="212">
        <v>4</v>
      </c>
    </row>
    <row r="58" spans="2:50" ht="19.5" customHeight="1" x14ac:dyDescent="0.25">
      <c r="B58" s="415"/>
      <c r="C58" s="415"/>
      <c r="D58" s="271">
        <f>IF(J47&gt;0,J47,"-")</f>
        <v>96</v>
      </c>
      <c r="E58" s="352" t="str">
        <f>IF(J47&gt;0,"gramas por planta","-")</f>
        <v>gramas por planta</v>
      </c>
      <c r="F58" s="352"/>
      <c r="G58" s="352"/>
      <c r="H58" s="265" t="s">
        <v>548</v>
      </c>
      <c r="I58" s="265">
        <f>(D58/1000)*VLOOKUP(B57,$V$100:$W$179,2,0)</f>
        <v>0.33407999999999999</v>
      </c>
      <c r="J58" s="68"/>
      <c r="K58" s="68"/>
      <c r="M58" s="351"/>
      <c r="N58" s="352"/>
      <c r="O58" s="403" t="s">
        <v>499</v>
      </c>
      <c r="P58" s="404"/>
      <c r="Q58" s="405"/>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215"/>
      <c r="AQ58" s="341">
        <f>IFERROR(VLOOKUP($O$42,AU51:AV59,2,0),0)</f>
        <v>25</v>
      </c>
      <c r="AR58" s="341"/>
      <c r="AS58" s="215"/>
      <c r="AT58" s="212" t="s">
        <v>272</v>
      </c>
      <c r="AU58" s="258" t="str">
        <f t="shared" si="10"/>
        <v>Lodo de esgosto</v>
      </c>
      <c r="AV58" s="212">
        <v>4</v>
      </c>
    </row>
    <row r="59" spans="2:50" ht="19.5" customHeight="1" x14ac:dyDescent="0.25">
      <c r="J59" s="68"/>
      <c r="K59" s="68"/>
      <c r="M59" s="351"/>
      <c r="N59" s="352"/>
      <c r="O59" s="406"/>
      <c r="P59" s="407"/>
      <c r="Q59" s="40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215"/>
      <c r="AS59" s="215"/>
      <c r="AT59" s="212" t="s">
        <v>272</v>
      </c>
      <c r="AU59" s="258" t="str">
        <f t="shared" si="10"/>
        <v>Compostos orgânicos</v>
      </c>
      <c r="AV59" s="212">
        <v>4</v>
      </c>
    </row>
    <row r="60" spans="2:50" ht="19.5" customHeight="1" x14ac:dyDescent="0.25">
      <c r="B60" s="415" t="str">
        <f>IF(AQ13&gt;0,AQ13,"-")</f>
        <v>Kmag</v>
      </c>
      <c r="C60" s="415"/>
      <c r="D60" s="271">
        <f>(D61/1000)*$E$18</f>
        <v>95.238095238095255</v>
      </c>
      <c r="E60" s="433" t="str">
        <f>IF(J48&gt;0,"quilos para área total","-")</f>
        <v>quilos para área total</v>
      </c>
      <c r="F60" s="433"/>
      <c r="G60" s="433"/>
      <c r="H60" s="265" t="s">
        <v>549</v>
      </c>
      <c r="I60" s="265">
        <f>I61*$E$18*$I$18</f>
        <v>276.1904761904762</v>
      </c>
      <c r="J60" s="68"/>
      <c r="K60" s="68"/>
      <c r="M60" s="351"/>
      <c r="N60" s="352"/>
      <c r="O60" s="353" t="s">
        <v>174</v>
      </c>
      <c r="P60" s="354"/>
      <c r="Q60" s="355"/>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215"/>
      <c r="AQ60" s="215"/>
      <c r="AS60" s="215"/>
      <c r="AT60" s="215"/>
      <c r="AU60" s="215"/>
      <c r="AV60" s="215"/>
      <c r="AW60" s="215"/>
      <c r="AX60" s="215"/>
    </row>
    <row r="61" spans="2:50" ht="19.5" customHeight="1" x14ac:dyDescent="0.25">
      <c r="B61" s="415"/>
      <c r="C61" s="415"/>
      <c r="D61" s="271">
        <f>IF(J48&gt;0,J48,"-")</f>
        <v>342.85714285714289</v>
      </c>
      <c r="E61" s="352" t="str">
        <f>IF(J48&gt;0,"gramas por planta","-")</f>
        <v>gramas por planta</v>
      </c>
      <c r="F61" s="352"/>
      <c r="G61" s="352"/>
      <c r="H61" s="265" t="s">
        <v>548</v>
      </c>
      <c r="I61" s="265">
        <f>(D61/1000)*VLOOKUP(B60,$V$100:$W$179,2,0)</f>
        <v>0.99428571428571444</v>
      </c>
      <c r="J61" s="68"/>
      <c r="K61" s="68"/>
      <c r="M61" s="351"/>
      <c r="N61" s="352"/>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215"/>
      <c r="AQ61" s="215"/>
      <c r="AS61" s="215"/>
      <c r="AT61" s="215"/>
      <c r="AU61" s="215"/>
      <c r="AV61" s="215"/>
      <c r="AW61" s="215"/>
      <c r="AX61" s="215"/>
    </row>
    <row r="62" spans="2:50" ht="19.5" customHeight="1" x14ac:dyDescent="0.25">
      <c r="J62" s="68"/>
      <c r="K62" s="68"/>
      <c r="M62" s="351"/>
      <c r="N62" s="352"/>
      <c r="O62" s="347" t="s">
        <v>508</v>
      </c>
      <c r="P62" s="348"/>
      <c r="Q62" s="349"/>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215"/>
      <c r="AT62" s="215"/>
      <c r="AU62" s="215"/>
      <c r="AV62" s="215"/>
      <c r="AW62" s="215"/>
      <c r="AX62" s="215"/>
    </row>
    <row r="63" spans="2:50" ht="19.5" customHeight="1" x14ac:dyDescent="0.25">
      <c r="B63" s="415" t="str">
        <f>IF(AQ14&gt;0,AQ14,"-")</f>
        <v>Sulfato de potássio</v>
      </c>
      <c r="C63" s="415"/>
      <c r="D63" s="271">
        <f>(D64/1000)*$E$18</f>
        <v>7.6923076923076925</v>
      </c>
      <c r="E63" s="433" t="str">
        <f>IF(J49&gt;0,"quilos para área total","-")</f>
        <v>quilos para área total</v>
      </c>
      <c r="F63" s="433"/>
      <c r="G63" s="433"/>
      <c r="H63" s="265" t="s">
        <v>549</v>
      </c>
      <c r="I63" s="265">
        <f>I64*$E$18*$I$18</f>
        <v>40.923076923076927</v>
      </c>
      <c r="J63" s="68"/>
      <c r="K63" s="68"/>
      <c r="M63" s="351"/>
      <c r="N63" s="352"/>
      <c r="O63" s="247" t="s">
        <v>3</v>
      </c>
      <c r="P63" s="9">
        <v>2</v>
      </c>
      <c r="Q63" s="247" t="s">
        <v>55</v>
      </c>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215"/>
      <c r="AT63" s="215"/>
      <c r="AU63" s="215"/>
      <c r="AV63" s="215"/>
      <c r="AW63" s="215"/>
      <c r="AX63" s="215"/>
    </row>
    <row r="64" spans="2:50" ht="19.5" customHeight="1" x14ac:dyDescent="0.25">
      <c r="B64" s="415"/>
      <c r="C64" s="415"/>
      <c r="D64" s="271">
        <f>IF(J49&gt;0,J49,"-")</f>
        <v>27.692307692307693</v>
      </c>
      <c r="E64" s="352" t="str">
        <f>IF(J49&gt;0,"gramas por planta","-")</f>
        <v>gramas por planta</v>
      </c>
      <c r="F64" s="352"/>
      <c r="G64" s="352"/>
      <c r="H64" s="265" t="s">
        <v>548</v>
      </c>
      <c r="I64" s="265">
        <f>(D64/1000)*VLOOKUP(B63,$V$100:$W$179,2,0)</f>
        <v>0.14732307692307695</v>
      </c>
      <c r="J64" s="68"/>
      <c r="K64" s="68"/>
      <c r="M64" s="351"/>
      <c r="N64" s="352"/>
      <c r="O64" s="247" t="s">
        <v>7</v>
      </c>
      <c r="P64" s="9">
        <v>0.4</v>
      </c>
      <c r="Q64" s="247" t="s">
        <v>55</v>
      </c>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215"/>
      <c r="AT64" s="215"/>
      <c r="AU64" s="215"/>
      <c r="AV64" s="215"/>
      <c r="AW64" s="215"/>
      <c r="AX64" s="215"/>
    </row>
    <row r="65" spans="2:50" ht="19.5" customHeight="1" x14ac:dyDescent="0.25">
      <c r="H65" s="265"/>
      <c r="I65" s="38"/>
      <c r="J65" s="68"/>
      <c r="K65" s="68"/>
      <c r="M65" s="351"/>
      <c r="N65" s="352"/>
      <c r="O65" s="247" t="s">
        <v>503</v>
      </c>
      <c r="P65" s="8">
        <v>25</v>
      </c>
      <c r="Q65" s="211" t="s">
        <v>23</v>
      </c>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215"/>
      <c r="AT65" s="215"/>
      <c r="AU65" s="215"/>
      <c r="AV65" s="215"/>
      <c r="AW65" s="215"/>
      <c r="AX65" s="215"/>
    </row>
    <row r="66" spans="2:50" ht="19.5" customHeight="1" thickBot="1" x14ac:dyDescent="0.3">
      <c r="B66" s="415" t="str">
        <f>IF(AQ18&gt;0,AQ18,"-")</f>
        <v>Uréia</v>
      </c>
      <c r="C66" s="415"/>
      <c r="D66" s="271">
        <f>(D67/1000)*$E$18</f>
        <v>31.111111111111114</v>
      </c>
      <c r="E66" s="433" t="str">
        <f>IF(J50&gt;0,"quilos para área total","-")</f>
        <v>quilos para área total</v>
      </c>
      <c r="F66" s="433"/>
      <c r="G66" s="433"/>
      <c r="H66" s="265" t="s">
        <v>549</v>
      </c>
      <c r="I66" s="265">
        <f>I67*$E$18*$I$18</f>
        <v>87.111111111111128</v>
      </c>
      <c r="M66" s="75"/>
      <c r="N66" s="217"/>
      <c r="O66" s="217"/>
      <c r="P66" s="217"/>
      <c r="Q66" s="217"/>
      <c r="R66" s="77"/>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215"/>
      <c r="AT66" s="215"/>
      <c r="AU66" s="215"/>
      <c r="AV66" s="215"/>
      <c r="AW66" s="215"/>
      <c r="AX66" s="215"/>
    </row>
    <row r="67" spans="2:50" ht="19.5" customHeight="1" thickBot="1" x14ac:dyDescent="0.3">
      <c r="B67" s="415"/>
      <c r="C67" s="415"/>
      <c r="D67" s="271">
        <f>IF(J50&gt;0,J50,"-")</f>
        <v>112.00000000000001</v>
      </c>
      <c r="E67" s="352" t="str">
        <f>IF(J50&gt;0,"gramas por planta","-")</f>
        <v>gramas por planta</v>
      </c>
      <c r="F67" s="352"/>
      <c r="G67" s="352"/>
      <c r="H67" s="265" t="s">
        <v>548</v>
      </c>
      <c r="I67" s="265">
        <f>(D67/1000)*VLOOKUP(B66,$V$100:$W$179,2,0)</f>
        <v>0.31360000000000005</v>
      </c>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215"/>
      <c r="AT67" s="215"/>
      <c r="AU67" s="215"/>
      <c r="AV67" s="215"/>
      <c r="AW67" s="215"/>
      <c r="AX67" s="215"/>
    </row>
    <row r="68" spans="2:50" ht="19.5" customHeight="1" x14ac:dyDescent="0.25">
      <c r="H68" s="265"/>
      <c r="I68" s="38"/>
      <c r="M68" s="72"/>
      <c r="N68" s="218"/>
      <c r="O68" s="218"/>
      <c r="P68" s="218"/>
      <c r="Q68" s="218"/>
      <c r="R68" s="74"/>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215"/>
      <c r="AT68" s="215"/>
      <c r="AU68" s="215"/>
      <c r="AV68" s="215"/>
      <c r="AW68" s="215"/>
      <c r="AX68" s="215"/>
    </row>
    <row r="69" spans="2:50" ht="19.5" customHeight="1" x14ac:dyDescent="0.25">
      <c r="B69" s="415" t="str">
        <f>IF(AQ19&gt;0,AQ19,"-")</f>
        <v>Torta de mamona Hortibraz</v>
      </c>
      <c r="C69" s="415"/>
      <c r="D69" s="271">
        <f>(D70/1000)*$E$18</f>
        <v>291.66666666666669</v>
      </c>
      <c r="E69" s="433" t="str">
        <f>IF(J51&gt;0,"quilos para área total","-")</f>
        <v>quilos para área total</v>
      </c>
      <c r="F69" s="433"/>
      <c r="G69" s="433"/>
      <c r="H69" s="265" t="s">
        <v>549</v>
      </c>
      <c r="I69" s="265">
        <f>I70*$E$18*$I$18</f>
        <v>443.33333333333337</v>
      </c>
      <c r="M69" s="351" t="s">
        <v>198</v>
      </c>
      <c r="N69" s="352"/>
      <c r="O69" s="400" t="s">
        <v>233</v>
      </c>
      <c r="P69" s="401"/>
      <c r="Q69" s="402"/>
      <c r="R69" s="26"/>
      <c r="AS69" s="215"/>
      <c r="AT69" s="215"/>
      <c r="AU69" s="215"/>
      <c r="AV69" s="215"/>
      <c r="AW69" s="215"/>
      <c r="AX69" s="215"/>
    </row>
    <row r="70" spans="2:50" ht="19.5" customHeight="1" x14ac:dyDescent="0.25">
      <c r="B70" s="415"/>
      <c r="C70" s="415"/>
      <c r="D70" s="271">
        <f>IF(J51&gt;0,J51,"-")</f>
        <v>1050</v>
      </c>
      <c r="E70" s="352" t="str">
        <f>IF(J51&gt;0,"gramas por planta","-")</f>
        <v>gramas por planta</v>
      </c>
      <c r="F70" s="352"/>
      <c r="G70" s="352"/>
      <c r="H70" s="265" t="s">
        <v>548</v>
      </c>
      <c r="I70" s="265">
        <f>(D70/1000)*VLOOKUP(B69,$V$100:$W$179,2,0)</f>
        <v>1.5960000000000001</v>
      </c>
      <c r="M70" s="351"/>
      <c r="N70" s="352"/>
      <c r="O70" s="400" t="s">
        <v>232</v>
      </c>
      <c r="P70" s="401"/>
      <c r="Q70" s="402"/>
      <c r="R70" s="26"/>
      <c r="AS70" s="215"/>
      <c r="AT70" s="215"/>
      <c r="AU70" s="215"/>
      <c r="AV70" s="215"/>
      <c r="AW70" s="215"/>
      <c r="AX70" s="215"/>
    </row>
    <row r="71" spans="2:50" ht="19.5" customHeight="1" x14ac:dyDescent="0.25">
      <c r="M71" s="351"/>
      <c r="N71" s="352"/>
      <c r="O71" s="341" t="s">
        <v>199</v>
      </c>
      <c r="P71" s="341"/>
      <c r="Q71" s="33">
        <v>0.4</v>
      </c>
      <c r="R71" s="26"/>
      <c r="U71" s="371" t="s">
        <v>125</v>
      </c>
      <c r="V71" s="371" t="s">
        <v>76</v>
      </c>
      <c r="W71" s="371" t="s">
        <v>77</v>
      </c>
      <c r="X71" s="371" t="s">
        <v>265</v>
      </c>
      <c r="Y71" s="371"/>
      <c r="Z71" s="371"/>
      <c r="AS71" s="215"/>
      <c r="AT71" s="215"/>
      <c r="AU71" s="215"/>
      <c r="AV71" s="215"/>
      <c r="AW71" s="215"/>
      <c r="AX71" s="215"/>
    </row>
    <row r="72" spans="2:50" ht="19.5" customHeight="1" x14ac:dyDescent="0.25">
      <c r="B72" s="415" t="str">
        <f>IF(AQ20&gt;0,AQ20,"-")</f>
        <v>Uréia</v>
      </c>
      <c r="C72" s="415"/>
      <c r="D72" s="271">
        <f>(D73/1000)*$E$18</f>
        <v>7.7777777777777786</v>
      </c>
      <c r="E72" s="433" t="str">
        <f>IF(J52&gt;0,"quilos para área total","-")</f>
        <v>quilos para área total</v>
      </c>
      <c r="F72" s="433"/>
      <c r="G72" s="433"/>
      <c r="H72" s="265" t="s">
        <v>549</v>
      </c>
      <c r="I72" s="265">
        <f>I73*$E$18*$I$18</f>
        <v>21.777777777777782</v>
      </c>
      <c r="M72" s="351"/>
      <c r="N72" s="352"/>
      <c r="O72" s="341" t="s">
        <v>210</v>
      </c>
      <c r="P72" s="341"/>
      <c r="Q72" s="33">
        <v>0.5</v>
      </c>
      <c r="R72" s="26"/>
      <c r="U72" s="371"/>
      <c r="V72" s="371"/>
      <c r="W72" s="371"/>
      <c r="X72" s="221" t="s">
        <v>81</v>
      </c>
      <c r="Y72" s="221" t="s">
        <v>82</v>
      </c>
      <c r="Z72" s="221" t="s">
        <v>83</v>
      </c>
      <c r="AS72" s="215"/>
      <c r="AT72" s="215"/>
      <c r="AU72" s="215"/>
      <c r="AV72" s="215"/>
      <c r="AW72" s="215"/>
      <c r="AX72" s="215"/>
    </row>
    <row r="73" spans="2:50" ht="19.5" customHeight="1" x14ac:dyDescent="0.25">
      <c r="B73" s="415"/>
      <c r="C73" s="415"/>
      <c r="D73" s="271">
        <f>IF(J52&gt;0,J52,"-")</f>
        <v>28.000000000000004</v>
      </c>
      <c r="E73" s="352" t="str">
        <f>IF(J52&gt;0,"gramas por planta","-")</f>
        <v>gramas por planta</v>
      </c>
      <c r="F73" s="352"/>
      <c r="G73" s="352"/>
      <c r="H73" s="265" t="s">
        <v>548</v>
      </c>
      <c r="I73" s="265">
        <f>(D73/1000)*VLOOKUP(B72,$V$100:$W$179,2,0)</f>
        <v>7.8400000000000011E-2</v>
      </c>
      <c r="M73" s="351"/>
      <c r="N73" s="352"/>
      <c r="O73" s="341" t="s">
        <v>200</v>
      </c>
      <c r="P73" s="341"/>
      <c r="Q73" s="33">
        <v>0.1</v>
      </c>
      <c r="R73" s="26"/>
      <c r="U73" s="411" t="s">
        <v>141</v>
      </c>
      <c r="V73" s="37" t="str">
        <f>'Adubos e corretivos'!C104</f>
        <v>Gesso Nutrion</v>
      </c>
      <c r="W73" s="37">
        <f>'Adubos e corretivos'!D104</f>
        <v>0</v>
      </c>
      <c r="X73" s="37">
        <f>'Adubos e corretivos'!E104</f>
        <v>15</v>
      </c>
      <c r="Y73" s="37">
        <f>'Adubos e corretivos'!F104</f>
        <v>0</v>
      </c>
      <c r="Z73" s="37">
        <f>'Adubos e corretivos'!G104</f>
        <v>20</v>
      </c>
      <c r="AS73" s="215"/>
      <c r="AT73" s="215"/>
      <c r="AU73" s="215"/>
      <c r="AV73" s="215"/>
      <c r="AW73" s="215"/>
      <c r="AX73" s="215"/>
    </row>
    <row r="74" spans="2:50" ht="19.5" customHeight="1" x14ac:dyDescent="0.25">
      <c r="M74" s="351"/>
      <c r="N74" s="352"/>
      <c r="O74" s="215"/>
      <c r="P74" s="215"/>
      <c r="Q74" s="215"/>
      <c r="R74" s="26"/>
      <c r="U74" s="411"/>
      <c r="V74" s="37" t="str">
        <f>'Adubos e corretivos'!C105</f>
        <v>Gesso Votorantim</v>
      </c>
      <c r="W74" s="37">
        <f>'Adubos e corretivos'!D105</f>
        <v>0</v>
      </c>
      <c r="X74" s="37">
        <f>'Adubos e corretivos'!E105</f>
        <v>16</v>
      </c>
      <c r="Y74" s="37">
        <f>'Adubos e corretivos'!F105</f>
        <v>0</v>
      </c>
      <c r="Z74" s="37">
        <f>'Adubos e corretivos'!G105</f>
        <v>20</v>
      </c>
      <c r="AS74" s="215"/>
      <c r="AT74" s="215"/>
      <c r="AU74" s="215"/>
      <c r="AV74" s="215"/>
      <c r="AW74" s="215"/>
      <c r="AX74" s="215"/>
    </row>
    <row r="75" spans="2:50" ht="19.5" customHeight="1" x14ac:dyDescent="0.25">
      <c r="B75" s="426" t="s">
        <v>506</v>
      </c>
      <c r="C75" s="426"/>
      <c r="D75" s="426"/>
      <c r="E75" s="426"/>
      <c r="F75" s="426"/>
      <c r="G75" s="426"/>
      <c r="H75" s="426"/>
      <c r="I75" s="426"/>
      <c r="M75" s="351"/>
      <c r="N75" s="352"/>
      <c r="O75" s="352" t="s">
        <v>245</v>
      </c>
      <c r="P75" s="352"/>
      <c r="Q75" s="352"/>
      <c r="R75" s="26"/>
      <c r="U75" s="411"/>
      <c r="V75" s="37" t="str">
        <f>'Adubos e corretivos'!C106</f>
        <v>Gesso Agronelli</v>
      </c>
      <c r="W75" s="37">
        <f>'Adubos e corretivos'!D106</f>
        <v>0.76</v>
      </c>
      <c r="X75" s="37">
        <f>'Adubos e corretivos'!E106</f>
        <v>14</v>
      </c>
      <c r="Y75" s="37">
        <f>'Adubos e corretivos'!F106</f>
        <v>0</v>
      </c>
      <c r="Z75" s="37">
        <f>'Adubos e corretivos'!G106</f>
        <v>17</v>
      </c>
      <c r="AS75" s="215"/>
      <c r="AT75" s="215"/>
      <c r="AU75" s="215"/>
      <c r="AV75" s="215"/>
      <c r="AW75" s="215"/>
      <c r="AX75" s="215"/>
    </row>
    <row r="76" spans="2:50" ht="19.5" customHeight="1" x14ac:dyDescent="0.25">
      <c r="B76" s="426"/>
      <c r="C76" s="426"/>
      <c r="D76" s="426"/>
      <c r="E76" s="426"/>
      <c r="F76" s="426"/>
      <c r="G76" s="426"/>
      <c r="H76" s="426"/>
      <c r="I76" s="426"/>
      <c r="M76" s="351"/>
      <c r="N76" s="352"/>
      <c r="O76" s="215"/>
      <c r="P76" s="215"/>
      <c r="Q76" s="215"/>
      <c r="R76" s="26"/>
      <c r="U76" s="411"/>
      <c r="V76" s="37" t="str">
        <f>'Adubos e corretivos'!C107</f>
        <v>Siligesso Agronelli</v>
      </c>
      <c r="W76" s="37">
        <f>'Adubos e corretivos'!D107</f>
        <v>0</v>
      </c>
      <c r="X76" s="37">
        <f>'Adubos e corretivos'!E107</f>
        <v>9.9</v>
      </c>
      <c r="Y76" s="37">
        <f>'Adubos e corretivos'!F107</f>
        <v>0</v>
      </c>
      <c r="Z76" s="37">
        <f>'Adubos e corretivos'!G107</f>
        <v>20.3</v>
      </c>
      <c r="AS76" s="215"/>
      <c r="AT76" s="215"/>
      <c r="AU76" s="215"/>
      <c r="AV76" s="215"/>
      <c r="AW76" s="215"/>
      <c r="AX76" s="215"/>
    </row>
    <row r="77" spans="2:50" ht="19.5" customHeight="1" x14ac:dyDescent="0.25">
      <c r="B77" s="426"/>
      <c r="C77" s="426"/>
      <c r="D77" s="426"/>
      <c r="E77" s="426"/>
      <c r="F77" s="426"/>
      <c r="G77" s="426"/>
      <c r="H77" s="426"/>
      <c r="I77" s="426"/>
      <c r="M77" s="351"/>
      <c r="N77" s="352"/>
      <c r="O77" s="400" t="s">
        <v>234</v>
      </c>
      <c r="P77" s="401"/>
      <c r="Q77" s="402"/>
      <c r="R77" s="26"/>
      <c r="U77" s="411"/>
      <c r="V77" s="37" t="str">
        <f>'Adubos e corretivos'!C108</f>
        <v>Nutrigesso Nutrion</v>
      </c>
      <c r="W77" s="37">
        <f>'Adubos e corretivos'!D108</f>
        <v>0</v>
      </c>
      <c r="X77" s="37">
        <f>'Adubos e corretivos'!E108</f>
        <v>13</v>
      </c>
      <c r="Y77" s="37">
        <f>'Adubos e corretivos'!F108</f>
        <v>0</v>
      </c>
      <c r="Z77" s="37">
        <f>'Adubos e corretivos'!G108</f>
        <v>16</v>
      </c>
      <c r="AS77" s="215"/>
      <c r="AT77" s="215"/>
      <c r="AU77" s="215"/>
      <c r="AV77" s="215"/>
      <c r="AW77" s="215"/>
      <c r="AX77" s="215"/>
    </row>
    <row r="78" spans="2:50" ht="19.5" customHeight="1" x14ac:dyDescent="0.25">
      <c r="B78" s="426"/>
      <c r="C78" s="426"/>
      <c r="D78" s="426"/>
      <c r="E78" s="426"/>
      <c r="F78" s="426"/>
      <c r="G78" s="426"/>
      <c r="H78" s="426"/>
      <c r="I78" s="426"/>
      <c r="M78" s="351"/>
      <c r="N78" s="352"/>
      <c r="O78" s="400" t="s">
        <v>232</v>
      </c>
      <c r="P78" s="401"/>
      <c r="Q78" s="402"/>
      <c r="R78" s="26"/>
      <c r="U78" s="411"/>
      <c r="V78" s="37">
        <f>'Adubos e corretivos'!C109</f>
        <v>0</v>
      </c>
      <c r="W78" s="37">
        <f>'Adubos e corretivos'!D109</f>
        <v>0</v>
      </c>
      <c r="X78" s="37">
        <f>'Adubos e corretivos'!E109</f>
        <v>0</v>
      </c>
      <c r="Y78" s="37">
        <f>'Adubos e corretivos'!F109</f>
        <v>0</v>
      </c>
      <c r="Z78" s="37">
        <f>'Adubos e corretivos'!G109</f>
        <v>0</v>
      </c>
      <c r="AS78" s="215"/>
      <c r="AT78" s="215"/>
      <c r="AU78" s="215"/>
      <c r="AV78" s="215"/>
      <c r="AW78" s="215"/>
      <c r="AX78" s="215"/>
    </row>
    <row r="79" spans="2:50" ht="19.5" customHeight="1" thickBot="1" x14ac:dyDescent="0.3">
      <c r="M79" s="351"/>
      <c r="N79" s="352"/>
      <c r="O79" s="341" t="s">
        <v>191</v>
      </c>
      <c r="P79" s="341"/>
      <c r="Q79" s="33">
        <v>0.4</v>
      </c>
      <c r="R79" s="26"/>
      <c r="U79" s="411"/>
      <c r="V79" s="37">
        <f>'Adubos e corretivos'!C110</f>
        <v>0</v>
      </c>
      <c r="W79" s="37">
        <f>'Adubos e corretivos'!D110</f>
        <v>0</v>
      </c>
      <c r="X79" s="37">
        <f>'Adubos e corretivos'!E110</f>
        <v>0</v>
      </c>
      <c r="Y79" s="37">
        <f>'Adubos e corretivos'!F110</f>
        <v>0</v>
      </c>
      <c r="Z79" s="37">
        <f>'Adubos e corretivos'!G110</f>
        <v>0</v>
      </c>
      <c r="AS79" s="215"/>
      <c r="AT79" s="215"/>
      <c r="AU79" s="215"/>
      <c r="AV79" s="215"/>
      <c r="AW79" s="215"/>
      <c r="AX79" s="215"/>
    </row>
    <row r="80" spans="2:50" ht="19.5" customHeight="1" thickBot="1" x14ac:dyDescent="0.3">
      <c r="B80" s="423" t="s">
        <v>237</v>
      </c>
      <c r="C80" s="424"/>
      <c r="D80" s="424"/>
      <c r="E80" s="424"/>
      <c r="F80" s="424"/>
      <c r="G80" s="424"/>
      <c r="H80" s="424"/>
      <c r="I80" s="425"/>
      <c r="M80" s="351"/>
      <c r="N80" s="352"/>
      <c r="O80" s="341" t="s">
        <v>151</v>
      </c>
      <c r="P80" s="341"/>
      <c r="Q80" s="33">
        <v>0.5</v>
      </c>
      <c r="R80" s="26"/>
      <c r="U80" s="411"/>
      <c r="V80" s="37">
        <f>'Adubos e corretivos'!C111</f>
        <v>0</v>
      </c>
      <c r="W80" s="37">
        <f>'Adubos e corretivos'!D111</f>
        <v>0</v>
      </c>
      <c r="X80" s="37">
        <f>'Adubos e corretivos'!E111</f>
        <v>0</v>
      </c>
      <c r="Y80" s="37">
        <f>'Adubos e corretivos'!F111</f>
        <v>0</v>
      </c>
      <c r="Z80" s="37">
        <f>'Adubos e corretivos'!G111</f>
        <v>0</v>
      </c>
      <c r="AS80" s="215"/>
      <c r="AT80" s="215"/>
      <c r="AU80" s="215"/>
      <c r="AV80" s="215"/>
      <c r="AW80" s="215"/>
      <c r="AX80" s="215"/>
    </row>
    <row r="81" spans="2:50" ht="19.5" customHeight="1" x14ac:dyDescent="0.25">
      <c r="M81" s="351"/>
      <c r="N81" s="352"/>
      <c r="O81" s="341" t="s">
        <v>525</v>
      </c>
      <c r="P81" s="341"/>
      <c r="Q81" s="33">
        <v>0.1</v>
      </c>
      <c r="R81" s="26"/>
      <c r="U81" s="411"/>
      <c r="V81" s="37">
        <f>'Adubos e corretivos'!C112</f>
        <v>0</v>
      </c>
      <c r="W81" s="37">
        <f>'Adubos e corretivos'!D112</f>
        <v>0</v>
      </c>
      <c r="X81" s="37">
        <f>'Adubos e corretivos'!E112</f>
        <v>0</v>
      </c>
      <c r="Y81" s="37">
        <f>'Adubos e corretivos'!F112</f>
        <v>0</v>
      </c>
      <c r="Z81" s="37">
        <f>'Adubos e corretivos'!G112</f>
        <v>0</v>
      </c>
      <c r="AS81" s="215"/>
      <c r="AT81" s="215"/>
      <c r="AU81" s="215"/>
      <c r="AV81" s="215"/>
      <c r="AW81" s="215"/>
      <c r="AX81" s="215"/>
    </row>
    <row r="82" spans="2:50" ht="19.5" customHeight="1" x14ac:dyDescent="0.25">
      <c r="B82" s="415" t="str">
        <f>IF(AP40&gt;0,AP40,"-")</f>
        <v>Ácido Bórico</v>
      </c>
      <c r="C82" s="415"/>
      <c r="D82" s="271">
        <f>IFERROR(((D83/1000)*$E$18),0)</f>
        <v>4.0476190476190474</v>
      </c>
      <c r="E82" s="433" t="str">
        <f>IF(AV40&gt;0,"quilos para área total","-")</f>
        <v>quilos para área total</v>
      </c>
      <c r="F82" s="433"/>
      <c r="G82" s="433"/>
      <c r="H82" s="265" t="s">
        <v>549</v>
      </c>
      <c r="I82" s="265">
        <f>I83*$E$18*$I$18</f>
        <v>22.342857142857142</v>
      </c>
      <c r="M82" s="351"/>
      <c r="N82" s="352"/>
      <c r="O82" s="215"/>
      <c r="P82" s="215"/>
      <c r="Q82" s="215"/>
      <c r="R82" s="26"/>
      <c r="U82" s="411"/>
      <c r="V82" s="37">
        <f>'Adubos e corretivos'!C113</f>
        <v>0</v>
      </c>
      <c r="W82" s="37">
        <f>'Adubos e corretivos'!D113</f>
        <v>0</v>
      </c>
      <c r="X82" s="37">
        <f>'Adubos e corretivos'!E113</f>
        <v>0</v>
      </c>
      <c r="Y82" s="37">
        <f>'Adubos e corretivos'!F113</f>
        <v>0</v>
      </c>
      <c r="Z82" s="37">
        <f>'Adubos e corretivos'!G113</f>
        <v>0</v>
      </c>
      <c r="AS82" s="215"/>
      <c r="AT82" s="215"/>
      <c r="AU82" s="215"/>
      <c r="AV82" s="215"/>
      <c r="AW82" s="215"/>
      <c r="AX82" s="215"/>
    </row>
    <row r="83" spans="2:50" ht="19.5" customHeight="1" x14ac:dyDescent="0.25">
      <c r="B83" s="415"/>
      <c r="C83" s="415"/>
      <c r="D83" s="271">
        <f>IF(AV40&gt;0,AV40,"-")</f>
        <v>14.571428571428569</v>
      </c>
      <c r="E83" s="352" t="str">
        <f>IF(AV40&gt;0,"gramas por planta","-")</f>
        <v>gramas por planta</v>
      </c>
      <c r="F83" s="352"/>
      <c r="G83" s="352"/>
      <c r="H83" s="265" t="s">
        <v>548</v>
      </c>
      <c r="I83" s="265">
        <f>(D83/1000)*VLOOKUP(B82,$V$100:$W$179,2,0)</f>
        <v>8.0434285714285708E-2</v>
      </c>
      <c r="M83" s="351"/>
      <c r="N83" s="352"/>
      <c r="O83" s="352" t="s">
        <v>245</v>
      </c>
      <c r="P83" s="352"/>
      <c r="Q83" s="352"/>
      <c r="R83" s="26"/>
      <c r="AS83" s="215"/>
      <c r="AT83" s="215"/>
      <c r="AU83" s="215"/>
      <c r="AV83" s="215"/>
      <c r="AW83" s="215"/>
      <c r="AX83" s="215"/>
    </row>
    <row r="84" spans="2:50" ht="19.5" customHeight="1" x14ac:dyDescent="0.25">
      <c r="M84" s="351"/>
      <c r="N84" s="352"/>
      <c r="O84" s="215"/>
      <c r="P84" s="215"/>
      <c r="Q84" s="215"/>
      <c r="R84" s="26"/>
      <c r="AS84" s="215"/>
      <c r="AT84" s="215"/>
      <c r="AU84" s="215"/>
      <c r="AV84" s="215"/>
      <c r="AW84" s="215"/>
      <c r="AX84" s="215"/>
    </row>
    <row r="85" spans="2:50" ht="19.5" customHeight="1" x14ac:dyDescent="0.25">
      <c r="B85" s="415" t="str">
        <f>IF(AP41&gt;0,AP41,"-")</f>
        <v>-</v>
      </c>
      <c r="C85" s="415"/>
      <c r="D85" s="271">
        <f>IFERROR(((D86/1000)*$E$18),0)</f>
        <v>0</v>
      </c>
      <c r="E85" s="433" t="str">
        <f>IF(AV41&gt;0,"quilos para área total","-")</f>
        <v>-</v>
      </c>
      <c r="F85" s="433"/>
      <c r="G85" s="433"/>
      <c r="H85" s="265" t="s">
        <v>549</v>
      </c>
      <c r="I85" s="265">
        <f>I86*$E$18*$I$18</f>
        <v>0</v>
      </c>
      <c r="M85" s="351"/>
      <c r="N85" s="352"/>
      <c r="O85" s="400" t="s">
        <v>235</v>
      </c>
      <c r="P85" s="401"/>
      <c r="Q85" s="402"/>
      <c r="R85" s="26"/>
      <c r="U85" s="370" t="s">
        <v>125</v>
      </c>
      <c r="V85" s="370" t="s">
        <v>76</v>
      </c>
      <c r="W85" s="370" t="s">
        <v>77</v>
      </c>
      <c r="X85" s="370" t="s">
        <v>78</v>
      </c>
      <c r="Y85" s="370"/>
      <c r="Z85" s="370"/>
      <c r="AA85" s="370"/>
      <c r="AB85" s="370"/>
      <c r="AC85" s="370"/>
      <c r="AD85" s="370"/>
      <c r="AE85" s="370"/>
      <c r="AS85" s="215"/>
      <c r="AT85" s="215"/>
      <c r="AU85" s="215"/>
      <c r="AV85" s="215"/>
      <c r="AW85" s="215"/>
      <c r="AX85" s="215"/>
    </row>
    <row r="86" spans="2:50" ht="19.5" customHeight="1" x14ac:dyDescent="0.25">
      <c r="B86" s="415"/>
      <c r="C86" s="415"/>
      <c r="D86" s="271" t="str">
        <f>IF(AV41&gt;0,AV41,"-")</f>
        <v>-</v>
      </c>
      <c r="E86" s="352" t="str">
        <f>IF(AV41&gt;0,"gramas por planta","-")</f>
        <v>-</v>
      </c>
      <c r="F86" s="352"/>
      <c r="G86" s="352"/>
      <c r="H86" s="265" t="s">
        <v>548</v>
      </c>
      <c r="I86" s="265">
        <f>IFERROR(((D86/1000)*VLOOKUP(B85,$V$100:$W$179,2,0)),0)</f>
        <v>0</v>
      </c>
      <c r="M86" s="351"/>
      <c r="N86" s="352"/>
      <c r="O86" s="400" t="s">
        <v>232</v>
      </c>
      <c r="P86" s="401"/>
      <c r="Q86" s="402"/>
      <c r="R86" s="26"/>
      <c r="U86" s="370"/>
      <c r="V86" s="370"/>
      <c r="W86" s="370"/>
      <c r="X86" s="220" t="s">
        <v>106</v>
      </c>
      <c r="Y86" s="220" t="s">
        <v>79</v>
      </c>
      <c r="Z86" s="220" t="s">
        <v>66</v>
      </c>
      <c r="AA86" s="220" t="s">
        <v>80</v>
      </c>
      <c r="AB86" s="220" t="s">
        <v>67</v>
      </c>
      <c r="AC86" s="220" t="s">
        <v>176</v>
      </c>
      <c r="AD86" s="220" t="s">
        <v>177</v>
      </c>
      <c r="AE86" s="220" t="s">
        <v>190</v>
      </c>
      <c r="AS86" s="215"/>
      <c r="AT86" s="215"/>
      <c r="AU86" s="215"/>
      <c r="AV86" s="215"/>
      <c r="AW86" s="215"/>
      <c r="AX86" s="215"/>
    </row>
    <row r="87" spans="2:50" ht="19.5" customHeight="1" x14ac:dyDescent="0.25">
      <c r="J87" s="260"/>
      <c r="M87" s="351"/>
      <c r="N87" s="352"/>
      <c r="O87" s="341" t="s">
        <v>523</v>
      </c>
      <c r="P87" s="341"/>
      <c r="Q87" s="33">
        <v>0.4</v>
      </c>
      <c r="R87" s="26"/>
      <c r="U87" s="410" t="s">
        <v>179</v>
      </c>
      <c r="V87" s="40" t="str">
        <f>V160</f>
        <v>Micaxisto (61) 3233-9368</v>
      </c>
      <c r="W87" s="40">
        <f>W160</f>
        <v>0.12</v>
      </c>
      <c r="X87" s="40">
        <f>AL160</f>
        <v>0</v>
      </c>
      <c r="Y87" s="40">
        <f t="shared" ref="Y87:AB95" si="11">Y160</f>
        <v>4.4999999999999998E-2</v>
      </c>
      <c r="Z87" s="40">
        <f t="shared" si="11"/>
        <v>0.1</v>
      </c>
      <c r="AA87" s="40">
        <f t="shared" si="11"/>
        <v>4.32</v>
      </c>
      <c r="AB87" s="40">
        <f t="shared" si="11"/>
        <v>5.2</v>
      </c>
      <c r="AC87" s="41">
        <f>AC160*0.602</f>
        <v>0.75776223776223772</v>
      </c>
      <c r="AD87" s="41">
        <f>AD160*0.715</f>
        <v>0.83139534883720934</v>
      </c>
      <c r="AE87" s="41">
        <f t="shared" ref="AE87:AE95" si="12">AB87+AC87+AD87</f>
        <v>6.7891575865994476</v>
      </c>
      <c r="AS87" s="215"/>
      <c r="AT87" s="215"/>
      <c r="AU87" s="215"/>
      <c r="AV87" s="215"/>
      <c r="AW87" s="215"/>
      <c r="AX87" s="215"/>
    </row>
    <row r="88" spans="2:50" ht="19.5" customHeight="1" x14ac:dyDescent="0.25">
      <c r="B88" s="415" t="str">
        <f>IF(AP42&gt;0,AP42,"-")</f>
        <v>Sulfato de zinco</v>
      </c>
      <c r="C88" s="415"/>
      <c r="D88" s="271">
        <f>IFERROR(((D89/1000)*$E$18),0)</f>
        <v>10.119047619047617</v>
      </c>
      <c r="E88" s="433" t="str">
        <f>IF(AV42&gt;0,"quilos para área total","-")</f>
        <v>quilos para área total</v>
      </c>
      <c r="F88" s="433"/>
      <c r="G88" s="433"/>
      <c r="H88" s="265" t="s">
        <v>549</v>
      </c>
      <c r="I88" s="265">
        <f>I89*$E$18*$I$18</f>
        <v>62.333333333333321</v>
      </c>
      <c r="J88" s="260"/>
      <c r="M88" s="351"/>
      <c r="N88" s="352"/>
      <c r="O88" s="341" t="s">
        <v>543</v>
      </c>
      <c r="P88" s="341"/>
      <c r="Q88" s="33">
        <v>0.5</v>
      </c>
      <c r="R88" s="26"/>
      <c r="U88" s="410"/>
      <c r="V88" s="40" t="str">
        <f t="shared" ref="V88:W95" si="13">V161</f>
        <v xml:space="preserve"> Remax Mistel (61) 99414-1975</v>
      </c>
      <c r="W88" s="40">
        <f t="shared" si="13"/>
        <v>0</v>
      </c>
      <c r="X88" s="40">
        <f t="shared" ref="X88:X95" si="14">AL161</f>
        <v>43.8</v>
      </c>
      <c r="Y88" s="40">
        <f t="shared" si="11"/>
        <v>4.4999999999999998E-2</v>
      </c>
      <c r="Z88" s="40">
        <f t="shared" si="11"/>
        <v>0.1</v>
      </c>
      <c r="AA88" s="40">
        <f t="shared" si="11"/>
        <v>2.1949999999999998</v>
      </c>
      <c r="AB88" s="40">
        <f t="shared" si="11"/>
        <v>2.6</v>
      </c>
      <c r="AC88" s="41">
        <f t="shared" ref="AC88:AC95" si="15">AC161*0.602</f>
        <v>11.282237762237763</v>
      </c>
      <c r="AD88" s="41">
        <f t="shared" ref="AD88:AD95" si="16">AD161*0.715</f>
        <v>8.8959302325581397</v>
      </c>
      <c r="AE88" s="41">
        <f t="shared" si="12"/>
        <v>22.778167994795901</v>
      </c>
      <c r="AS88" s="215"/>
      <c r="AT88" s="215"/>
      <c r="AU88" s="215"/>
      <c r="AV88" s="215"/>
      <c r="AW88" s="215"/>
      <c r="AX88" s="215"/>
    </row>
    <row r="89" spans="2:50" ht="19.5" customHeight="1" x14ac:dyDescent="0.25">
      <c r="B89" s="415"/>
      <c r="C89" s="415"/>
      <c r="D89" s="271">
        <f>IF(AV42&gt;0,AV42,"-")</f>
        <v>36.428571428571423</v>
      </c>
      <c r="E89" s="352" t="str">
        <f>IF(AV42&gt;0,"gramas por planta","-")</f>
        <v>gramas por planta</v>
      </c>
      <c r="F89" s="352"/>
      <c r="G89" s="352"/>
      <c r="H89" s="265" t="s">
        <v>548</v>
      </c>
      <c r="I89" s="265">
        <f>(D89/1000)*VLOOKUP(B88,$V$100:$W$179,2,0)</f>
        <v>0.22439999999999996</v>
      </c>
      <c r="J89" s="260"/>
      <c r="M89" s="351"/>
      <c r="N89" s="352"/>
      <c r="O89" s="341" t="s">
        <v>523</v>
      </c>
      <c r="P89" s="341"/>
      <c r="Q89" s="33">
        <v>0.1</v>
      </c>
      <c r="R89" s="26"/>
      <c r="U89" s="410"/>
      <c r="V89" s="40" t="str">
        <f t="shared" si="13"/>
        <v xml:space="preserve">Pó de brita Fmx (62) 3924 8565 </v>
      </c>
      <c r="W89" s="40">
        <f t="shared" si="13"/>
        <v>0</v>
      </c>
      <c r="X89" s="40">
        <f t="shared" si="14"/>
        <v>0</v>
      </c>
      <c r="Y89" s="40">
        <f t="shared" si="11"/>
        <v>0</v>
      </c>
      <c r="Z89" s="40">
        <f t="shared" si="11"/>
        <v>0</v>
      </c>
      <c r="AA89" s="40">
        <f t="shared" si="11"/>
        <v>4.99</v>
      </c>
      <c r="AB89" s="40">
        <f t="shared" si="11"/>
        <v>6</v>
      </c>
      <c r="AC89" s="41">
        <f t="shared" si="15"/>
        <v>2.5258741258741257</v>
      </c>
      <c r="AD89" s="41">
        <f t="shared" si="16"/>
        <v>0.59385382059800662</v>
      </c>
      <c r="AE89" s="41">
        <f t="shared" si="12"/>
        <v>9.1197279464721319</v>
      </c>
      <c r="AS89" s="215"/>
      <c r="AT89" s="215"/>
      <c r="AU89" s="215"/>
      <c r="AV89" s="215"/>
      <c r="AW89" s="215"/>
      <c r="AX89" s="215"/>
    </row>
    <row r="90" spans="2:50" ht="19.5" customHeight="1" x14ac:dyDescent="0.25">
      <c r="M90" s="214"/>
      <c r="N90" s="215"/>
      <c r="O90" s="215"/>
      <c r="P90" s="215"/>
      <c r="Q90" s="215"/>
      <c r="R90" s="26"/>
      <c r="U90" s="410"/>
      <c r="V90" s="40" t="str">
        <f t="shared" si="13"/>
        <v xml:space="preserve">Biotita Xisto (61) 3233-9368 </v>
      </c>
      <c r="W90" s="40">
        <f t="shared" si="13"/>
        <v>0</v>
      </c>
      <c r="X90" s="40">
        <f t="shared" si="14"/>
        <v>57.8</v>
      </c>
      <c r="Y90" s="40">
        <f t="shared" si="11"/>
        <v>8.7999999999999995E-2</v>
      </c>
      <c r="Z90" s="40">
        <f t="shared" si="11"/>
        <v>0.2</v>
      </c>
      <c r="AA90" s="40">
        <f t="shared" si="11"/>
        <v>2.83</v>
      </c>
      <c r="AB90" s="40">
        <f t="shared" si="11"/>
        <v>3.4</v>
      </c>
      <c r="AC90" s="41">
        <f t="shared" si="15"/>
        <v>1.5155244755244754</v>
      </c>
      <c r="AD90" s="41">
        <f t="shared" si="16"/>
        <v>5.4634551495016606</v>
      </c>
      <c r="AE90" s="41">
        <f t="shared" si="12"/>
        <v>10.378979625026137</v>
      </c>
      <c r="AS90" s="215"/>
      <c r="AT90" s="215"/>
      <c r="AU90" s="215"/>
      <c r="AV90" s="215"/>
      <c r="AW90" s="215"/>
      <c r="AX90" s="215"/>
    </row>
    <row r="91" spans="2:50" ht="19.5" customHeight="1" x14ac:dyDescent="0.25">
      <c r="B91" s="415" t="str">
        <f>IF(AP43&gt;0,AP43,"-")</f>
        <v>-</v>
      </c>
      <c r="C91" s="415"/>
      <c r="D91" s="271">
        <f>IFERROR(((D92/1000)*$E$18),0)</f>
        <v>0</v>
      </c>
      <c r="E91" s="433" t="str">
        <f>IF(AV43&gt;0,"quilos para área total","-")</f>
        <v>-</v>
      </c>
      <c r="F91" s="433"/>
      <c r="G91" s="433"/>
      <c r="H91" s="265" t="s">
        <v>549</v>
      </c>
      <c r="I91" s="265">
        <f>I92*$E$18*$I$18</f>
        <v>0</v>
      </c>
      <c r="M91" s="214"/>
      <c r="N91" s="215"/>
      <c r="O91" s="352" t="s">
        <v>245</v>
      </c>
      <c r="P91" s="352"/>
      <c r="Q91" s="352"/>
      <c r="R91" s="26"/>
      <c r="U91" s="410"/>
      <c r="V91" s="40" t="str">
        <f t="shared" si="13"/>
        <v>Kamafugito</v>
      </c>
      <c r="W91" s="40">
        <f t="shared" si="13"/>
        <v>0</v>
      </c>
      <c r="X91" s="40">
        <f t="shared" si="14"/>
        <v>0</v>
      </c>
      <c r="Y91" s="40">
        <f t="shared" si="11"/>
        <v>1.5069999999999999</v>
      </c>
      <c r="Z91" s="40">
        <f t="shared" si="11"/>
        <v>3.5</v>
      </c>
      <c r="AA91" s="40">
        <f t="shared" si="11"/>
        <v>3.3250000000000002</v>
      </c>
      <c r="AB91" s="40">
        <f t="shared" si="11"/>
        <v>4</v>
      </c>
      <c r="AC91" s="41">
        <f t="shared" si="15"/>
        <v>1.7217199999999999</v>
      </c>
      <c r="AD91" s="41">
        <f t="shared" si="16"/>
        <v>0</v>
      </c>
      <c r="AE91" s="41">
        <f t="shared" si="12"/>
        <v>5.7217199999999995</v>
      </c>
      <c r="AS91" s="215"/>
      <c r="AT91" s="215"/>
      <c r="AU91" s="215"/>
      <c r="AV91" s="215"/>
      <c r="AW91" s="215"/>
      <c r="AX91" s="215"/>
    </row>
    <row r="92" spans="2:50" ht="19.5" customHeight="1" thickBot="1" x14ac:dyDescent="0.3">
      <c r="B92" s="415"/>
      <c r="C92" s="415"/>
      <c r="D92" s="271" t="str">
        <f>IF(AV43&gt;0,AV43,"-")</f>
        <v>-</v>
      </c>
      <c r="E92" s="352" t="str">
        <f>IF(AV43&gt;0,"gramas por planta","-")</f>
        <v>-</v>
      </c>
      <c r="F92" s="352"/>
      <c r="G92" s="352"/>
      <c r="H92" s="265" t="s">
        <v>548</v>
      </c>
      <c r="I92" s="265">
        <f>IFERROR((D92/1000)*VLOOKUP(B91,$V$100:$W$179,2,0),0)</f>
        <v>0</v>
      </c>
      <c r="M92" s="75"/>
      <c r="N92" s="217"/>
      <c r="O92" s="217"/>
      <c r="P92" s="217"/>
      <c r="Q92" s="217"/>
      <c r="R92" s="77"/>
      <c r="U92" s="410"/>
      <c r="V92" s="40">
        <f t="shared" si="13"/>
        <v>0</v>
      </c>
      <c r="W92" s="40">
        <f t="shared" si="13"/>
        <v>0</v>
      </c>
      <c r="X92" s="40">
        <f t="shared" si="14"/>
        <v>0</v>
      </c>
      <c r="Y92" s="40">
        <f t="shared" si="11"/>
        <v>0</v>
      </c>
      <c r="Z92" s="40">
        <f t="shared" si="11"/>
        <v>0</v>
      </c>
      <c r="AA92" s="40">
        <f t="shared" si="11"/>
        <v>0</v>
      </c>
      <c r="AB92" s="40">
        <f t="shared" si="11"/>
        <v>0</v>
      </c>
      <c r="AC92" s="41">
        <f t="shared" si="15"/>
        <v>0</v>
      </c>
      <c r="AD92" s="41">
        <f t="shared" si="16"/>
        <v>0</v>
      </c>
      <c r="AE92" s="41">
        <f t="shared" si="12"/>
        <v>0</v>
      </c>
      <c r="AS92" s="215"/>
      <c r="AT92" s="215"/>
      <c r="AU92" s="215"/>
      <c r="AV92" s="215"/>
      <c r="AW92" s="215"/>
      <c r="AX92" s="215"/>
    </row>
    <row r="93" spans="2:50" ht="19.5" customHeight="1" thickBot="1" x14ac:dyDescent="0.3">
      <c r="J93" s="261"/>
      <c r="U93" s="410"/>
      <c r="V93" s="40">
        <f t="shared" si="13"/>
        <v>0</v>
      </c>
      <c r="W93" s="40">
        <f t="shared" si="13"/>
        <v>0</v>
      </c>
      <c r="X93" s="40">
        <f t="shared" si="14"/>
        <v>0</v>
      </c>
      <c r="Y93" s="40">
        <f t="shared" si="11"/>
        <v>0</v>
      </c>
      <c r="Z93" s="40">
        <f t="shared" si="11"/>
        <v>0</v>
      </c>
      <c r="AA93" s="40">
        <f t="shared" si="11"/>
        <v>0</v>
      </c>
      <c r="AB93" s="40">
        <f t="shared" si="11"/>
        <v>0</v>
      </c>
      <c r="AC93" s="41">
        <f t="shared" si="15"/>
        <v>0</v>
      </c>
      <c r="AD93" s="41">
        <f t="shared" si="16"/>
        <v>0</v>
      </c>
      <c r="AE93" s="41">
        <f t="shared" si="12"/>
        <v>0</v>
      </c>
      <c r="AS93" s="215"/>
      <c r="AT93" s="215"/>
      <c r="AU93" s="215"/>
      <c r="AV93" s="215"/>
      <c r="AW93" s="215"/>
      <c r="AX93" s="215"/>
    </row>
    <row r="94" spans="2:50" ht="19.5" customHeight="1" x14ac:dyDescent="0.25">
      <c r="B94" s="415" t="str">
        <f>IF(AP44&gt;0,AP44,"-")</f>
        <v>-</v>
      </c>
      <c r="C94" s="415"/>
      <c r="D94" s="271">
        <f>IFERROR(((D95/1000)*$E$18),0)</f>
        <v>0</v>
      </c>
      <c r="E94" s="433" t="str">
        <f>IF(AV44&gt;0,"quilos para área total","-")</f>
        <v>-</v>
      </c>
      <c r="F94" s="433"/>
      <c r="G94" s="433"/>
      <c r="H94" s="265" t="s">
        <v>549</v>
      </c>
      <c r="I94" s="265">
        <f>I95*$E$18*$I$18</f>
        <v>0</v>
      </c>
      <c r="J94" s="261"/>
      <c r="M94" s="72"/>
      <c r="N94" s="218"/>
      <c r="O94" s="218"/>
      <c r="P94" s="218"/>
      <c r="Q94" s="218"/>
      <c r="R94" s="74"/>
      <c r="U94" s="410"/>
      <c r="V94" s="40">
        <f t="shared" si="13"/>
        <v>0</v>
      </c>
      <c r="W94" s="40">
        <f t="shared" si="13"/>
        <v>0</v>
      </c>
      <c r="X94" s="40">
        <f t="shared" si="14"/>
        <v>0</v>
      </c>
      <c r="Y94" s="40">
        <f t="shared" si="11"/>
        <v>0</v>
      </c>
      <c r="Z94" s="40">
        <f t="shared" si="11"/>
        <v>0</v>
      </c>
      <c r="AA94" s="40">
        <f t="shared" si="11"/>
        <v>0</v>
      </c>
      <c r="AB94" s="40">
        <f t="shared" si="11"/>
        <v>0</v>
      </c>
      <c r="AC94" s="41">
        <f t="shared" si="15"/>
        <v>0</v>
      </c>
      <c r="AD94" s="41">
        <f t="shared" si="16"/>
        <v>0</v>
      </c>
      <c r="AE94" s="41">
        <f t="shared" si="12"/>
        <v>0</v>
      </c>
      <c r="AS94" s="215"/>
      <c r="AT94" s="215"/>
      <c r="AU94" s="215"/>
      <c r="AV94" s="215"/>
      <c r="AW94" s="215"/>
      <c r="AX94" s="215"/>
    </row>
    <row r="95" spans="2:50" ht="19.5" customHeight="1" x14ac:dyDescent="0.25">
      <c r="B95" s="415"/>
      <c r="C95" s="415"/>
      <c r="D95" s="271" t="str">
        <f>IF(AV44&gt;0,AV44,"-")</f>
        <v>-</v>
      </c>
      <c r="E95" s="352" t="str">
        <f>IF(AV44&gt;0,"gramas por planta","-")</f>
        <v>-</v>
      </c>
      <c r="F95" s="352"/>
      <c r="G95" s="352"/>
      <c r="H95" s="265" t="s">
        <v>548</v>
      </c>
      <c r="I95" s="265">
        <f>IFERROR((D95/1000)*VLOOKUP(B94,$V$100:$W$179,2,0),0)</f>
        <v>0</v>
      </c>
      <c r="M95" s="351" t="s">
        <v>250</v>
      </c>
      <c r="N95" s="361"/>
      <c r="O95" s="44" t="s">
        <v>33</v>
      </c>
      <c r="P95" s="44" t="s">
        <v>205</v>
      </c>
      <c r="Q95" s="44" t="s">
        <v>206</v>
      </c>
      <c r="R95" s="26"/>
      <c r="U95" s="410"/>
      <c r="V95" s="40">
        <f t="shared" si="13"/>
        <v>0</v>
      </c>
      <c r="W95" s="40">
        <f t="shared" si="13"/>
        <v>0</v>
      </c>
      <c r="X95" s="40">
        <f t="shared" si="14"/>
        <v>0</v>
      </c>
      <c r="Y95" s="40">
        <f t="shared" si="11"/>
        <v>0</v>
      </c>
      <c r="Z95" s="40">
        <f t="shared" si="11"/>
        <v>0</v>
      </c>
      <c r="AA95" s="40">
        <f t="shared" si="11"/>
        <v>0</v>
      </c>
      <c r="AB95" s="40">
        <f t="shared" si="11"/>
        <v>0</v>
      </c>
      <c r="AC95" s="41">
        <f t="shared" si="15"/>
        <v>0</v>
      </c>
      <c r="AD95" s="41">
        <f t="shared" si="16"/>
        <v>0</v>
      </c>
      <c r="AE95" s="41">
        <f t="shared" si="12"/>
        <v>0</v>
      </c>
      <c r="AS95" s="215"/>
      <c r="AT95" s="215"/>
      <c r="AU95" s="215"/>
      <c r="AV95" s="215"/>
      <c r="AW95" s="215"/>
      <c r="AX95" s="215"/>
    </row>
    <row r="96" spans="2:50" ht="19.5" customHeight="1" x14ac:dyDescent="0.25">
      <c r="G96" s="38"/>
      <c r="H96" s="38"/>
      <c r="I96" s="38"/>
      <c r="M96" s="351" t="s">
        <v>243</v>
      </c>
      <c r="N96" s="361"/>
      <c r="O96" s="45">
        <f>$AC$30</f>
        <v>126</v>
      </c>
      <c r="P96" s="45">
        <f>$AC$31</f>
        <v>108</v>
      </c>
      <c r="Q96" s="45">
        <f>$AC$32</f>
        <v>144</v>
      </c>
      <c r="R96" s="26"/>
      <c r="AS96" s="215"/>
      <c r="AT96" s="215"/>
      <c r="AU96" s="215"/>
      <c r="AV96" s="215"/>
      <c r="AW96" s="215"/>
      <c r="AX96" s="215"/>
    </row>
    <row r="97" spans="1:50" ht="19.5" customHeight="1" x14ac:dyDescent="0.25">
      <c r="A97" s="59"/>
      <c r="B97" s="426" t="s">
        <v>507</v>
      </c>
      <c r="C97" s="426"/>
      <c r="D97" s="426"/>
      <c r="E97" s="426"/>
      <c r="F97" s="426"/>
      <c r="G97" s="426"/>
      <c r="H97" s="426"/>
      <c r="I97" s="426"/>
      <c r="M97" s="351" t="s">
        <v>251</v>
      </c>
      <c r="N97" s="361"/>
      <c r="O97" s="2">
        <f>AS21</f>
        <v>0</v>
      </c>
      <c r="P97" s="2">
        <f>AT21</f>
        <v>0</v>
      </c>
      <c r="Q97" s="2">
        <f>AU21</f>
        <v>0</v>
      </c>
      <c r="R97" s="26"/>
      <c r="AS97" s="215"/>
      <c r="AT97" s="215"/>
      <c r="AU97" s="215"/>
      <c r="AV97" s="215"/>
      <c r="AW97" s="215"/>
      <c r="AX97" s="215"/>
    </row>
    <row r="98" spans="1:50" ht="19.5" customHeight="1" thickBot="1" x14ac:dyDescent="0.3">
      <c r="A98" s="216"/>
      <c r="B98" s="426"/>
      <c r="C98" s="426"/>
      <c r="D98" s="426"/>
      <c r="E98" s="426"/>
      <c r="F98" s="426"/>
      <c r="G98" s="426"/>
      <c r="H98" s="426"/>
      <c r="I98" s="426"/>
      <c r="M98" s="75"/>
      <c r="N98" s="217"/>
      <c r="O98" s="217"/>
      <c r="P98" s="217"/>
      <c r="Q98" s="217"/>
      <c r="R98" s="77"/>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215"/>
      <c r="AT98" s="215"/>
      <c r="AU98" s="215"/>
      <c r="AV98" s="215"/>
      <c r="AW98" s="215"/>
      <c r="AX98" s="215"/>
    </row>
    <row r="99" spans="1:50" ht="19.5" customHeight="1" thickBot="1" x14ac:dyDescent="0.3">
      <c r="A99" s="216"/>
      <c r="B99" s="426"/>
      <c r="C99" s="426"/>
      <c r="D99" s="426"/>
      <c r="E99" s="426"/>
      <c r="F99" s="426"/>
      <c r="G99" s="426"/>
      <c r="H99" s="426"/>
      <c r="I99" s="426"/>
      <c r="U99" s="409"/>
      <c r="V99" s="409"/>
      <c r="W99" s="409"/>
      <c r="X99" s="222" t="s">
        <v>33</v>
      </c>
      <c r="Y99" s="222" t="s">
        <v>79</v>
      </c>
      <c r="Z99" s="222" t="s">
        <v>66</v>
      </c>
      <c r="AA99" s="222" t="s">
        <v>80</v>
      </c>
      <c r="AB99" s="222" t="s">
        <v>67</v>
      </c>
      <c r="AC99" s="222" t="s">
        <v>81</v>
      </c>
      <c r="AD99" s="222" t="s">
        <v>82</v>
      </c>
      <c r="AE99" s="222" t="s">
        <v>83</v>
      </c>
      <c r="AF99" s="222" t="s">
        <v>84</v>
      </c>
      <c r="AG99" s="222" t="s">
        <v>85</v>
      </c>
      <c r="AH99" s="222" t="s">
        <v>86</v>
      </c>
      <c r="AI99" s="222" t="s">
        <v>87</v>
      </c>
      <c r="AJ99" s="222" t="s">
        <v>88</v>
      </c>
      <c r="AK99" s="222" t="s">
        <v>89</v>
      </c>
      <c r="AL99" s="222" t="s">
        <v>106</v>
      </c>
      <c r="AM99" s="222" t="s">
        <v>90</v>
      </c>
      <c r="AN99" s="222" t="s">
        <v>91</v>
      </c>
      <c r="AO99" s="222" t="s">
        <v>92</v>
      </c>
      <c r="AS99" s="215"/>
      <c r="AT99" s="215"/>
      <c r="AU99" s="215"/>
      <c r="AV99" s="215"/>
      <c r="AW99" s="215"/>
      <c r="AX99" s="215"/>
    </row>
    <row r="100" spans="1:50" ht="19.5" customHeight="1" x14ac:dyDescent="0.25">
      <c r="A100" s="215"/>
      <c r="B100" s="426"/>
      <c r="C100" s="426"/>
      <c r="D100" s="426"/>
      <c r="E100" s="426"/>
      <c r="F100" s="426"/>
      <c r="G100" s="426"/>
      <c r="H100" s="426"/>
      <c r="I100" s="426"/>
      <c r="M100" s="72"/>
      <c r="N100" s="218"/>
      <c r="O100" s="218"/>
      <c r="P100" s="218"/>
      <c r="Q100" s="218"/>
      <c r="R100" s="74"/>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215"/>
      <c r="AT100" s="215"/>
      <c r="AU100" s="215"/>
      <c r="AV100" s="215"/>
      <c r="AW100" s="215"/>
      <c r="AX100" s="215"/>
    </row>
    <row r="101" spans="1:50" ht="19.5" customHeight="1" thickBot="1" x14ac:dyDescent="0.3">
      <c r="A101" s="215"/>
      <c r="B101" s="274"/>
      <c r="C101" s="274"/>
      <c r="D101" s="271"/>
      <c r="H101" s="265"/>
      <c r="I101" s="265"/>
      <c r="M101" s="351" t="s">
        <v>246</v>
      </c>
      <c r="N101" s="361"/>
      <c r="O101" s="416" t="s">
        <v>236</v>
      </c>
      <c r="P101" s="416"/>
      <c r="Q101" s="416"/>
      <c r="R101" s="26"/>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215"/>
      <c r="AT101" s="215"/>
      <c r="AU101" s="215"/>
      <c r="AV101" s="215"/>
      <c r="AW101" s="215"/>
      <c r="AX101" s="215"/>
    </row>
    <row r="102" spans="1:50" ht="19.5" customHeight="1" thickBot="1" x14ac:dyDescent="0.3">
      <c r="A102" s="215"/>
      <c r="B102" s="423" t="s">
        <v>518</v>
      </c>
      <c r="C102" s="424"/>
      <c r="D102" s="424"/>
      <c r="E102" s="424"/>
      <c r="F102" s="424"/>
      <c r="G102" s="424"/>
      <c r="H102" s="424"/>
      <c r="I102" s="425"/>
      <c r="M102" s="351"/>
      <c r="N102" s="361"/>
      <c r="O102" s="341" t="s">
        <v>301</v>
      </c>
      <c r="P102" s="341"/>
      <c r="Q102" s="341"/>
      <c r="R102" s="26"/>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215"/>
      <c r="AT102" s="215"/>
      <c r="AU102" s="215"/>
      <c r="AV102" s="215"/>
      <c r="AW102" s="215"/>
      <c r="AX102" s="215"/>
    </row>
    <row r="103" spans="1:50" ht="19.5" customHeight="1" x14ac:dyDescent="0.25">
      <c r="M103" s="351"/>
      <c r="N103" s="361"/>
      <c r="O103" s="341"/>
      <c r="P103" s="341"/>
      <c r="Q103" s="341"/>
      <c r="R103" s="26"/>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215"/>
      <c r="AT103" s="215"/>
      <c r="AU103" s="215"/>
      <c r="AV103" s="215"/>
      <c r="AW103" s="215"/>
      <c r="AX103" s="215"/>
    </row>
    <row r="104" spans="1:50" ht="19.5" customHeight="1" x14ac:dyDescent="0.25">
      <c r="B104" s="434" t="s">
        <v>549</v>
      </c>
      <c r="C104" s="434"/>
      <c r="D104" s="434"/>
      <c r="E104" s="434"/>
      <c r="F104" s="436">
        <f>I27+I30+I38+I45+I48+I51+I54+I57+I60+I63+I66+I69+I72+I82+I85+I88+I91+I94</f>
        <v>5091.3262437088461</v>
      </c>
      <c r="G104" s="436"/>
      <c r="H104" s="275"/>
      <c r="I104" s="275"/>
      <c r="M104" s="351"/>
      <c r="N104" s="361"/>
      <c r="O104" s="341" t="s">
        <v>97</v>
      </c>
      <c r="P104" s="341"/>
      <c r="Q104" s="341"/>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215"/>
      <c r="AT104" s="215"/>
      <c r="AU104" s="215"/>
      <c r="AV104" s="215"/>
      <c r="AW104" s="215"/>
      <c r="AX104" s="215"/>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215"/>
      <c r="AT105" s="215"/>
      <c r="AU105" s="215"/>
      <c r="AV105" s="215"/>
      <c r="AW105" s="215"/>
      <c r="AX105" s="215"/>
    </row>
    <row r="106" spans="1:50" ht="19.5" customHeight="1" x14ac:dyDescent="0.25">
      <c r="B106" s="434" t="s">
        <v>548</v>
      </c>
      <c r="C106" s="434"/>
      <c r="D106" s="434"/>
      <c r="E106" s="434"/>
      <c r="F106" s="436">
        <f>I28+I31+I39+I46+I49+I52+I55+I58+I61+I64+I67+I70+I73+I83+I86+I89+I92+I95</f>
        <v>18.328774477351853</v>
      </c>
      <c r="G106" s="436"/>
      <c r="H106" s="275"/>
      <c r="I106" s="27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thickBot="1" x14ac:dyDescent="0.3">
      <c r="M107" s="75"/>
      <c r="N107" s="217"/>
      <c r="O107" s="217"/>
      <c r="P107" s="217"/>
      <c r="Q107" s="217"/>
      <c r="R107" s="77"/>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thickBot="1" x14ac:dyDescent="0.3">
      <c r="B108" s="428"/>
      <c r="C108" s="397"/>
      <c r="D108" s="397"/>
      <c r="E108" s="429"/>
      <c r="F108" s="428"/>
      <c r="G108" s="397"/>
      <c r="H108" s="397"/>
      <c r="I108" s="429"/>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B109" s="351"/>
      <c r="C109" s="352"/>
      <c r="D109" s="352"/>
      <c r="E109" s="430"/>
      <c r="F109" s="351"/>
      <c r="G109" s="352"/>
      <c r="H109" s="352"/>
      <c r="I109" s="430"/>
      <c r="M109" s="72"/>
      <c r="N109" s="218"/>
      <c r="O109" s="218"/>
      <c r="P109" s="218"/>
      <c r="Q109" s="218"/>
      <c r="R109" s="74"/>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B110" s="431"/>
      <c r="C110" s="396"/>
      <c r="D110" s="396"/>
      <c r="E110" s="432"/>
      <c r="F110" s="431"/>
      <c r="G110" s="396"/>
      <c r="H110" s="396"/>
      <c r="I110" s="432"/>
      <c r="M110" s="214" t="s">
        <v>250</v>
      </c>
      <c r="N110" s="44" t="s">
        <v>84</v>
      </c>
      <c r="O110" s="44" t="s">
        <v>87</v>
      </c>
      <c r="P110" s="44" t="s">
        <v>85</v>
      </c>
      <c r="Q110" s="44" t="s">
        <v>86</v>
      </c>
      <c r="R110" s="26"/>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x14ac:dyDescent="0.25">
      <c r="B111" s="367" t="s">
        <v>121</v>
      </c>
      <c r="C111" s="367"/>
      <c r="D111" s="367"/>
      <c r="E111" s="427"/>
      <c r="F111" s="367" t="s">
        <v>122</v>
      </c>
      <c r="G111" s="367"/>
      <c r="H111" s="367"/>
      <c r="I111" s="367"/>
      <c r="M111" s="214" t="s">
        <v>243</v>
      </c>
      <c r="N111" s="45">
        <f>AS26</f>
        <v>3.6</v>
      </c>
      <c r="O111" s="45">
        <f>AT26</f>
        <v>1.8</v>
      </c>
      <c r="P111" s="45">
        <f>AU26</f>
        <v>3.6</v>
      </c>
      <c r="Q111" s="45">
        <f>AV26</f>
        <v>18</v>
      </c>
      <c r="R111" s="26"/>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214" t="s">
        <v>251</v>
      </c>
      <c r="N112" s="2">
        <f>AW45</f>
        <v>0</v>
      </c>
      <c r="O112" s="2">
        <f>AX45</f>
        <v>0</v>
      </c>
      <c r="P112" s="2">
        <f>AY45</f>
        <v>0</v>
      </c>
      <c r="Q112" s="2">
        <f>AZ45</f>
        <v>0</v>
      </c>
      <c r="R112" s="26"/>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13:41" ht="19.5" customHeight="1" thickBot="1" x14ac:dyDescent="0.3">
      <c r="M113" s="75"/>
      <c r="N113" s="217"/>
      <c r="O113" s="217"/>
      <c r="P113" s="217"/>
      <c r="Q113" s="217"/>
      <c r="R113" s="77"/>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13:41" ht="19.5" customHeight="1" thickBot="1" x14ac:dyDescent="0.3">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13:41" ht="19.5" customHeight="1" x14ac:dyDescent="0.25">
      <c r="M115" s="280"/>
      <c r="N115" s="279"/>
      <c r="O115" s="279"/>
      <c r="P115" s="279"/>
      <c r="Q115" s="279"/>
      <c r="R115" s="281"/>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13:41" ht="19.5" customHeight="1" x14ac:dyDescent="0.25">
      <c r="M116" s="494" t="s">
        <v>551</v>
      </c>
      <c r="N116" s="495"/>
      <c r="O116" s="416" t="s">
        <v>550</v>
      </c>
      <c r="P116" s="416"/>
      <c r="Q116" s="416"/>
      <c r="R116" s="282"/>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13:41" ht="19.5" customHeight="1" x14ac:dyDescent="0.25">
      <c r="M117" s="494"/>
      <c r="N117" s="495"/>
      <c r="O117" s="341" t="s">
        <v>199</v>
      </c>
      <c r="P117" s="341"/>
      <c r="Q117" s="276"/>
      <c r="R117" s="282"/>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13:41" ht="19.5" customHeight="1" x14ac:dyDescent="0.25">
      <c r="M118" s="494"/>
      <c r="N118" s="495"/>
      <c r="O118" s="341" t="s">
        <v>199</v>
      </c>
      <c r="P118" s="341"/>
      <c r="Q118" s="276"/>
      <c r="R118" s="282"/>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13:41" ht="19.5" customHeight="1" x14ac:dyDescent="0.25">
      <c r="M119" s="494"/>
      <c r="N119" s="495"/>
      <c r="O119" s="341" t="s">
        <v>199</v>
      </c>
      <c r="P119" s="341"/>
      <c r="Q119" s="276"/>
      <c r="R119" s="282"/>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13:41" ht="19.5" customHeight="1" x14ac:dyDescent="0.25">
      <c r="M120" s="494"/>
      <c r="N120" s="495"/>
      <c r="O120" s="341" t="s">
        <v>199</v>
      </c>
      <c r="P120" s="341"/>
      <c r="Q120" s="276"/>
      <c r="R120" s="282"/>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13:41" ht="19.5" customHeight="1" x14ac:dyDescent="0.25">
      <c r="M121" s="494"/>
      <c r="N121" s="495"/>
      <c r="O121" s="341" t="s">
        <v>199</v>
      </c>
      <c r="P121" s="341"/>
      <c r="Q121" s="276"/>
      <c r="R121" s="282"/>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13:41" ht="19.5" customHeight="1" x14ac:dyDescent="0.25">
      <c r="M122" s="494"/>
      <c r="N122" s="495"/>
      <c r="O122" s="341" t="s">
        <v>199</v>
      </c>
      <c r="P122" s="341"/>
      <c r="Q122" s="276"/>
      <c r="R122" s="282"/>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13:41" ht="19.5" customHeight="1" x14ac:dyDescent="0.25">
      <c r="M123" s="494"/>
      <c r="N123" s="495"/>
      <c r="O123" s="341" t="s">
        <v>199</v>
      </c>
      <c r="P123" s="341"/>
      <c r="Q123" s="276"/>
      <c r="R123" s="282"/>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13:41" ht="19.5" customHeight="1" x14ac:dyDescent="0.25">
      <c r="M124" s="494"/>
      <c r="N124" s="495"/>
      <c r="O124" s="341" t="s">
        <v>199</v>
      </c>
      <c r="P124" s="341"/>
      <c r="Q124" s="276"/>
      <c r="R124" s="282"/>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13:41" ht="19.5" customHeight="1" x14ac:dyDescent="0.25">
      <c r="M125" s="496"/>
      <c r="N125" s="501"/>
      <c r="O125" s="277"/>
      <c r="P125" s="277"/>
      <c r="Q125" s="277"/>
      <c r="R125" s="282"/>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13:41" ht="19.5" customHeight="1" x14ac:dyDescent="0.25">
      <c r="M126" s="494" t="s">
        <v>552</v>
      </c>
      <c r="N126" s="365"/>
      <c r="O126" s="499" t="s">
        <v>549</v>
      </c>
      <c r="P126" s="500"/>
      <c r="Q126" s="498">
        <f>T49+T52+T60+T67+T70+T73+T76+T79+T82+T85+T88+T91+T94+T104+T107+T110+T113+T116</f>
        <v>0</v>
      </c>
      <c r="R126" s="497"/>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13:41" ht="19.5" customHeight="1" x14ac:dyDescent="0.25">
      <c r="M127" s="494"/>
      <c r="N127" s="365"/>
      <c r="O127" s="277"/>
      <c r="P127" s="277"/>
      <c r="Q127" s="277"/>
      <c r="R127" s="282"/>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13:41" ht="19.5" customHeight="1" x14ac:dyDescent="0.25">
      <c r="M128" s="494"/>
      <c r="N128" s="365"/>
      <c r="O128" s="499" t="s">
        <v>548</v>
      </c>
      <c r="P128" s="500"/>
      <c r="Q128" s="498">
        <f>T50+T53+T61+T68+T71+T74+T77+T80+T83+T86+T89+T92+T95+T105+T108+T111+T114+T117</f>
        <v>0</v>
      </c>
      <c r="R128" s="497"/>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13:41" ht="19.5" customHeight="1" thickBot="1" x14ac:dyDescent="0.3">
      <c r="M129" s="283"/>
      <c r="N129" s="278"/>
      <c r="O129" s="278"/>
      <c r="P129" s="278"/>
      <c r="Q129" s="278"/>
      <c r="R129" s="284"/>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13: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13: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13: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13: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13: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13: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13: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13: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13: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13: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13: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13: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13: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13: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13: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215"/>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215"/>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215"/>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215"/>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215"/>
      <c r="L158" s="215"/>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215"/>
      <c r="L159" s="215"/>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215"/>
      <c r="L160" s="215"/>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215"/>
      <c r="L161" s="215"/>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215"/>
      <c r="L162" s="215"/>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215"/>
      <c r="L163" s="215"/>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215"/>
      <c r="L164" s="215"/>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215"/>
      <c r="L165" s="215"/>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215"/>
      <c r="L166" s="215"/>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215"/>
      <c r="L167" s="215"/>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215"/>
      <c r="L168" s="215"/>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215"/>
      <c r="L169" s="215"/>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215"/>
      <c r="AQ169" s="215"/>
      <c r="AR169" s="215"/>
    </row>
    <row r="170" spans="11:44" ht="19.5" customHeight="1" x14ac:dyDescent="0.25">
      <c r="K170" s="215"/>
      <c r="L170" s="215"/>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215"/>
      <c r="L171" s="215"/>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215"/>
      <c r="L172" s="215"/>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215"/>
      <c r="L173" s="215"/>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215"/>
      <c r="L174" s="215"/>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215"/>
      <c r="L175" s="215"/>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215"/>
      <c r="L176" s="215"/>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215"/>
      <c r="L177" s="215"/>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215"/>
      <c r="L178" s="215"/>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215"/>
      <c r="L179" s="215"/>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63">
    <mergeCell ref="O126:P126"/>
    <mergeCell ref="O128:P128"/>
    <mergeCell ref="M126:N128"/>
    <mergeCell ref="B106:E106"/>
    <mergeCell ref="B82:C83"/>
    <mergeCell ref="B85:C86"/>
    <mergeCell ref="E82:G82"/>
    <mergeCell ref="E83:G83"/>
    <mergeCell ref="E89:G89"/>
    <mergeCell ref="E92:G92"/>
    <mergeCell ref="E95:G95"/>
    <mergeCell ref="E86:G86"/>
    <mergeCell ref="B88:C89"/>
    <mergeCell ref="B91:C92"/>
    <mergeCell ref="B94:C95"/>
    <mergeCell ref="E85:G85"/>
    <mergeCell ref="E88:G88"/>
    <mergeCell ref="E91:G91"/>
    <mergeCell ref="E94:G94"/>
    <mergeCell ref="F106:G106"/>
    <mergeCell ref="F104:G104"/>
    <mergeCell ref="B72:C73"/>
    <mergeCell ref="B104:E104"/>
    <mergeCell ref="E70:G70"/>
    <mergeCell ref="E73:G73"/>
    <mergeCell ref="E28:G28"/>
    <mergeCell ref="E30:G30"/>
    <mergeCell ref="E31:G31"/>
    <mergeCell ref="E29:G29"/>
    <mergeCell ref="B97:I100"/>
    <mergeCell ref="B75:I78"/>
    <mergeCell ref="E45:G45"/>
    <mergeCell ref="B45:C46"/>
    <mergeCell ref="E49:G49"/>
    <mergeCell ref="E52:G52"/>
    <mergeCell ref="E55:G55"/>
    <mergeCell ref="E58:G58"/>
    <mergeCell ref="E61:G61"/>
    <mergeCell ref="E64:G64"/>
    <mergeCell ref="E67:G67"/>
    <mergeCell ref="B69:C70"/>
    <mergeCell ref="E57:G57"/>
    <mergeCell ref="B57:C58"/>
    <mergeCell ref="E46:G46"/>
    <mergeCell ref="E51:G51"/>
    <mergeCell ref="B48:C49"/>
    <mergeCell ref="B51:C52"/>
    <mergeCell ref="E48:G48"/>
    <mergeCell ref="E54:G54"/>
    <mergeCell ref="B54:C55"/>
    <mergeCell ref="E66:G66"/>
    <mergeCell ref="E69:G69"/>
    <mergeCell ref="E72:G72"/>
    <mergeCell ref="B66:C67"/>
    <mergeCell ref="AT50:AV50"/>
    <mergeCell ref="AQ54:AQ55"/>
    <mergeCell ref="AS54:AS55"/>
    <mergeCell ref="B80:I80"/>
    <mergeCell ref="M97:N97"/>
    <mergeCell ref="M101:N106"/>
    <mergeCell ref="O101:Q101"/>
    <mergeCell ref="O102:Q102"/>
    <mergeCell ref="O103:Q103"/>
    <mergeCell ref="O104:Q104"/>
    <mergeCell ref="O105:Q105"/>
    <mergeCell ref="O106:Q106"/>
    <mergeCell ref="U100:U114"/>
    <mergeCell ref="M95:N95"/>
    <mergeCell ref="O78:Q78"/>
    <mergeCell ref="O79:P79"/>
    <mergeCell ref="V98:V99"/>
    <mergeCell ref="W98:W99"/>
    <mergeCell ref="X98:AO98"/>
    <mergeCell ref="V54:V55"/>
    <mergeCell ref="O62:Q62"/>
    <mergeCell ref="M55:N65"/>
    <mergeCell ref="M96:N96"/>
    <mergeCell ref="M46:N50"/>
    <mergeCell ref="U151:U159"/>
    <mergeCell ref="U160:U169"/>
    <mergeCell ref="U170:U179"/>
    <mergeCell ref="U98:U99"/>
    <mergeCell ref="V71:V72"/>
    <mergeCell ref="X48:Y48"/>
    <mergeCell ref="X49:Y49"/>
    <mergeCell ref="O50:P50"/>
    <mergeCell ref="O56:Q56"/>
    <mergeCell ref="U131:U150"/>
    <mergeCell ref="O87:P87"/>
    <mergeCell ref="O88:P88"/>
    <mergeCell ref="O89:P89"/>
    <mergeCell ref="O91:Q91"/>
    <mergeCell ref="U115:U130"/>
    <mergeCell ref="O124:P124"/>
    <mergeCell ref="O117:P117"/>
    <mergeCell ref="O118:P118"/>
    <mergeCell ref="O119:P119"/>
    <mergeCell ref="O120:P120"/>
    <mergeCell ref="O121:P121"/>
    <mergeCell ref="O122:P122"/>
    <mergeCell ref="O123:P123"/>
    <mergeCell ref="O60:Q60"/>
    <mergeCell ref="O116:Q116"/>
    <mergeCell ref="O70:Q70"/>
    <mergeCell ref="U73:U82"/>
    <mergeCell ref="O71:P71"/>
    <mergeCell ref="O72:P72"/>
    <mergeCell ref="O73:P73"/>
    <mergeCell ref="O75:Q75"/>
    <mergeCell ref="O77:Q77"/>
    <mergeCell ref="U87:U95"/>
    <mergeCell ref="O85:Q85"/>
    <mergeCell ref="O86:Q86"/>
    <mergeCell ref="M116:N124"/>
    <mergeCell ref="AQ58:AR58"/>
    <mergeCell ref="B111:E111"/>
    <mergeCell ref="F111:I111"/>
    <mergeCell ref="U56:U68"/>
    <mergeCell ref="B108:E110"/>
    <mergeCell ref="F108:I110"/>
    <mergeCell ref="W71:W72"/>
    <mergeCell ref="X71:Z71"/>
    <mergeCell ref="M69:N89"/>
    <mergeCell ref="O80:P80"/>
    <mergeCell ref="O81:P81"/>
    <mergeCell ref="U85:U86"/>
    <mergeCell ref="V85:V86"/>
    <mergeCell ref="W85:W86"/>
    <mergeCell ref="X85:AE85"/>
    <mergeCell ref="O83:Q83"/>
    <mergeCell ref="O69:Q69"/>
    <mergeCell ref="B60:C61"/>
    <mergeCell ref="B63:C64"/>
    <mergeCell ref="E60:G60"/>
    <mergeCell ref="E63:G63"/>
    <mergeCell ref="B102:I102"/>
    <mergeCell ref="U71:U72"/>
    <mergeCell ref="O58:Q59"/>
    <mergeCell ref="U45:V45"/>
    <mergeCell ref="X45:Z45"/>
    <mergeCell ref="X46:Y46"/>
    <mergeCell ref="O45:Q46"/>
    <mergeCell ref="O48:Q49"/>
    <mergeCell ref="AQ57:AR57"/>
    <mergeCell ref="O55:Q55"/>
    <mergeCell ref="U54:U55"/>
    <mergeCell ref="W54:W55"/>
    <mergeCell ref="AP54:AP55"/>
    <mergeCell ref="O47:P47"/>
    <mergeCell ref="X47:Y47"/>
    <mergeCell ref="X54:AA54"/>
    <mergeCell ref="M36:R36"/>
    <mergeCell ref="AB36:AC36"/>
    <mergeCell ref="AQ36:AR36"/>
    <mergeCell ref="B44:I44"/>
    <mergeCell ref="M38:N42"/>
    <mergeCell ref="O38:Q38"/>
    <mergeCell ref="AB38:AC38"/>
    <mergeCell ref="P39:Q39"/>
    <mergeCell ref="AB39:AC39"/>
    <mergeCell ref="AP39:AQ39"/>
    <mergeCell ref="AP40:AQ40"/>
    <mergeCell ref="O41:Q41"/>
    <mergeCell ref="AP41:AQ41"/>
    <mergeCell ref="E38:G38"/>
    <mergeCell ref="E39:G39"/>
    <mergeCell ref="B38:C39"/>
    <mergeCell ref="O42:Q42"/>
    <mergeCell ref="AP42:AQ42"/>
    <mergeCell ref="B41:I42"/>
    <mergeCell ref="AP43:AQ43"/>
    <mergeCell ref="M44:R44"/>
    <mergeCell ref="AP44:AQ44"/>
    <mergeCell ref="AQ35:AR35"/>
    <mergeCell ref="O31:Q31"/>
    <mergeCell ref="AQ31:AR31"/>
    <mergeCell ref="AQ32:AR32"/>
    <mergeCell ref="B37:I37"/>
    <mergeCell ref="O33:Q33"/>
    <mergeCell ref="AQ33:AR33"/>
    <mergeCell ref="AD22:AD23"/>
    <mergeCell ref="AP25:AP26"/>
    <mergeCell ref="AQ25:AR26"/>
    <mergeCell ref="B26:I26"/>
    <mergeCell ref="U26:Z26"/>
    <mergeCell ref="B27:C28"/>
    <mergeCell ref="AP27:AP36"/>
    <mergeCell ref="AQ27:AR27"/>
    <mergeCell ref="B33:I35"/>
    <mergeCell ref="AQ28:AR28"/>
    <mergeCell ref="B30:C31"/>
    <mergeCell ref="M29:N34"/>
    <mergeCell ref="O29:Q29"/>
    <mergeCell ref="E27:G27"/>
    <mergeCell ref="AQ29:AR29"/>
    <mergeCell ref="AQ30:AR30"/>
    <mergeCell ref="O34:Q34"/>
    <mergeCell ref="AQ34:AR34"/>
    <mergeCell ref="B16:I16"/>
    <mergeCell ref="AP16:AP17"/>
    <mergeCell ref="AQ18:AR18"/>
    <mergeCell ref="AQ19:AR19"/>
    <mergeCell ref="B20:E20"/>
    <mergeCell ref="V20:X20"/>
    <mergeCell ref="AQ20:AR20"/>
    <mergeCell ref="Z21:AB21"/>
    <mergeCell ref="AQ16:AR17"/>
    <mergeCell ref="U17:X19"/>
    <mergeCell ref="Y17:AD20"/>
    <mergeCell ref="B18:D18"/>
    <mergeCell ref="F18:H18"/>
    <mergeCell ref="AF18:AF20"/>
    <mergeCell ref="AJ18:AJ20"/>
    <mergeCell ref="AK18:AK20"/>
    <mergeCell ref="AB29:AC29"/>
    <mergeCell ref="H29:I29"/>
    <mergeCell ref="AB35:AC35"/>
    <mergeCell ref="M2:R2"/>
    <mergeCell ref="U3:X5"/>
    <mergeCell ref="Y3:AD6"/>
    <mergeCell ref="O4:P4"/>
    <mergeCell ref="AP4:AP5"/>
    <mergeCell ref="AD8:AD11"/>
    <mergeCell ref="AG8:AH8"/>
    <mergeCell ref="AI8:AJ8"/>
    <mergeCell ref="AM18:AM20"/>
    <mergeCell ref="AF15:AF17"/>
    <mergeCell ref="AJ15:AJ17"/>
    <mergeCell ref="AK15:AK17"/>
    <mergeCell ref="AL15:AL17"/>
    <mergeCell ref="AM15:AM17"/>
    <mergeCell ref="AL18:AL20"/>
    <mergeCell ref="AF9:AF11"/>
    <mergeCell ref="AJ9:AJ11"/>
    <mergeCell ref="AK9:AK11"/>
    <mergeCell ref="AL9:AL11"/>
    <mergeCell ref="AM9:AM11"/>
    <mergeCell ref="AP10:AP11"/>
    <mergeCell ref="AF12:AF14"/>
    <mergeCell ref="AJ12:AJ14"/>
    <mergeCell ref="B9:I9"/>
    <mergeCell ref="AQ10:AR11"/>
    <mergeCell ref="AV10:AV11"/>
    <mergeCell ref="C11:I11"/>
    <mergeCell ref="C12:I12"/>
    <mergeCell ref="AL12:AL14"/>
    <mergeCell ref="AM12:AM14"/>
    <mergeCell ref="AQ12:AR12"/>
    <mergeCell ref="C13:I13"/>
    <mergeCell ref="AQ13:AR13"/>
    <mergeCell ref="C14:G14"/>
    <mergeCell ref="AQ14:AR14"/>
    <mergeCell ref="AK12:AK14"/>
    <mergeCell ref="M4:N25"/>
    <mergeCell ref="AQ4:AR5"/>
    <mergeCell ref="AV4:AV5"/>
    <mergeCell ref="V6:X6"/>
    <mergeCell ref="AQ6:AR6"/>
    <mergeCell ref="Z7:AB7"/>
    <mergeCell ref="AF7:AM7"/>
    <mergeCell ref="AQ7:AR7"/>
    <mergeCell ref="AQ8:AR8"/>
    <mergeCell ref="AV16:AV17"/>
  </mergeCells>
  <dataValidations count="5">
    <dataValidation type="list" allowBlank="1" showInputMessage="1" showErrorMessage="1" sqref="O42:Q42">
      <formula1>$AK$29:$AK$38</formula1>
    </dataValidation>
    <dataValidation type="list" allowBlank="1" showInputMessage="1" showErrorMessage="1" sqref="Q79:Q81 Q87:Q89 Q71:Q73 Q47 Q50">
      <formula1>$AI$29:$AI$40</formula1>
    </dataValidation>
    <dataValidation type="list" allowBlank="1" showInputMessage="1" showErrorMessage="1" sqref="P39:Q39">
      <formula1>$AE$31:$AE$35</formula1>
    </dataValidation>
    <dataValidation type="list" allowBlank="1" showInputMessage="1" showErrorMessage="1" sqref="O60">
      <formula1>$AG$29:$AG$30</formula1>
    </dataValidation>
    <dataValidation type="list" allowBlank="1" showInputMessage="1" showErrorMessage="1" sqref="O102:Q106 Q117:Q124">
      <formula1>$V$170:$V$179</formula1>
    </dataValidation>
  </dataValidations>
  <pageMargins left="0.19685039370078741" right="0.11811023622047245" top="0.59055118110236227" bottom="0.39370078740157483" header="0.19685039370078741" footer="0"/>
  <pageSetup paperSize="9" scale="36" fitToWidth="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ignoredErrors>
    <ignoredError sqref="D49:E49 B48 D48:E48 D45:D46 E45:E46 E51:E52 D51:D52 I45:I46 I48:I49 I51:I52" unlockedFormula="1"/>
  </ignoredErrors>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corretivos'!$C$104:$C$113</xm:f>
          </x14:formula1>
          <xm:sqref>O56:Q56</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corretivos'!$C$3:$C$62</xm:f>
          </x14:formula1>
          <xm:sqref>O71:P73 O79:P81 O87:P89 O117:P124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M4" sqref="M4:N4"/>
    </sheetView>
  </sheetViews>
  <sheetFormatPr defaultRowHeight="19.5" customHeight="1" outlineLevelCol="1" x14ac:dyDescent="0.25"/>
  <cols>
    <col min="1" max="1" width="5.7109375" style="19" customWidth="1"/>
    <col min="2" max="2" width="37.28515625" style="19" customWidth="1"/>
    <col min="3" max="3" width="29.5703125" style="19" customWidth="1"/>
    <col min="4" max="9" width="16.7109375" style="19" customWidth="1"/>
    <col min="10" max="10" width="5.85546875" style="22" customWidth="1"/>
    <col min="11" max="12" width="0" style="19" hidden="1" customWidth="1"/>
    <col min="13" max="13" width="36.5703125" style="19" customWidth="1"/>
    <col min="14" max="14" width="13.140625" style="19" bestFit="1" customWidth="1"/>
    <col min="15" max="15" width="29.7109375" style="19" customWidth="1"/>
    <col min="16" max="16" width="18.42578125" style="19" customWidth="1"/>
    <col min="17" max="17" width="49.140625" style="19" customWidth="1"/>
    <col min="18" max="18" width="8"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7.42578125" style="19" bestFit="1" customWidth="1" outlineLevel="1"/>
    <col min="25" max="25" width="22.42578125" style="19" customWidth="1" outlineLevel="1"/>
    <col min="26" max="26" width="22" style="19" bestFit="1"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36.140625" style="19" customWidth="1" outlineLevel="1"/>
    <col min="32" max="32" width="25.5703125" style="19" customWidth="1" outlineLevel="1"/>
    <col min="33" max="33" width="22" style="19" customWidth="1" outlineLevel="1"/>
    <col min="34" max="34" width="21.5703125" style="19" customWidth="1" outlineLevel="1"/>
    <col min="35" max="35" width="24.7109375" style="19" customWidth="1" outlineLevel="1"/>
    <col min="36" max="36" width="14.28515625" style="19" customWidth="1" outlineLevel="1"/>
    <col min="37" max="37" width="32.42578125" style="19" customWidth="1" outlineLevel="1"/>
    <col min="38" max="38" width="13.140625" style="19" bestFit="1"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13.7109375" style="19" customWidth="1" outlineLevel="1"/>
    <col min="47" max="47" width="31.42578125" style="19" customWidth="1" outlineLevel="1"/>
    <col min="48" max="48" width="9.85546875" style="19" bestFit="1"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19.5" customHeight="1" thickBot="1" x14ac:dyDescent="0.3">
      <c r="B1" s="90"/>
      <c r="C1" s="90"/>
      <c r="D1" s="90"/>
      <c r="E1" s="90"/>
      <c r="F1" s="90"/>
      <c r="G1" s="90"/>
      <c r="H1" s="90"/>
      <c r="I1" s="90"/>
    </row>
    <row r="2" spans="1:54" ht="19.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19.5" customHeight="1" x14ac:dyDescent="0.25">
      <c r="B3" s="90"/>
      <c r="C3" s="90"/>
      <c r="D3" s="90"/>
      <c r="E3" s="90"/>
      <c r="F3" s="90"/>
      <c r="G3" s="90"/>
      <c r="H3" s="90"/>
      <c r="I3" s="90"/>
      <c r="M3" s="72"/>
      <c r="N3" s="118"/>
      <c r="O3" s="118"/>
      <c r="P3" s="118"/>
      <c r="Q3" s="118"/>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19.5" customHeight="1" x14ac:dyDescent="0.25">
      <c r="B4" s="90"/>
      <c r="C4" s="90"/>
      <c r="D4" s="90"/>
      <c r="E4" s="90"/>
      <c r="F4" s="90"/>
      <c r="G4" s="90"/>
      <c r="H4" s="90"/>
      <c r="I4" s="90"/>
      <c r="M4" s="437" t="s">
        <v>296</v>
      </c>
      <c r="N4" s="438"/>
      <c r="O4" s="342" t="s">
        <v>181</v>
      </c>
      <c r="P4" s="342"/>
      <c r="Q4" s="110" t="s">
        <v>0</v>
      </c>
      <c r="R4" s="26"/>
      <c r="U4" s="343"/>
      <c r="V4" s="343"/>
      <c r="W4" s="343"/>
      <c r="X4" s="343"/>
      <c r="Y4" s="340"/>
      <c r="Z4" s="340"/>
      <c r="AA4" s="340"/>
      <c r="AB4" s="340"/>
      <c r="AC4" s="340"/>
      <c r="AD4" s="340"/>
      <c r="AO4" s="10"/>
      <c r="AP4" s="334" t="s">
        <v>239</v>
      </c>
      <c r="AQ4" s="334" t="s">
        <v>240</v>
      </c>
      <c r="AR4" s="334"/>
      <c r="AS4" s="115" t="s">
        <v>33</v>
      </c>
      <c r="AT4" s="115" t="s">
        <v>205</v>
      </c>
      <c r="AU4" s="115" t="s">
        <v>206</v>
      </c>
      <c r="AV4" s="363" t="s">
        <v>241</v>
      </c>
      <c r="AW4" s="10"/>
      <c r="AX4" s="10"/>
      <c r="AY4" s="10"/>
      <c r="AZ4" s="10"/>
      <c r="BA4" s="10"/>
      <c r="BB4" s="10"/>
    </row>
    <row r="5" spans="1:54" ht="19.5" customHeight="1" x14ac:dyDescent="0.25">
      <c r="B5" s="90"/>
      <c r="C5" s="90"/>
      <c r="D5" s="90"/>
      <c r="E5" s="90"/>
      <c r="F5" s="90"/>
      <c r="G5" s="90"/>
      <c r="H5" s="90"/>
      <c r="I5" s="90"/>
      <c r="M5" s="351" t="s">
        <v>193</v>
      </c>
      <c r="N5" s="361"/>
      <c r="O5" s="109" t="s">
        <v>1</v>
      </c>
      <c r="P5" s="8"/>
      <c r="Q5" s="109" t="s">
        <v>2</v>
      </c>
      <c r="R5" s="26"/>
      <c r="U5" s="343"/>
      <c r="V5" s="343"/>
      <c r="W5" s="343"/>
      <c r="X5" s="343"/>
      <c r="Y5" s="340"/>
      <c r="Z5" s="340"/>
      <c r="AA5" s="340"/>
      <c r="AB5" s="340"/>
      <c r="AC5" s="340"/>
      <c r="AD5" s="340"/>
      <c r="AO5" s="10"/>
      <c r="AP5" s="334"/>
      <c r="AQ5" s="334"/>
      <c r="AR5" s="334"/>
      <c r="AS5" s="18" t="e">
        <f>$AC$30</f>
        <v>#VALUE!</v>
      </c>
      <c r="AT5" s="18" t="e">
        <f>$AC$31</f>
        <v>#VALUE!</v>
      </c>
      <c r="AU5" s="18" t="e">
        <f>$AC$32</f>
        <v>#VALUE!</v>
      </c>
      <c r="AV5" s="364"/>
      <c r="AW5" s="10"/>
      <c r="AX5" s="10"/>
      <c r="AY5" s="10"/>
      <c r="AZ5" s="10"/>
      <c r="BA5" s="10"/>
      <c r="BB5" s="10"/>
    </row>
    <row r="6" spans="1:54" ht="19.5" customHeight="1" x14ac:dyDescent="0.25">
      <c r="B6" s="90"/>
      <c r="C6" s="90"/>
      <c r="D6" s="90"/>
      <c r="E6" s="90"/>
      <c r="F6" s="90"/>
      <c r="G6" s="90"/>
      <c r="H6" s="90"/>
      <c r="I6" s="90"/>
      <c r="M6" s="351"/>
      <c r="N6" s="361"/>
      <c r="O6" s="109" t="s">
        <v>3</v>
      </c>
      <c r="P6" s="9"/>
      <c r="Q6" s="109" t="s">
        <v>55</v>
      </c>
      <c r="R6" s="26"/>
      <c r="U6" s="109" t="s">
        <v>29</v>
      </c>
      <c r="V6" s="340" t="s">
        <v>51</v>
      </c>
      <c r="W6" s="340"/>
      <c r="X6" s="340"/>
      <c r="Y6" s="340"/>
      <c r="Z6" s="340"/>
      <c r="AA6" s="340"/>
      <c r="AB6" s="340"/>
      <c r="AC6" s="340"/>
      <c r="AD6" s="340"/>
      <c r="AO6" s="10"/>
      <c r="AP6" s="115">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19.5" customHeight="1" x14ac:dyDescent="0.25">
      <c r="B7" s="90"/>
      <c r="C7" s="90"/>
      <c r="D7" s="90"/>
      <c r="E7" s="90"/>
      <c r="F7" s="90"/>
      <c r="G7" s="90"/>
      <c r="H7" s="90"/>
      <c r="I7" s="90"/>
      <c r="M7" s="351"/>
      <c r="N7" s="361"/>
      <c r="O7" s="109" t="s">
        <v>4</v>
      </c>
      <c r="P7" s="8"/>
      <c r="Q7" s="109" t="s">
        <v>55</v>
      </c>
      <c r="R7" s="26"/>
      <c r="U7" s="109" t="s">
        <v>23</v>
      </c>
      <c r="V7" s="109" t="s">
        <v>25</v>
      </c>
      <c r="W7" s="109" t="s">
        <v>26</v>
      </c>
      <c r="X7" s="109" t="s">
        <v>31</v>
      </c>
      <c r="Y7" s="109" t="s">
        <v>53</v>
      </c>
      <c r="Z7" s="340" t="s">
        <v>54</v>
      </c>
      <c r="AA7" s="340"/>
      <c r="AB7" s="340"/>
      <c r="AC7" s="109" t="s">
        <v>57</v>
      </c>
      <c r="AD7" s="109" t="s">
        <v>58</v>
      </c>
      <c r="AF7" s="335" t="s">
        <v>228</v>
      </c>
      <c r="AG7" s="335"/>
      <c r="AH7" s="335"/>
      <c r="AI7" s="335"/>
      <c r="AJ7" s="335"/>
      <c r="AK7" s="335"/>
      <c r="AL7" s="335"/>
      <c r="AM7" s="335"/>
      <c r="AO7" s="10"/>
      <c r="AP7" s="115">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19.5" customHeight="1" thickBot="1" x14ac:dyDescent="0.3">
      <c r="B8" s="90"/>
      <c r="C8" s="90"/>
      <c r="D8" s="90"/>
      <c r="E8" s="90"/>
      <c r="F8" s="90"/>
      <c r="G8" s="90"/>
      <c r="H8" s="90"/>
      <c r="I8" s="90"/>
      <c r="M8" s="351"/>
      <c r="N8" s="361"/>
      <c r="O8" s="109" t="s">
        <v>5</v>
      </c>
      <c r="P8" s="9"/>
      <c r="Q8" s="102" t="s">
        <v>55</v>
      </c>
      <c r="R8" s="26"/>
      <c r="U8" s="109" t="s">
        <v>37</v>
      </c>
      <c r="V8" s="109" t="s">
        <v>39</v>
      </c>
      <c r="W8" s="109" t="s">
        <v>30</v>
      </c>
      <c r="X8" s="109" t="s">
        <v>43</v>
      </c>
      <c r="Y8" s="109" t="str">
        <f>IF($P$21&lt;=15.99,"correto","erro")</f>
        <v>correto</v>
      </c>
      <c r="Z8" s="109" t="str">
        <f>IF($P$13&lt;=12,"baixo","erro")</f>
        <v>baixo</v>
      </c>
      <c r="AA8" s="109" t="str">
        <f>IF(AND($P$13&gt;=12.01,$P$13&lt;=18),"medio","erro")</f>
        <v>erro</v>
      </c>
      <c r="AB8" s="109" t="str">
        <f>IF($P$13&gt;18,"adequado","erro")</f>
        <v>erro</v>
      </c>
      <c r="AC8" s="109" t="str">
        <f>IF(Z8="baixo","baixo",IF(AA8="medio","medio",IF(AB8="adequado","adequado",0)))</f>
        <v>baixo</v>
      </c>
      <c r="AD8" s="340" t="str">
        <f>VLOOKUP("correto",Y8:AC11,5,0)</f>
        <v>baixo</v>
      </c>
      <c r="AF8" s="109" t="s">
        <v>231</v>
      </c>
      <c r="AG8" s="335" t="s">
        <v>229</v>
      </c>
      <c r="AH8" s="335"/>
      <c r="AI8" s="340" t="s">
        <v>230</v>
      </c>
      <c r="AJ8" s="340"/>
      <c r="AK8" s="109" t="s">
        <v>58</v>
      </c>
      <c r="AL8" s="109" t="s">
        <v>244</v>
      </c>
      <c r="AM8" s="109" t="s">
        <v>247</v>
      </c>
      <c r="AO8" s="10"/>
      <c r="AP8" s="115">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19.5" customHeight="1" thickBot="1" x14ac:dyDescent="0.3">
      <c r="A9" s="27"/>
      <c r="B9" s="317" t="s">
        <v>108</v>
      </c>
      <c r="C9" s="318"/>
      <c r="D9" s="318"/>
      <c r="E9" s="318"/>
      <c r="F9" s="318"/>
      <c r="G9" s="318"/>
      <c r="H9" s="318"/>
      <c r="I9" s="319"/>
      <c r="M9" s="351"/>
      <c r="N9" s="361"/>
      <c r="O9" s="109" t="s">
        <v>6</v>
      </c>
      <c r="P9" s="8"/>
      <c r="Q9" s="109" t="s">
        <v>55</v>
      </c>
      <c r="R9" s="26"/>
      <c r="U9" s="109" t="s">
        <v>27</v>
      </c>
      <c r="V9" s="109" t="s">
        <v>40</v>
      </c>
      <c r="W9" s="109" t="s">
        <v>44</v>
      </c>
      <c r="X9" s="109" t="s">
        <v>47</v>
      </c>
      <c r="Y9" s="109" t="str">
        <f>IF(AND($P$21&gt;15.99,P21&lt;34.99),"correto","erro")</f>
        <v>erro</v>
      </c>
      <c r="Z9" s="109" t="str">
        <f>IF($P$13&lt;=10,"baixo","erro")</f>
        <v>baixo</v>
      </c>
      <c r="AA9" s="109" t="str">
        <f>IF(AND($P$13&gt;=10.01,$P$13&lt;=15),"medio","erro")</f>
        <v>erro</v>
      </c>
      <c r="AB9" s="109" t="str">
        <f>IF($P$13&gt;15,"adequado","erro")</f>
        <v>erro</v>
      </c>
      <c r="AC9" s="109" t="str">
        <f>IF(Z9="baixo","baixo",IF(AA9="medio","medio",IF(AB9="adequado","adequado",0)))</f>
        <v>baixo</v>
      </c>
      <c r="AD9" s="340"/>
      <c r="AF9" s="335" t="s">
        <v>227</v>
      </c>
      <c r="AG9" s="116" t="s">
        <v>25</v>
      </c>
      <c r="AH9" s="116" t="s">
        <v>223</v>
      </c>
      <c r="AI9" s="109" t="str">
        <f>IF($P$14&lt;=0.2,"baixo","erro")</f>
        <v>baixo</v>
      </c>
      <c r="AJ9" s="340" t="str">
        <f>IF($AI$9="baixo","baixo",IF($AI$10="medio","medio",IF($AI$11="adequado","adequado",0)))</f>
        <v>baixo</v>
      </c>
      <c r="AK9" s="340" t="e">
        <f>IF(AJ9="Baixo",AL9,0)</f>
        <v>#VALUE!</v>
      </c>
      <c r="AL9" s="340" t="e">
        <f>(AM9*1000)/$E$18</f>
        <v>#VALUE!</v>
      </c>
      <c r="AM9" s="338">
        <v>1</v>
      </c>
      <c r="AO9" s="10"/>
      <c r="AP9" s="10"/>
      <c r="AQ9" s="10"/>
      <c r="AR9" s="10"/>
      <c r="AS9" s="48" t="e">
        <f>AS5-(SUM(AS6:AS8))</f>
        <v>#VALUE!</v>
      </c>
      <c r="AT9" s="48" t="e">
        <f>AT5-(SUM(AT6:AT8))</f>
        <v>#VALUE!</v>
      </c>
      <c r="AU9" s="48" t="e">
        <f>AU5-(SUM(AU6:AU8))</f>
        <v>#VALUE!</v>
      </c>
      <c r="AV9" s="48"/>
      <c r="AW9" s="10"/>
      <c r="AX9" s="10"/>
      <c r="AY9" s="10"/>
      <c r="AZ9" s="10"/>
      <c r="BA9" s="10"/>
      <c r="BB9" s="10"/>
    </row>
    <row r="10" spans="1:54" ht="19.5" customHeight="1" x14ac:dyDescent="0.25">
      <c r="B10" s="90"/>
      <c r="C10" s="90"/>
      <c r="D10" s="90"/>
      <c r="E10" s="90"/>
      <c r="F10" s="90"/>
      <c r="G10" s="90"/>
      <c r="H10" s="90"/>
      <c r="I10" s="90"/>
      <c r="M10" s="351"/>
      <c r="N10" s="361"/>
      <c r="O10" s="109" t="s">
        <v>7</v>
      </c>
      <c r="P10" s="9"/>
      <c r="Q10" s="109" t="s">
        <v>55</v>
      </c>
      <c r="R10" s="26"/>
      <c r="U10" s="109" t="s">
        <v>28</v>
      </c>
      <c r="V10" s="109" t="s">
        <v>41</v>
      </c>
      <c r="W10" s="109" t="s">
        <v>45</v>
      </c>
      <c r="X10" s="109" t="s">
        <v>48</v>
      </c>
      <c r="Y10" s="109" t="str">
        <f>IF(AND($P$21&gt;34.99,P21&lt;59.99),"correto","erro")</f>
        <v>erro</v>
      </c>
      <c r="Z10" s="109" t="str">
        <f>IF($P$13&lt;=5,"baixo","erro")</f>
        <v>baixo</v>
      </c>
      <c r="AA10" s="109" t="str">
        <f>IF(AND($P$13&gt;=5.01,$P$13&lt;=8),"medio","erro")</f>
        <v>erro</v>
      </c>
      <c r="AB10" s="109" t="str">
        <f>IF($P$13&gt;8,"adequado","erro")</f>
        <v>erro</v>
      </c>
      <c r="AC10" s="109" t="str">
        <f>IF(Z10="baixo","baixo",IF(AA10="medio","medio",IF(AB10="adequado","adequado",0)))</f>
        <v>baixo</v>
      </c>
      <c r="AD10" s="340"/>
      <c r="AF10" s="335"/>
      <c r="AG10" s="116" t="s">
        <v>26</v>
      </c>
      <c r="AH10" s="116" t="s">
        <v>219</v>
      </c>
      <c r="AI10" s="109" t="str">
        <f>IF(AND($P$14&gt;=0.201,$P$14&lt;=0.5),"medio","erro")</f>
        <v>erro</v>
      </c>
      <c r="AJ10" s="340"/>
      <c r="AK10" s="340"/>
      <c r="AL10" s="340"/>
      <c r="AM10" s="338"/>
      <c r="AO10" s="10"/>
      <c r="AP10" s="334" t="s">
        <v>239</v>
      </c>
      <c r="AQ10" s="334" t="s">
        <v>240</v>
      </c>
      <c r="AR10" s="334"/>
      <c r="AS10" s="115" t="s">
        <v>33</v>
      </c>
      <c r="AT10" s="115" t="s">
        <v>205</v>
      </c>
      <c r="AU10" s="115" t="s">
        <v>206</v>
      </c>
      <c r="AV10" s="363" t="s">
        <v>241</v>
      </c>
      <c r="AW10" s="10"/>
      <c r="AX10" s="10"/>
      <c r="AY10" s="10"/>
      <c r="AZ10" s="10"/>
      <c r="BA10" s="10"/>
      <c r="BB10" s="10"/>
    </row>
    <row r="11" spans="1:54" ht="19.5" customHeight="1" x14ac:dyDescent="0.25">
      <c r="B11" s="123" t="s">
        <v>109</v>
      </c>
      <c r="C11" s="323"/>
      <c r="D11" s="323"/>
      <c r="E11" s="323"/>
      <c r="F11" s="323"/>
      <c r="G11" s="323"/>
      <c r="H11" s="323"/>
      <c r="I11" s="324"/>
      <c r="M11" s="351"/>
      <c r="N11" s="361"/>
      <c r="O11" s="109" t="s">
        <v>8</v>
      </c>
      <c r="P11" s="8"/>
      <c r="Q11" s="109" t="s">
        <v>55</v>
      </c>
      <c r="R11" s="26"/>
      <c r="U11" s="109" t="s">
        <v>38</v>
      </c>
      <c r="V11" s="109" t="s">
        <v>42</v>
      </c>
      <c r="W11" s="109" t="s">
        <v>46</v>
      </c>
      <c r="X11" s="109" t="s">
        <v>49</v>
      </c>
      <c r="Y11" s="109" t="str">
        <f>IF($P$21&gt;59.99,"correto","erro")</f>
        <v>erro</v>
      </c>
      <c r="Z11" s="109" t="str">
        <f>IF($P$13&lt;=3,"baixo","erro")</f>
        <v>baixo</v>
      </c>
      <c r="AA11" s="109" t="str">
        <f>IF(AND($P$13&gt;=3.01,$P$13&lt;=6),"medio","erro")</f>
        <v>erro</v>
      </c>
      <c r="AB11" s="109" t="str">
        <f>IF($P$13&gt;6,"adequado","erro")</f>
        <v>erro</v>
      </c>
      <c r="AC11" s="109" t="str">
        <f>IF(Z11="baixo","baixo",IF(AA11="medio","medio",IF(AB11="adequado","adequado",0)))</f>
        <v>baixo</v>
      </c>
      <c r="AD11" s="340"/>
      <c r="AF11" s="335"/>
      <c r="AG11" s="116" t="s">
        <v>215</v>
      </c>
      <c r="AH11" s="116" t="s">
        <v>214</v>
      </c>
      <c r="AI11" s="109" t="str">
        <f>IF($P$14&gt;0.5,"adequado","erro")</f>
        <v>erro</v>
      </c>
      <c r="AJ11" s="340"/>
      <c r="AK11" s="340"/>
      <c r="AL11" s="340"/>
      <c r="AM11" s="338"/>
      <c r="AO11" s="10"/>
      <c r="AP11" s="334"/>
      <c r="AQ11" s="334"/>
      <c r="AR11" s="334"/>
      <c r="AS11" s="18" t="e">
        <f>AS9</f>
        <v>#VALUE!</v>
      </c>
      <c r="AT11" s="18" t="e">
        <f t="shared" ref="AT11:AU11" si="0">AT9</f>
        <v>#VALUE!</v>
      </c>
      <c r="AU11" s="18" t="e">
        <f t="shared" si="0"/>
        <v>#VALUE!</v>
      </c>
      <c r="AV11" s="364"/>
      <c r="AW11" s="10"/>
      <c r="AX11" s="10"/>
      <c r="AY11" s="10"/>
      <c r="AZ11" s="10"/>
      <c r="BA11" s="10"/>
      <c r="BB11" s="10"/>
    </row>
    <row r="12" spans="1:54" ht="19.5" customHeight="1" x14ac:dyDescent="0.25">
      <c r="B12" s="119" t="s">
        <v>110</v>
      </c>
      <c r="C12" s="322"/>
      <c r="D12" s="323"/>
      <c r="E12" s="323"/>
      <c r="F12" s="323"/>
      <c r="G12" s="323"/>
      <c r="H12" s="323"/>
      <c r="I12" s="324"/>
      <c r="M12" s="351"/>
      <c r="N12" s="361"/>
      <c r="O12" s="109" t="s">
        <v>9</v>
      </c>
      <c r="P12" s="9"/>
      <c r="Q12" s="109" t="s">
        <v>10</v>
      </c>
      <c r="R12" s="26"/>
      <c r="AF12" s="335" t="s">
        <v>226</v>
      </c>
      <c r="AG12" s="116" t="s">
        <v>25</v>
      </c>
      <c r="AH12" s="116" t="s">
        <v>222</v>
      </c>
      <c r="AI12" s="109" t="str">
        <f>IF($P$16&lt;=0.4,"baixo","erro")</f>
        <v>baixo</v>
      </c>
      <c r="AJ12" s="340" t="str">
        <f>IF($AI$12="baixo","baixo",IF($AI$13="medio","medio",IF($AI$14="adequado","adequado",0)))</f>
        <v>baixo</v>
      </c>
      <c r="AK12" s="340" t="e">
        <f>IF(AJ12="Baixo",AL12,0)</f>
        <v>#VALUE!</v>
      </c>
      <c r="AL12" s="340" t="e">
        <f>(AM12*1000)/$E$18</f>
        <v>#VALUE!</v>
      </c>
      <c r="AM12" s="338">
        <v>0.5</v>
      </c>
      <c r="AO12" s="10"/>
      <c r="AP12" s="115">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19.5" customHeight="1" x14ac:dyDescent="0.25">
      <c r="B13" s="119" t="s">
        <v>111</v>
      </c>
      <c r="C13" s="322"/>
      <c r="D13" s="323"/>
      <c r="E13" s="323"/>
      <c r="F13" s="323"/>
      <c r="G13" s="323"/>
      <c r="H13" s="323"/>
      <c r="I13" s="324"/>
      <c r="M13" s="351"/>
      <c r="N13" s="361"/>
      <c r="O13" s="109" t="s">
        <v>11</v>
      </c>
      <c r="P13" s="8"/>
      <c r="Q13" s="109" t="s">
        <v>12</v>
      </c>
      <c r="R13" s="26"/>
      <c r="AF13" s="335"/>
      <c r="AG13" s="116" t="s">
        <v>26</v>
      </c>
      <c r="AH13" s="116" t="s">
        <v>218</v>
      </c>
      <c r="AI13" s="109" t="str">
        <f>IF(AND($P$16&gt;=0.401,$P$16&lt;=0.8),"medio","erro")</f>
        <v>erro</v>
      </c>
      <c r="AJ13" s="340"/>
      <c r="AK13" s="340"/>
      <c r="AL13" s="340"/>
      <c r="AM13" s="338"/>
      <c r="AO13" s="10"/>
      <c r="AP13" s="115">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19.5" customHeight="1" x14ac:dyDescent="0.25">
      <c r="B14" s="119" t="s">
        <v>112</v>
      </c>
      <c r="C14" s="322"/>
      <c r="D14" s="323"/>
      <c r="E14" s="323"/>
      <c r="F14" s="323"/>
      <c r="G14" s="324"/>
      <c r="H14" s="123" t="s">
        <v>113</v>
      </c>
      <c r="I14" s="93">
        <f ca="1">TODAY()</f>
        <v>44005</v>
      </c>
      <c r="M14" s="351"/>
      <c r="N14" s="361"/>
      <c r="O14" s="109" t="s">
        <v>13</v>
      </c>
      <c r="P14" s="9"/>
      <c r="Q14" s="109" t="s">
        <v>12</v>
      </c>
      <c r="R14" s="26"/>
      <c r="AF14" s="335"/>
      <c r="AG14" s="116" t="s">
        <v>215</v>
      </c>
      <c r="AH14" s="116" t="s">
        <v>213</v>
      </c>
      <c r="AI14" s="109" t="str">
        <f>IF($P$16&gt;0.8,"adequado","erro")</f>
        <v>erro</v>
      </c>
      <c r="AJ14" s="340"/>
      <c r="AK14" s="340"/>
      <c r="AL14" s="340"/>
      <c r="AM14" s="338"/>
      <c r="AO14" s="10"/>
      <c r="AP14" s="115">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19.5" customHeight="1" thickBot="1" x14ac:dyDescent="0.3">
      <c r="B15" s="90"/>
      <c r="C15" s="90"/>
      <c r="D15" s="90"/>
      <c r="E15" s="90"/>
      <c r="F15" s="90"/>
      <c r="G15" s="90"/>
      <c r="H15" s="90"/>
      <c r="I15" s="90"/>
      <c r="M15" s="351"/>
      <c r="N15" s="361"/>
      <c r="O15" s="109" t="s">
        <v>14</v>
      </c>
      <c r="P15" s="8"/>
      <c r="Q15" s="109" t="s">
        <v>12</v>
      </c>
      <c r="R15" s="26"/>
      <c r="AF15" s="335" t="s">
        <v>225</v>
      </c>
      <c r="AG15" s="116" t="s">
        <v>25</v>
      </c>
      <c r="AH15" s="116" t="s">
        <v>221</v>
      </c>
      <c r="AI15" s="109" t="str">
        <f>IF($P$18&lt;=1.9,"baixo","erro")</f>
        <v>baixo</v>
      </c>
      <c r="AJ15" s="340" t="str">
        <f>IF($AI$15="baixo","baixo",IF($AI$16="medio","medio",IF($AI$17="adequado","adequado",0)))</f>
        <v>baixo</v>
      </c>
      <c r="AK15" s="340" t="e">
        <f>IF(AJ15="Baixo",AL15,0)</f>
        <v>#VALUE!</v>
      </c>
      <c r="AL15" s="340" t="e">
        <f>(AM15*1000)/$E$18</f>
        <v>#VALUE!</v>
      </c>
      <c r="AM15" s="338">
        <v>1</v>
      </c>
      <c r="AO15" s="10"/>
      <c r="AP15" s="10"/>
      <c r="AQ15" s="10"/>
      <c r="AR15" s="10"/>
      <c r="AS15" s="48" t="e">
        <f>AS11-(SUM(AS12:AS14))</f>
        <v>#VALUE!</v>
      </c>
      <c r="AT15" s="48" t="e">
        <f>AT11-(SUM(AT12:AT14))</f>
        <v>#VALUE!</v>
      </c>
      <c r="AU15" s="48" t="e">
        <f>AU11-(SUM(AU12:AU14))</f>
        <v>#VALUE!</v>
      </c>
      <c r="AV15" s="10"/>
      <c r="AW15" s="10"/>
      <c r="AX15" s="10"/>
      <c r="AY15" s="10"/>
      <c r="AZ15" s="10"/>
      <c r="BA15" s="10"/>
      <c r="BB15" s="10"/>
    </row>
    <row r="16" spans="1:54" ht="19.5" customHeight="1" thickBot="1" x14ac:dyDescent="0.3">
      <c r="B16" s="325" t="s">
        <v>290</v>
      </c>
      <c r="C16" s="326"/>
      <c r="D16" s="326"/>
      <c r="E16" s="326"/>
      <c r="F16" s="326"/>
      <c r="G16" s="326"/>
      <c r="H16" s="326"/>
      <c r="I16" s="327"/>
      <c r="M16" s="351"/>
      <c r="N16" s="361"/>
      <c r="O16" s="109" t="s">
        <v>15</v>
      </c>
      <c r="P16" s="9"/>
      <c r="Q16" s="109" t="s">
        <v>12</v>
      </c>
      <c r="R16" s="26"/>
      <c r="AF16" s="335"/>
      <c r="AG16" s="116" t="s">
        <v>26</v>
      </c>
      <c r="AH16" s="116" t="s">
        <v>217</v>
      </c>
      <c r="AI16" s="109" t="str">
        <f>IF(AND($P$18&gt;=1.901,$P$18&lt;=5),"medio","erro")</f>
        <v>erro</v>
      </c>
      <c r="AJ16" s="340"/>
      <c r="AK16" s="340"/>
      <c r="AL16" s="340"/>
      <c r="AM16" s="338"/>
      <c r="AO16" s="10"/>
      <c r="AP16" s="334" t="s">
        <v>239</v>
      </c>
      <c r="AQ16" s="334" t="s">
        <v>240</v>
      </c>
      <c r="AR16" s="334"/>
      <c r="AS16" s="115" t="s">
        <v>33</v>
      </c>
      <c r="AT16" s="115" t="s">
        <v>205</v>
      </c>
      <c r="AU16" s="115" t="s">
        <v>206</v>
      </c>
      <c r="AV16" s="363" t="s">
        <v>241</v>
      </c>
      <c r="AW16" s="10"/>
      <c r="AX16" s="10"/>
      <c r="AY16" s="10"/>
      <c r="AZ16" s="10"/>
      <c r="BA16" s="10"/>
      <c r="BB16" s="10"/>
    </row>
    <row r="17" spans="2:54" ht="19.5" customHeight="1" x14ac:dyDescent="0.25">
      <c r="B17" s="90"/>
      <c r="C17" s="90"/>
      <c r="D17" s="90"/>
      <c r="E17" s="90"/>
      <c r="F17" s="90"/>
      <c r="G17" s="90"/>
      <c r="H17" s="90"/>
      <c r="I17" s="90"/>
      <c r="M17" s="351"/>
      <c r="N17" s="361"/>
      <c r="O17" s="109" t="s">
        <v>16</v>
      </c>
      <c r="P17" s="8"/>
      <c r="Q17" s="109" t="s">
        <v>12</v>
      </c>
      <c r="R17" s="26"/>
      <c r="U17" s="343" t="s">
        <v>60</v>
      </c>
      <c r="V17" s="343"/>
      <c r="W17" s="343"/>
      <c r="X17" s="343"/>
      <c r="Y17" s="340" t="s">
        <v>59</v>
      </c>
      <c r="Z17" s="340"/>
      <c r="AA17" s="340"/>
      <c r="AB17" s="340"/>
      <c r="AC17" s="340"/>
      <c r="AD17" s="340"/>
      <c r="AF17" s="335"/>
      <c r="AG17" s="116" t="s">
        <v>215</v>
      </c>
      <c r="AH17" s="116" t="s">
        <v>212</v>
      </c>
      <c r="AI17" s="109" t="str">
        <f>IF($P$18&gt;5,"adequado","erro")</f>
        <v>erro</v>
      </c>
      <c r="AJ17" s="340"/>
      <c r="AK17" s="340"/>
      <c r="AL17" s="340"/>
      <c r="AM17" s="338"/>
      <c r="AO17" s="10"/>
      <c r="AP17" s="334"/>
      <c r="AQ17" s="334"/>
      <c r="AR17" s="334"/>
      <c r="AS17" s="18" t="e">
        <f>AS15</f>
        <v>#VALUE!</v>
      </c>
      <c r="AT17" s="18" t="e">
        <f t="shared" ref="AT17:AU17" si="1">AT15</f>
        <v>#VALUE!</v>
      </c>
      <c r="AU17" s="18" t="e">
        <f t="shared" si="1"/>
        <v>#VALUE!</v>
      </c>
      <c r="AV17" s="364"/>
      <c r="AW17" s="10"/>
      <c r="AX17" s="10"/>
      <c r="AY17" s="10"/>
      <c r="AZ17" s="10"/>
      <c r="BA17" s="10"/>
      <c r="BB17" s="10"/>
    </row>
    <row r="18" spans="2:54" ht="19.5" customHeight="1" x14ac:dyDescent="0.25">
      <c r="B18" s="339" t="s">
        <v>123</v>
      </c>
      <c r="C18" s="339"/>
      <c r="D18" s="339"/>
      <c r="E18" s="94" t="str">
        <f>IFERROR(IF(ISERR(P35),Q35,IF(ISERR(Q35),P35)),"-")</f>
        <v>-</v>
      </c>
      <c r="F18" s="339" t="s">
        <v>114</v>
      </c>
      <c r="G18" s="339"/>
      <c r="H18" s="339"/>
      <c r="I18" s="123">
        <f>O34</f>
        <v>0</v>
      </c>
      <c r="M18" s="351"/>
      <c r="N18" s="361"/>
      <c r="O18" s="109" t="s">
        <v>17</v>
      </c>
      <c r="P18" s="9"/>
      <c r="Q18" s="109" t="s">
        <v>12</v>
      </c>
      <c r="R18" s="26"/>
      <c r="U18" s="343"/>
      <c r="V18" s="343"/>
      <c r="W18" s="343"/>
      <c r="X18" s="343"/>
      <c r="Y18" s="340"/>
      <c r="Z18" s="340"/>
      <c r="AA18" s="340"/>
      <c r="AB18" s="340"/>
      <c r="AC18" s="340"/>
      <c r="AD18" s="340"/>
      <c r="AF18" s="335" t="s">
        <v>224</v>
      </c>
      <c r="AG18" s="116" t="s">
        <v>25</v>
      </c>
      <c r="AH18" s="116" t="s">
        <v>220</v>
      </c>
      <c r="AI18" s="109" t="str">
        <f>IF($P$19&lt;=1,"baixo","erro")</f>
        <v>baixo</v>
      </c>
      <c r="AJ18" s="340" t="str">
        <f>IF($AI$18="baixo","baixo",IF($AI$19="medio","medio",IF($AI$20="adequado","adequado",0)))</f>
        <v>baixo</v>
      </c>
      <c r="AK18" s="340" t="e">
        <f>IF(AJ18="Baixo",AL18,0)</f>
        <v>#VALUE!</v>
      </c>
      <c r="AL18" s="340" t="e">
        <f>(AM18*1000)/$E$18</f>
        <v>#VALUE!</v>
      </c>
      <c r="AM18" s="338">
        <v>5</v>
      </c>
      <c r="AO18" s="10"/>
      <c r="AP18" s="115">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19.5" customHeight="1" x14ac:dyDescent="0.25">
      <c r="B19" s="90"/>
      <c r="C19" s="90"/>
      <c r="D19" s="90"/>
      <c r="E19" s="90"/>
      <c r="F19" s="90"/>
      <c r="G19" s="90"/>
      <c r="H19" s="90"/>
      <c r="I19" s="90"/>
      <c r="M19" s="351"/>
      <c r="N19" s="361"/>
      <c r="O19" s="109" t="s">
        <v>18</v>
      </c>
      <c r="P19" s="8"/>
      <c r="Q19" s="109" t="s">
        <v>12</v>
      </c>
      <c r="R19" s="26"/>
      <c r="S19" s="20"/>
      <c r="U19" s="343"/>
      <c r="V19" s="343"/>
      <c r="W19" s="343"/>
      <c r="X19" s="343"/>
      <c r="Y19" s="340"/>
      <c r="Z19" s="340"/>
      <c r="AA19" s="340"/>
      <c r="AB19" s="340"/>
      <c r="AC19" s="340"/>
      <c r="AD19" s="340"/>
      <c r="AF19" s="335"/>
      <c r="AG19" s="116" t="s">
        <v>26</v>
      </c>
      <c r="AH19" s="116" t="s">
        <v>216</v>
      </c>
      <c r="AI19" s="109" t="str">
        <f>IF(AND($P$19&gt;=1.01,$P$19&lt;=1.6),"medio","erro")</f>
        <v>erro</v>
      </c>
      <c r="AJ19" s="340"/>
      <c r="AK19" s="340"/>
      <c r="AL19" s="340"/>
      <c r="AM19" s="338"/>
      <c r="AO19" s="10"/>
      <c r="AP19" s="115">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19.5" customHeight="1" x14ac:dyDescent="0.25">
      <c r="B20" s="322" t="s">
        <v>168</v>
      </c>
      <c r="C20" s="323"/>
      <c r="D20" s="323"/>
      <c r="E20" s="324"/>
      <c r="F20" s="95" t="s">
        <v>115</v>
      </c>
      <c r="G20" s="95" t="e">
        <f>P24</f>
        <v>#DIV/0!</v>
      </c>
      <c r="H20" s="95" t="s">
        <v>52</v>
      </c>
      <c r="I20" s="94">
        <f>P21</f>
        <v>0</v>
      </c>
      <c r="M20" s="351"/>
      <c r="N20" s="361"/>
      <c r="O20" s="109" t="s">
        <v>19</v>
      </c>
      <c r="P20" s="9"/>
      <c r="Q20" s="102" t="s">
        <v>23</v>
      </c>
      <c r="R20" s="26"/>
      <c r="U20" s="109" t="s">
        <v>29</v>
      </c>
      <c r="V20" s="340" t="s">
        <v>74</v>
      </c>
      <c r="W20" s="340"/>
      <c r="X20" s="340"/>
      <c r="Y20" s="340"/>
      <c r="Z20" s="340"/>
      <c r="AA20" s="340"/>
      <c r="AB20" s="340"/>
      <c r="AC20" s="340"/>
      <c r="AD20" s="340"/>
      <c r="AF20" s="335"/>
      <c r="AG20" s="116" t="s">
        <v>215</v>
      </c>
      <c r="AH20" s="116" t="s">
        <v>211</v>
      </c>
      <c r="AI20" s="109" t="str">
        <f>IF($P$19&gt;1.6,"adequado","erro")</f>
        <v>erro</v>
      </c>
      <c r="AJ20" s="340"/>
      <c r="AK20" s="340"/>
      <c r="AL20" s="340"/>
      <c r="AM20" s="338"/>
      <c r="AO20" s="10"/>
      <c r="AP20" s="115">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19.5" customHeight="1" x14ac:dyDescent="0.25">
      <c r="B21" s="96" t="s">
        <v>1</v>
      </c>
      <c r="C21" s="97">
        <f>P5</f>
        <v>0</v>
      </c>
      <c r="D21" s="95" t="s">
        <v>116</v>
      </c>
      <c r="E21" s="95">
        <f>P9</f>
        <v>0</v>
      </c>
      <c r="F21" s="95" t="s">
        <v>117</v>
      </c>
      <c r="G21" s="95">
        <f>P23</f>
        <v>0</v>
      </c>
      <c r="H21" s="95" t="s">
        <v>85</v>
      </c>
      <c r="I21" s="95">
        <f>P18</f>
        <v>0</v>
      </c>
      <c r="M21" s="351"/>
      <c r="N21" s="361"/>
      <c r="O21" s="109" t="s">
        <v>52</v>
      </c>
      <c r="P21" s="8"/>
      <c r="Q21" s="102" t="s">
        <v>23</v>
      </c>
      <c r="R21" s="26"/>
      <c r="S21" s="20"/>
      <c r="U21" s="109" t="s">
        <v>23</v>
      </c>
      <c r="V21" s="109" t="s">
        <v>25</v>
      </c>
      <c r="W21" s="109" t="s">
        <v>26</v>
      </c>
      <c r="X21" s="109" t="s">
        <v>31</v>
      </c>
      <c r="Y21" s="109" t="s">
        <v>53</v>
      </c>
      <c r="Z21" s="340" t="s">
        <v>62</v>
      </c>
      <c r="AA21" s="340"/>
      <c r="AB21" s="340"/>
      <c r="AC21" s="109" t="s">
        <v>57</v>
      </c>
      <c r="AD21" s="109" t="s">
        <v>58</v>
      </c>
      <c r="AO21" s="10"/>
      <c r="AP21" s="10"/>
      <c r="AQ21" s="10"/>
      <c r="AR21" s="10"/>
      <c r="AS21" s="48" t="e">
        <f>AS17-(SUM(AS18:AS20))</f>
        <v>#VALUE!</v>
      </c>
      <c r="AT21" s="48" t="e">
        <f t="shared" ref="AT21:AU21" si="2">AT17-(SUM(AT18:AT20))</f>
        <v>#VALUE!</v>
      </c>
      <c r="AU21" s="48" t="e">
        <f t="shared" si="2"/>
        <v>#VALUE!</v>
      </c>
      <c r="AV21" s="48"/>
      <c r="AW21" s="10"/>
      <c r="AX21" s="10"/>
      <c r="AY21" s="10"/>
      <c r="AZ21" s="10"/>
      <c r="BA21" s="10"/>
      <c r="BB21" s="10"/>
    </row>
    <row r="22" spans="2:54" ht="19.5" customHeight="1" x14ac:dyDescent="0.25">
      <c r="B22" s="96" t="s">
        <v>81</v>
      </c>
      <c r="C22" s="97">
        <f>P6</f>
        <v>0</v>
      </c>
      <c r="D22" s="95" t="s">
        <v>79</v>
      </c>
      <c r="E22" s="95">
        <f>P13</f>
        <v>0</v>
      </c>
      <c r="F22" s="95" t="s">
        <v>84</v>
      </c>
      <c r="G22" s="95">
        <f>P14</f>
        <v>0</v>
      </c>
      <c r="H22" s="95" t="s">
        <v>86</v>
      </c>
      <c r="I22" s="95">
        <f>P19</f>
        <v>0</v>
      </c>
      <c r="M22" s="351"/>
      <c r="N22" s="361"/>
      <c r="O22" s="109" t="s">
        <v>20</v>
      </c>
      <c r="P22" s="8"/>
      <c r="Q22" s="102" t="s">
        <v>23</v>
      </c>
      <c r="R22" s="26"/>
      <c r="U22" s="109" t="s">
        <v>50</v>
      </c>
      <c r="V22" s="109" t="s">
        <v>255</v>
      </c>
      <c r="W22" s="109" t="s">
        <v>257</v>
      </c>
      <c r="X22" s="109" t="s">
        <v>258</v>
      </c>
      <c r="Y22" s="109" t="str">
        <f>IF($P$21&lt;=20,"correto","erro")</f>
        <v>correto</v>
      </c>
      <c r="Z22" s="109" t="str">
        <f>IF($P$8&lt;=0.04,"baixo","erro")</f>
        <v>baixo</v>
      </c>
      <c r="AA22" s="109" t="str">
        <f>IF(AND($P$8&gt;=0.041,$P$8&lt;=0.1),"medio","erro")</f>
        <v>erro</v>
      </c>
      <c r="AB22" s="109" t="str">
        <f>IF($P$8&gt;0.101,"adequado","erro")</f>
        <v>erro</v>
      </c>
      <c r="AC22" s="109"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19.5" customHeight="1" x14ac:dyDescent="0.25">
      <c r="B23" s="96" t="s">
        <v>82</v>
      </c>
      <c r="C23" s="97">
        <f>P7</f>
        <v>0</v>
      </c>
      <c r="D23" s="95" t="s">
        <v>118</v>
      </c>
      <c r="E23" s="95">
        <f>P11</f>
        <v>0</v>
      </c>
      <c r="F23" s="95" t="s">
        <v>87</v>
      </c>
      <c r="G23" s="95">
        <f>P16</f>
        <v>0</v>
      </c>
      <c r="H23" s="95" t="s">
        <v>83</v>
      </c>
      <c r="I23" s="95">
        <f>P15</f>
        <v>0</v>
      </c>
      <c r="M23" s="351"/>
      <c r="N23" s="361"/>
      <c r="O23" s="109" t="s">
        <v>21</v>
      </c>
      <c r="P23" s="8"/>
      <c r="Q23" s="109" t="s">
        <v>10</v>
      </c>
      <c r="R23" s="26"/>
      <c r="U23" s="109" t="s">
        <v>61</v>
      </c>
      <c r="V23" s="109" t="s">
        <v>256</v>
      </c>
      <c r="W23" s="109" t="s">
        <v>259</v>
      </c>
      <c r="X23" s="109" t="s">
        <v>260</v>
      </c>
      <c r="Y23" s="109" t="str">
        <f>IF($P$21&gt;20,"correto","erro")</f>
        <v>erro</v>
      </c>
      <c r="Z23" s="109" t="str">
        <f>IF($P$8&lt;=0.06,"baixo","erro")</f>
        <v>baixo</v>
      </c>
      <c r="AA23" s="109" t="str">
        <f>IF(AND($P$8&gt;=0.061,$P$8&lt;=0.2),"medio","erro")</f>
        <v>erro</v>
      </c>
      <c r="AB23" s="109" t="str">
        <f>IF($P$8&gt;0.201,"adequado","erro")</f>
        <v>erro</v>
      </c>
      <c r="AC23" s="109" t="str">
        <f>IF(Z23="baixo","baixo",IF(AA23="medio","medio",IF(AB23="adequado","adequado",0)))</f>
        <v>baixo</v>
      </c>
      <c r="AD23" s="367"/>
      <c r="AO23" s="10"/>
      <c r="AP23" s="10"/>
      <c r="AQ23" s="10"/>
      <c r="AR23" s="10"/>
      <c r="AS23" s="10"/>
      <c r="AT23" s="10"/>
      <c r="AU23" s="10"/>
      <c r="AV23" s="10"/>
      <c r="AW23" s="10"/>
      <c r="AX23" s="10"/>
      <c r="AY23" s="10"/>
      <c r="AZ23" s="10"/>
      <c r="BA23" s="10"/>
      <c r="BB23" s="10"/>
    </row>
    <row r="24" spans="2:54" ht="19.5" customHeight="1" x14ac:dyDescent="0.25">
      <c r="B24" s="96" t="s">
        <v>80</v>
      </c>
      <c r="C24" s="97">
        <f>P8</f>
        <v>0</v>
      </c>
      <c r="D24" s="95" t="s">
        <v>119</v>
      </c>
      <c r="E24" s="95">
        <f>P10</f>
        <v>0</v>
      </c>
      <c r="F24" s="95" t="s">
        <v>89</v>
      </c>
      <c r="G24" s="95">
        <f>P17</f>
        <v>0</v>
      </c>
      <c r="H24" s="95" t="s">
        <v>120</v>
      </c>
      <c r="I24" s="95">
        <f>P25</f>
        <v>0</v>
      </c>
      <c r="M24" s="351"/>
      <c r="N24" s="361"/>
      <c r="O24" s="109" t="s">
        <v>22</v>
      </c>
      <c r="P24" s="2" t="e">
        <f>100*(P6+P7+P8+P9)/P25</f>
        <v>#DIV/0!</v>
      </c>
      <c r="Q24" s="109"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19.5" customHeight="1" thickBot="1" x14ac:dyDescent="0.3">
      <c r="B25" s="90"/>
      <c r="C25" s="90"/>
      <c r="D25" s="90"/>
      <c r="E25" s="90"/>
      <c r="F25" s="90"/>
      <c r="G25" s="90"/>
      <c r="H25" s="90"/>
      <c r="I25" s="90"/>
      <c r="M25" s="351"/>
      <c r="N25" s="361"/>
      <c r="O25" s="109" t="s">
        <v>24</v>
      </c>
      <c r="P25" s="1">
        <f>(P6+P7+P8+P9+P11)</f>
        <v>0</v>
      </c>
      <c r="Q25" s="109" t="s">
        <v>55</v>
      </c>
      <c r="R25" s="26"/>
      <c r="AO25" s="10"/>
      <c r="AP25" s="414" t="s">
        <v>239</v>
      </c>
      <c r="AQ25" s="414" t="s">
        <v>240</v>
      </c>
      <c r="AR25" s="414"/>
      <c r="AS25" s="120" t="s">
        <v>84</v>
      </c>
      <c r="AT25" s="120" t="s">
        <v>87</v>
      </c>
      <c r="AU25" s="120" t="s">
        <v>85</v>
      </c>
      <c r="AV25" s="120" t="s">
        <v>86</v>
      </c>
      <c r="AW25" s="10"/>
      <c r="AX25" s="10"/>
      <c r="AY25" s="10"/>
      <c r="AZ25" s="10"/>
      <c r="BA25" s="10"/>
      <c r="BB25" s="10"/>
    </row>
    <row r="26" spans="2:54" ht="19.5" customHeight="1" thickBot="1" x14ac:dyDescent="0.3">
      <c r="B26" s="358" t="s">
        <v>253</v>
      </c>
      <c r="C26" s="359"/>
      <c r="D26" s="359"/>
      <c r="E26" s="359"/>
      <c r="F26" s="359"/>
      <c r="G26" s="359"/>
      <c r="H26" s="359"/>
      <c r="I26" s="360"/>
      <c r="M26" s="75"/>
      <c r="N26" s="117"/>
      <c r="O26" s="117"/>
      <c r="P26" s="117"/>
      <c r="Q26" s="117"/>
      <c r="R26" s="77"/>
      <c r="U26" s="344" t="s">
        <v>297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19.5" customHeight="1" thickBot="1" x14ac:dyDescent="0.3">
      <c r="B27" s="350" t="str">
        <f>IF($O$47&gt;0,$O$47,"-")</f>
        <v>-</v>
      </c>
      <c r="C27" s="350"/>
      <c r="D27" s="98" t="str">
        <f>IF(J27&gt;0,J27,"-")</f>
        <v>-</v>
      </c>
      <c r="E27" s="310" t="str">
        <f>IF(J27&gt;0,"toneladas por hectare ou,","-")</f>
        <v>-</v>
      </c>
      <c r="F27" s="310"/>
      <c r="G27" s="310"/>
      <c r="H27" s="310"/>
      <c r="I27" s="310"/>
      <c r="J27" s="65">
        <f>V51</f>
        <v>0</v>
      </c>
      <c r="U27" s="109" t="s">
        <v>281</v>
      </c>
      <c r="V27" s="109" t="s">
        <v>298</v>
      </c>
      <c r="W27" s="109" t="s">
        <v>75</v>
      </c>
      <c r="X27" s="109" t="s">
        <v>71</v>
      </c>
      <c r="Y27" s="109" t="s">
        <v>299</v>
      </c>
      <c r="Z27" s="109" t="s">
        <v>300</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19.5" customHeight="1" x14ac:dyDescent="0.25">
      <c r="B28" s="350"/>
      <c r="C28" s="350"/>
      <c r="D28" s="99" t="str">
        <f>IF(J28&gt;0,J28,"-")</f>
        <v>-</v>
      </c>
      <c r="E28" s="310" t="str">
        <f>IF(J28&gt;0,"gramas por metro quadrado","-")</f>
        <v>-</v>
      </c>
      <c r="F28" s="310"/>
      <c r="G28" s="310"/>
      <c r="H28" s="310"/>
      <c r="I28" s="310"/>
      <c r="J28" s="65">
        <f>J27/10</f>
        <v>0</v>
      </c>
      <c r="M28" s="72"/>
      <c r="N28" s="118"/>
      <c r="O28" s="118"/>
      <c r="P28" s="118"/>
      <c r="Q28" s="118"/>
      <c r="R28" s="74"/>
      <c r="U28" s="111" t="s">
        <v>50</v>
      </c>
      <c r="V28" s="111">
        <v>180000</v>
      </c>
      <c r="W28" s="111" t="s">
        <v>68</v>
      </c>
      <c r="X28" s="111" t="str">
        <f>CONCATENATE(U28," - ",W28)</f>
        <v>&lt; 20 - baixo</v>
      </c>
      <c r="Y28" s="111">
        <v>90000</v>
      </c>
      <c r="Z28" s="111">
        <v>230000</v>
      </c>
      <c r="AE28" s="111" t="s">
        <v>63</v>
      </c>
      <c r="AG28" s="109"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19.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111" t="s">
        <v>50</v>
      </c>
      <c r="V29" s="111">
        <v>180000</v>
      </c>
      <c r="W29" s="111" t="s">
        <v>69</v>
      </c>
      <c r="X29" s="111" t="str">
        <f t="shared" ref="X29:X42" si="9">CONCATENATE(U29," - ",W29)</f>
        <v>&lt; 20 - medio</v>
      </c>
      <c r="Y29" s="111">
        <v>70000</v>
      </c>
      <c r="Z29" s="111">
        <v>180000</v>
      </c>
      <c r="AB29" s="413" t="s">
        <v>65</v>
      </c>
      <c r="AC29" s="413"/>
      <c r="AE29" s="111" t="s">
        <v>281</v>
      </c>
      <c r="AG29" s="109" t="s">
        <v>174</v>
      </c>
      <c r="AI29" s="30"/>
      <c r="AK29" s="109"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19.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111" t="s">
        <v>50</v>
      </c>
      <c r="V30" s="111">
        <v>180000</v>
      </c>
      <c r="W30" s="111" t="s">
        <v>70</v>
      </c>
      <c r="X30" s="111" t="str">
        <f t="shared" si="9"/>
        <v>&lt; 20 - adequado</v>
      </c>
      <c r="Y30" s="111">
        <v>35000</v>
      </c>
      <c r="Z30" s="111">
        <v>140000</v>
      </c>
      <c r="AB30" s="121" t="s">
        <v>33</v>
      </c>
      <c r="AC30" s="121" t="e">
        <f>VLOOKUP($P$39,$U$28:$V$42,2,0)/$E$18</f>
        <v>#VALUE!</v>
      </c>
      <c r="AE30" s="111" t="s">
        <v>34</v>
      </c>
      <c r="AG30" s="109" t="s">
        <v>175</v>
      </c>
      <c r="AI30" s="30">
        <v>0</v>
      </c>
      <c r="AK30" s="109"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19.5" customHeight="1" x14ac:dyDescent="0.25">
      <c r="B31" s="439" t="s">
        <v>292</v>
      </c>
      <c r="C31" s="439"/>
      <c r="D31" s="439"/>
      <c r="E31" s="439"/>
      <c r="F31" s="439"/>
      <c r="G31" s="439"/>
      <c r="H31" s="439"/>
      <c r="I31" s="439"/>
      <c r="J31" s="65"/>
      <c r="M31" s="351"/>
      <c r="N31" s="361"/>
      <c r="O31" s="347" t="s">
        <v>183</v>
      </c>
      <c r="P31" s="348"/>
      <c r="Q31" s="349"/>
      <c r="R31" s="26"/>
      <c r="U31" s="111" t="s">
        <v>279</v>
      </c>
      <c r="V31" s="111">
        <v>200000</v>
      </c>
      <c r="W31" s="111" t="s">
        <v>68</v>
      </c>
      <c r="X31" s="111" t="str">
        <f t="shared" si="9"/>
        <v>20,1 - 30 - baixo</v>
      </c>
      <c r="Y31" s="111">
        <v>120000</v>
      </c>
      <c r="Z31" s="111">
        <v>290000</v>
      </c>
      <c r="AB31" s="121" t="s">
        <v>66</v>
      </c>
      <c r="AC31" s="121" t="e">
        <f>VLOOKUP(AB36,X28:Z42,2,0)/$E$18</f>
        <v>#VALUE!</v>
      </c>
      <c r="AE31" s="111" t="s">
        <v>50</v>
      </c>
      <c r="AG31" s="31" t="e">
        <f>10000/((($O$32/2)+($P$32/2))*$Q$32)</f>
        <v>#DIV/0!</v>
      </c>
      <c r="AI31" s="30">
        <v>0.1</v>
      </c>
      <c r="AK31" s="109"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19.5" customHeight="1" x14ac:dyDescent="0.25">
      <c r="B32" s="439"/>
      <c r="C32" s="439"/>
      <c r="D32" s="439"/>
      <c r="E32" s="439"/>
      <c r="F32" s="439"/>
      <c r="G32" s="439"/>
      <c r="H32" s="439"/>
      <c r="I32" s="439"/>
      <c r="J32" s="65"/>
      <c r="M32" s="351"/>
      <c r="N32" s="361"/>
      <c r="O32" s="8"/>
      <c r="P32" s="8"/>
      <c r="Q32" s="8"/>
      <c r="R32" s="26"/>
      <c r="U32" s="111" t="s">
        <v>279</v>
      </c>
      <c r="V32" s="111">
        <v>200000</v>
      </c>
      <c r="W32" s="111" t="s">
        <v>69</v>
      </c>
      <c r="X32" s="111" t="str">
        <f t="shared" si="9"/>
        <v>20,1 - 30 - medio</v>
      </c>
      <c r="Y32" s="111">
        <v>90000</v>
      </c>
      <c r="Z32" s="111">
        <v>230000</v>
      </c>
      <c r="AB32" s="121" t="s">
        <v>67</v>
      </c>
      <c r="AC32" s="121" t="e">
        <f>VLOOKUP($AB$39,X28:Z42,3,0)/$E$18</f>
        <v>#VALUE!</v>
      </c>
      <c r="AE32" s="111" t="s">
        <v>279</v>
      </c>
      <c r="AI32" s="30">
        <v>0.2</v>
      </c>
      <c r="AK32" s="109"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19.5" customHeight="1" thickBot="1" x14ac:dyDescent="0.3">
      <c r="B33" s="440"/>
      <c r="C33" s="440"/>
      <c r="D33" s="440"/>
      <c r="E33" s="440"/>
      <c r="F33" s="440"/>
      <c r="G33" s="440"/>
      <c r="H33" s="440"/>
      <c r="I33" s="440"/>
      <c r="J33" s="65"/>
      <c r="M33" s="351"/>
      <c r="N33" s="361"/>
      <c r="O33" s="347" t="s">
        <v>263</v>
      </c>
      <c r="P33" s="348"/>
      <c r="Q33" s="349"/>
      <c r="R33" s="26"/>
      <c r="U33" s="111" t="s">
        <v>279</v>
      </c>
      <c r="V33" s="111">
        <v>200000</v>
      </c>
      <c r="W33" s="111" t="s">
        <v>70</v>
      </c>
      <c r="X33" s="111" t="str">
        <f t="shared" si="9"/>
        <v>20,1 - 30 - adequado</v>
      </c>
      <c r="Y33" s="111">
        <v>45000</v>
      </c>
      <c r="Z33" s="111">
        <v>170000</v>
      </c>
      <c r="AE33" s="111" t="s">
        <v>303</v>
      </c>
      <c r="AI33" s="30">
        <v>0.3</v>
      </c>
      <c r="AK33" s="109"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19.5" customHeight="1" thickBot="1" x14ac:dyDescent="0.3">
      <c r="B34" s="358" t="s">
        <v>169</v>
      </c>
      <c r="C34" s="359"/>
      <c r="D34" s="359"/>
      <c r="E34" s="359"/>
      <c r="F34" s="359"/>
      <c r="G34" s="359"/>
      <c r="H34" s="359"/>
      <c r="I34" s="360"/>
      <c r="J34" s="66">
        <f>IF(O68="Sim",P21*7.5,0)</f>
        <v>0</v>
      </c>
      <c r="M34" s="351"/>
      <c r="N34" s="361"/>
      <c r="O34" s="341"/>
      <c r="P34" s="341"/>
      <c r="Q34" s="341"/>
      <c r="R34" s="26"/>
      <c r="U34" s="111" t="s">
        <v>303</v>
      </c>
      <c r="V34" s="111">
        <v>300000</v>
      </c>
      <c r="W34" s="111" t="s">
        <v>68</v>
      </c>
      <c r="X34" s="111" t="str">
        <f t="shared" si="9"/>
        <v>30,1 - 40 - baixo</v>
      </c>
      <c r="Y34" s="111">
        <v>160000</v>
      </c>
      <c r="Z34" s="111">
        <v>400000</v>
      </c>
      <c r="AE34" s="111" t="s">
        <v>305</v>
      </c>
      <c r="AI34" s="30">
        <v>0.4</v>
      </c>
      <c r="AK34" s="109"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19.5" customHeight="1" thickBot="1" x14ac:dyDescent="0.3">
      <c r="B35" s="350" t="str">
        <f>IF($O$55&gt;0,$O$55,"-")</f>
        <v>-</v>
      </c>
      <c r="C35" s="350"/>
      <c r="D35" s="98" t="str">
        <f>IF(J34&gt;0,J34,"-")</f>
        <v>-</v>
      </c>
      <c r="E35" s="310" t="str">
        <f>IF(J34&gt;0,"quilos por hectare ou,","-")</f>
        <v>-</v>
      </c>
      <c r="F35" s="310"/>
      <c r="G35" s="310"/>
      <c r="H35" s="310"/>
      <c r="I35" s="310"/>
      <c r="J35" s="66">
        <f>J34/10</f>
        <v>0</v>
      </c>
      <c r="M35" s="75"/>
      <c r="N35" s="117"/>
      <c r="O35" s="117"/>
      <c r="P35" s="32" t="e">
        <f>10000/($O$30*$Q$30)</f>
        <v>#DIV/0!</v>
      </c>
      <c r="Q35" s="32" t="e">
        <f>10000/((($O$32/2)+($P$32/2))*$Q$32)</f>
        <v>#DIV/0!</v>
      </c>
      <c r="R35" s="77"/>
      <c r="U35" s="111" t="s">
        <v>303</v>
      </c>
      <c r="V35" s="111">
        <v>300000</v>
      </c>
      <c r="W35" s="111" t="s">
        <v>69</v>
      </c>
      <c r="X35" s="111" t="str">
        <f t="shared" si="9"/>
        <v>30,1 - 40 - medio</v>
      </c>
      <c r="Y35" s="111">
        <v>120000</v>
      </c>
      <c r="Z35" s="111">
        <v>320000</v>
      </c>
      <c r="AB35" s="340" t="s">
        <v>72</v>
      </c>
      <c r="AC35" s="340"/>
      <c r="AE35" s="111" t="s">
        <v>306</v>
      </c>
      <c r="AI35" s="30">
        <v>0.5</v>
      </c>
      <c r="AK35" s="109"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19.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111" t="s">
        <v>303</v>
      </c>
      <c r="V36" s="111">
        <v>300000</v>
      </c>
      <c r="W36" s="111" t="s">
        <v>70</v>
      </c>
      <c r="X36" s="111" t="str">
        <f t="shared" si="9"/>
        <v>30,1 - 40 - adequado</v>
      </c>
      <c r="Y36" s="111">
        <v>60000</v>
      </c>
      <c r="Z36" s="111">
        <v>240000</v>
      </c>
      <c r="AB36" s="340" t="str">
        <f>CONCATENATE($P$39," - ",$AD$8)</f>
        <v>30,1 - 40 - baixo</v>
      </c>
      <c r="AC36" s="340"/>
      <c r="AI36" s="30">
        <v>0.6</v>
      </c>
      <c r="AK36" s="109"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19.5" customHeight="1" x14ac:dyDescent="0.25">
      <c r="B37" s="441" t="s">
        <v>293</v>
      </c>
      <c r="C37" s="441"/>
      <c r="D37" s="441"/>
      <c r="E37" s="441"/>
      <c r="F37" s="441"/>
      <c r="G37" s="441"/>
      <c r="H37" s="441"/>
      <c r="I37" s="441"/>
      <c r="J37" s="66"/>
      <c r="M37" s="72"/>
      <c r="N37" s="118"/>
      <c r="O37" s="118"/>
      <c r="P37" s="118"/>
      <c r="Q37" s="118"/>
      <c r="R37" s="74"/>
      <c r="U37" s="111" t="s">
        <v>305</v>
      </c>
      <c r="V37" s="111">
        <v>400000</v>
      </c>
      <c r="W37" s="111" t="s">
        <v>68</v>
      </c>
      <c r="X37" s="111" t="str">
        <f t="shared" si="9"/>
        <v>40,1 - 50 - baixo</v>
      </c>
      <c r="Y37" s="111">
        <v>200000</v>
      </c>
      <c r="Z37" s="111">
        <v>510000</v>
      </c>
      <c r="AI37" s="30">
        <v>0.7</v>
      </c>
      <c r="AK37" s="109"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19.5" customHeight="1" thickBot="1" x14ac:dyDescent="0.3">
      <c r="B38" s="441"/>
      <c r="C38" s="441"/>
      <c r="D38" s="441"/>
      <c r="E38" s="441"/>
      <c r="F38" s="441"/>
      <c r="G38" s="441"/>
      <c r="H38" s="441"/>
      <c r="I38" s="441"/>
      <c r="J38" s="66"/>
      <c r="M38" s="351" t="s">
        <v>195</v>
      </c>
      <c r="N38" s="352"/>
      <c r="O38" s="342" t="s">
        <v>282</v>
      </c>
      <c r="P38" s="342"/>
      <c r="Q38" s="342"/>
      <c r="R38" s="26"/>
      <c r="U38" s="111" t="s">
        <v>305</v>
      </c>
      <c r="V38" s="111">
        <v>400000</v>
      </c>
      <c r="W38" s="111" t="s">
        <v>69</v>
      </c>
      <c r="X38" s="111" t="str">
        <f t="shared" si="9"/>
        <v>40,1 - 50 - medio</v>
      </c>
      <c r="Y38" s="111">
        <v>150000</v>
      </c>
      <c r="Z38" s="111">
        <v>410000</v>
      </c>
      <c r="AB38" s="340" t="s">
        <v>73</v>
      </c>
      <c r="AC38" s="340"/>
      <c r="AI38" s="30">
        <v>0.8</v>
      </c>
      <c r="AK38" s="109"/>
      <c r="AO38" s="10"/>
      <c r="AP38" s="10"/>
      <c r="AQ38" s="10"/>
      <c r="AR38" s="10"/>
      <c r="AS38" s="10"/>
      <c r="AT38" s="10"/>
      <c r="AU38" s="10"/>
      <c r="AV38" s="10"/>
      <c r="AW38" s="10"/>
      <c r="AX38" s="10"/>
      <c r="AY38" s="10"/>
      <c r="AZ38" s="10"/>
      <c r="BA38" s="10"/>
      <c r="BB38" s="10"/>
    </row>
    <row r="39" spans="2:57" ht="19.5" customHeight="1" thickBot="1" x14ac:dyDescent="0.3">
      <c r="B39" s="325" t="s">
        <v>248</v>
      </c>
      <c r="C39" s="326"/>
      <c r="D39" s="326"/>
      <c r="E39" s="326"/>
      <c r="F39" s="326"/>
      <c r="G39" s="326"/>
      <c r="H39" s="326"/>
      <c r="I39" s="327"/>
      <c r="J39" s="66">
        <f>AV6</f>
        <v>0</v>
      </c>
      <c r="M39" s="351"/>
      <c r="N39" s="352"/>
      <c r="O39" s="109" t="s">
        <v>284</v>
      </c>
      <c r="P39" s="341" t="s">
        <v>303</v>
      </c>
      <c r="Q39" s="341"/>
      <c r="R39" s="26"/>
      <c r="U39" s="111" t="s">
        <v>305</v>
      </c>
      <c r="V39" s="111">
        <v>400000</v>
      </c>
      <c r="W39" s="111" t="s">
        <v>70</v>
      </c>
      <c r="X39" s="111" t="str">
        <f t="shared" si="9"/>
        <v>40,1 - 50 - adequado</v>
      </c>
      <c r="Y39" s="111">
        <v>75000</v>
      </c>
      <c r="Z39" s="111">
        <v>310000</v>
      </c>
      <c r="AB39" s="340" t="str">
        <f>CONCATENATE($P$39," - ",$AD$22)</f>
        <v>30,1 - 40 - baixo</v>
      </c>
      <c r="AC39" s="340"/>
      <c r="AI39" s="30">
        <v>0.9</v>
      </c>
      <c r="AO39" s="10"/>
      <c r="AP39" s="334" t="s">
        <v>242</v>
      </c>
      <c r="AQ39" s="334"/>
      <c r="AR39" s="115" t="s">
        <v>84</v>
      </c>
      <c r="AS39" s="115" t="s">
        <v>87</v>
      </c>
      <c r="AT39" s="115" t="s">
        <v>85</v>
      </c>
      <c r="AU39" s="115" t="s">
        <v>86</v>
      </c>
      <c r="AV39" s="115" t="s">
        <v>207</v>
      </c>
      <c r="AW39" s="115" t="s">
        <v>84</v>
      </c>
      <c r="AX39" s="115" t="s">
        <v>87</v>
      </c>
      <c r="AY39" s="115" t="s">
        <v>85</v>
      </c>
      <c r="AZ39" s="115" t="s">
        <v>86</v>
      </c>
      <c r="BA39" s="10"/>
      <c r="BB39" s="10"/>
    </row>
    <row r="40" spans="2:57" ht="19.5" customHeight="1" x14ac:dyDescent="0.25">
      <c r="B40" s="372" t="str">
        <f>IF(O42&gt;0,O42,"-")</f>
        <v>-</v>
      </c>
      <c r="C40" s="372"/>
      <c r="D40" s="100" t="str">
        <f>IF(AQ58&gt;0,AQ58,"-")</f>
        <v>-</v>
      </c>
      <c r="E40" s="307" t="str">
        <f>IF(AQ58&gt;0,"quilos por cova ou planta","-")</f>
        <v>-</v>
      </c>
      <c r="F40" s="307"/>
      <c r="G40" s="307"/>
      <c r="H40" s="307"/>
      <c r="I40" s="307"/>
      <c r="J40" s="66">
        <f>AV7</f>
        <v>0</v>
      </c>
      <c r="M40" s="351"/>
      <c r="N40" s="352"/>
      <c r="O40" s="104"/>
      <c r="P40" s="104"/>
      <c r="Q40" s="104"/>
      <c r="R40" s="26"/>
      <c r="U40" s="111" t="s">
        <v>306</v>
      </c>
      <c r="V40" s="111">
        <v>500000</v>
      </c>
      <c r="W40" s="111" t="s">
        <v>68</v>
      </c>
      <c r="X40" s="111" t="str">
        <f t="shared" si="9"/>
        <v>&gt; 50,1  - baixo</v>
      </c>
      <c r="Y40" s="111">
        <v>240000</v>
      </c>
      <c r="Z40" s="111">
        <v>620000</v>
      </c>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19.5" customHeight="1" x14ac:dyDescent="0.25">
      <c r="B41" s="372" t="str">
        <f>IF(AQ6&gt;0,AQ6,"-")</f>
        <v>-</v>
      </c>
      <c r="C41" s="372"/>
      <c r="D41" s="100" t="str">
        <f>IF(J39&gt;0,J39,"-")</f>
        <v>-</v>
      </c>
      <c r="E41" s="310" t="str">
        <f>IF(J39&gt;0,"gramas por cova ou planta","-")</f>
        <v>-</v>
      </c>
      <c r="F41" s="310"/>
      <c r="G41" s="310"/>
      <c r="H41" s="310"/>
      <c r="I41" s="310"/>
      <c r="J41" s="66">
        <f>AV8</f>
        <v>0</v>
      </c>
      <c r="M41" s="351"/>
      <c r="N41" s="352"/>
      <c r="O41" s="342" t="s">
        <v>289</v>
      </c>
      <c r="P41" s="342"/>
      <c r="Q41" s="342"/>
      <c r="R41" s="26"/>
      <c r="U41" s="111" t="s">
        <v>306</v>
      </c>
      <c r="V41" s="111">
        <v>500000</v>
      </c>
      <c r="W41" s="111" t="s">
        <v>69</v>
      </c>
      <c r="X41" s="111" t="str">
        <f t="shared" si="9"/>
        <v>&gt; 50,1  - medio</v>
      </c>
      <c r="Y41" s="111">
        <v>180000</v>
      </c>
      <c r="Z41" s="111">
        <v>500000</v>
      </c>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0">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104"/>
      <c r="BD41" s="104"/>
      <c r="BE41" s="104"/>
    </row>
    <row r="42" spans="2:57" ht="19.5" customHeight="1" x14ac:dyDescent="0.25">
      <c r="B42" s="372" t="str">
        <f>IF(AQ7&gt;0,AQ7,"-")</f>
        <v>-</v>
      </c>
      <c r="C42" s="372"/>
      <c r="D42" s="100" t="str">
        <f t="shared" ref="D42:D49" si="11">IF(J40&gt;0,J40,"-")</f>
        <v>-</v>
      </c>
      <c r="E42" s="310" t="str">
        <f t="shared" ref="E42:E49" si="12">IF(J40&gt;0,"gramas por planta","-")</f>
        <v>-</v>
      </c>
      <c r="F42" s="310"/>
      <c r="G42" s="310"/>
      <c r="H42" s="310"/>
      <c r="I42" s="310"/>
      <c r="J42" s="66">
        <f>AV12</f>
        <v>0</v>
      </c>
      <c r="M42" s="351"/>
      <c r="N42" s="352"/>
      <c r="O42" s="353"/>
      <c r="P42" s="354"/>
      <c r="Q42" s="355"/>
      <c r="R42" s="26"/>
      <c r="U42" s="111" t="s">
        <v>306</v>
      </c>
      <c r="V42" s="111">
        <v>500000</v>
      </c>
      <c r="W42" s="111" t="s">
        <v>70</v>
      </c>
      <c r="X42" s="111" t="str">
        <f t="shared" si="9"/>
        <v>&gt; 50,1  - adequado</v>
      </c>
      <c r="Y42" s="111">
        <v>90000</v>
      </c>
      <c r="Z42" s="111">
        <v>380000</v>
      </c>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0"/>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19.5" customHeight="1" thickBot="1" x14ac:dyDescent="0.3">
      <c r="B43" s="372" t="str">
        <f>IF(AQ8&gt;0,AQ8,"-")</f>
        <v>-</v>
      </c>
      <c r="C43" s="372"/>
      <c r="D43" s="100" t="str">
        <f t="shared" si="11"/>
        <v>-</v>
      </c>
      <c r="E43" s="310" t="str">
        <f t="shared" si="12"/>
        <v>-</v>
      </c>
      <c r="F43" s="310"/>
      <c r="G43" s="310"/>
      <c r="H43" s="310"/>
      <c r="I43" s="310"/>
      <c r="J43" s="66">
        <f>AV13</f>
        <v>0</v>
      </c>
      <c r="M43" s="75"/>
      <c r="N43" s="117"/>
      <c r="O43" s="117"/>
      <c r="P43" s="117"/>
      <c r="Q43" s="117"/>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0"/>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19.5" customHeight="1" thickBot="1" x14ac:dyDescent="0.3">
      <c r="B44" s="372" t="str">
        <f>IF(AQ12&gt;0,AQ12,"-")</f>
        <v>-</v>
      </c>
      <c r="C44" s="372"/>
      <c r="D44" s="100" t="str">
        <f t="shared" si="11"/>
        <v>-</v>
      </c>
      <c r="E44" s="310" t="str">
        <f t="shared" si="12"/>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19.5" customHeight="1" x14ac:dyDescent="0.25">
      <c r="B45" s="372" t="str">
        <f>IF(AQ13&gt;0,AQ13,"-")</f>
        <v>-</v>
      </c>
      <c r="C45" s="372"/>
      <c r="D45" s="100" t="str">
        <f t="shared" si="11"/>
        <v>-</v>
      </c>
      <c r="E45" s="310" t="str">
        <f t="shared" si="12"/>
        <v>-</v>
      </c>
      <c r="F45" s="310"/>
      <c r="G45" s="310"/>
      <c r="H45" s="310"/>
      <c r="I45" s="310"/>
      <c r="J45" s="66">
        <f>AV18</f>
        <v>0</v>
      </c>
      <c r="M45" s="72"/>
      <c r="N45" s="118"/>
      <c r="O45" s="383" t="s">
        <v>286</v>
      </c>
      <c r="P45" s="383"/>
      <c r="Q45" s="383"/>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19.5" customHeight="1" x14ac:dyDescent="0.25">
      <c r="B46" s="372" t="str">
        <f>IF(AQ14&gt;0,AQ14,"-")</f>
        <v>-</v>
      </c>
      <c r="C46" s="372"/>
      <c r="D46" s="100" t="str">
        <f t="shared" si="11"/>
        <v>-</v>
      </c>
      <c r="E46" s="310" t="str">
        <f t="shared" si="12"/>
        <v>-</v>
      </c>
      <c r="F46" s="310"/>
      <c r="G46" s="310"/>
      <c r="H46" s="310"/>
      <c r="I46" s="310"/>
      <c r="J46" s="66">
        <f>AV19</f>
        <v>0</v>
      </c>
      <c r="M46" s="351" t="s">
        <v>196</v>
      </c>
      <c r="N46" s="352"/>
      <c r="O46" s="386"/>
      <c r="P46" s="386"/>
      <c r="Q46" s="386"/>
      <c r="R46" s="26"/>
      <c r="U46" s="111" t="s">
        <v>102</v>
      </c>
      <c r="V46" s="62">
        <v>60</v>
      </c>
      <c r="X46" s="412" t="s">
        <v>249</v>
      </c>
      <c r="Y46" s="412"/>
      <c r="Z46" s="2">
        <f>IFERROR(VLOOKUP(O50,$V$87:$AE$95,10,0),0)</f>
        <v>0</v>
      </c>
      <c r="AO46" s="10"/>
      <c r="AP46" s="10"/>
      <c r="AQ46" s="10"/>
      <c r="AR46" s="10"/>
      <c r="AS46" s="10"/>
      <c r="AT46" s="10"/>
      <c r="AU46" s="10"/>
      <c r="AV46" s="10"/>
      <c r="AW46" s="10"/>
      <c r="AX46" s="10"/>
      <c r="AY46" s="10"/>
      <c r="AZ46" s="10"/>
      <c r="BA46" s="10"/>
      <c r="BB46" s="10"/>
    </row>
    <row r="47" spans="2:57" ht="19.5" customHeight="1" x14ac:dyDescent="0.25">
      <c r="B47" s="372" t="str">
        <f>IF(AQ18&gt;0,AQ18,"-")</f>
        <v>-</v>
      </c>
      <c r="C47" s="372"/>
      <c r="D47" s="100" t="str">
        <f t="shared" si="11"/>
        <v>-</v>
      </c>
      <c r="E47" s="310" t="str">
        <f t="shared" si="12"/>
        <v>-</v>
      </c>
      <c r="F47" s="310"/>
      <c r="G47" s="310"/>
      <c r="H47" s="310"/>
      <c r="I47" s="310"/>
      <c r="J47" s="66">
        <f>AV20</f>
        <v>0</v>
      </c>
      <c r="M47" s="351"/>
      <c r="N47" s="352"/>
      <c r="O47" s="353"/>
      <c r="P47" s="355"/>
      <c r="Q47" s="33"/>
      <c r="R47" s="26"/>
      <c r="U47" s="109" t="s">
        <v>104</v>
      </c>
      <c r="V47" s="2">
        <f>IFERROR((((V46-P24)*P25)/V49),0)</f>
        <v>0</v>
      </c>
      <c r="X47" s="412" t="s">
        <v>189</v>
      </c>
      <c r="Y47" s="412"/>
      <c r="Z47" s="2">
        <f>IFERROR((($V$50/$Z$46)*$V$47),0)</f>
        <v>0</v>
      </c>
      <c r="AO47" s="10"/>
      <c r="BA47" s="10"/>
      <c r="BB47" s="10"/>
    </row>
    <row r="48" spans="2:57" ht="19.5" customHeight="1" x14ac:dyDescent="0.25">
      <c r="B48" s="372" t="str">
        <f>IF(AQ19&gt;0,AQ19,"-")</f>
        <v>-</v>
      </c>
      <c r="C48" s="372"/>
      <c r="D48" s="100" t="str">
        <f t="shared" si="11"/>
        <v>-</v>
      </c>
      <c r="E48" s="310" t="str">
        <f t="shared" si="12"/>
        <v>-</v>
      </c>
      <c r="F48" s="310"/>
      <c r="G48" s="310"/>
      <c r="H48" s="310"/>
      <c r="I48" s="310"/>
      <c r="J48" s="67"/>
      <c r="M48" s="351"/>
      <c r="N48" s="352"/>
      <c r="O48" s="389" t="s">
        <v>287</v>
      </c>
      <c r="P48" s="389"/>
      <c r="Q48" s="389"/>
      <c r="R48" s="26"/>
      <c r="U48" s="109" t="s">
        <v>187</v>
      </c>
      <c r="V48" s="2">
        <f>IF(V47&lt;0,(0),IF(V47&gt;=0,(V47)))</f>
        <v>0</v>
      </c>
      <c r="X48" s="412" t="s">
        <v>187</v>
      </c>
      <c r="Y48" s="412"/>
      <c r="Z48" s="2">
        <f>IFERROR(IF(Z47&lt;0,(0),IF(Z47&gt;=0,(Z47))),0)</f>
        <v>0</v>
      </c>
    </row>
    <row r="49" spans="2:50" ht="19.5" customHeight="1" x14ac:dyDescent="0.25">
      <c r="B49" s="372" t="str">
        <f>IF(AQ20&gt;0,AQ20,"-")</f>
        <v>-</v>
      </c>
      <c r="C49" s="372"/>
      <c r="D49" s="100" t="str">
        <f t="shared" si="11"/>
        <v>-</v>
      </c>
      <c r="E49" s="310" t="str">
        <f t="shared" si="12"/>
        <v>-</v>
      </c>
      <c r="F49" s="310"/>
      <c r="G49" s="310"/>
      <c r="H49" s="310"/>
      <c r="I49" s="310"/>
      <c r="M49" s="351"/>
      <c r="N49" s="352"/>
      <c r="O49" s="386"/>
      <c r="P49" s="386"/>
      <c r="Q49" s="386"/>
      <c r="R49" s="26"/>
      <c r="U49" s="109" t="s">
        <v>103</v>
      </c>
      <c r="V49" s="2">
        <f>IFERROR(VLOOKUP($O$47,$V$56:$AA$68,5,0),0)</f>
        <v>0</v>
      </c>
      <c r="X49" s="412" t="s">
        <v>254</v>
      </c>
      <c r="Y49" s="412"/>
      <c r="Z49" s="2">
        <f>Z48*$Q$50</f>
        <v>0</v>
      </c>
    </row>
    <row r="50" spans="2:50" ht="19.5" customHeight="1" x14ac:dyDescent="0.25">
      <c r="B50" s="391" t="s">
        <v>294</v>
      </c>
      <c r="C50" s="391"/>
      <c r="D50" s="391"/>
      <c r="E50" s="391"/>
      <c r="F50" s="391"/>
      <c r="G50" s="391"/>
      <c r="H50" s="391"/>
      <c r="I50" s="391"/>
      <c r="M50" s="351"/>
      <c r="N50" s="352"/>
      <c r="O50" s="353"/>
      <c r="P50" s="355"/>
      <c r="Q50" s="33"/>
      <c r="R50" s="26"/>
      <c r="U50" s="109" t="s">
        <v>178</v>
      </c>
      <c r="V50" s="2">
        <f>IFERROR(VLOOKUP($O$47,$V$56:$AA$68,6,0),0)</f>
        <v>0</v>
      </c>
      <c r="AT50" s="340" t="s">
        <v>261</v>
      </c>
      <c r="AU50" s="340"/>
      <c r="AV50" s="340"/>
    </row>
    <row r="51" spans="2:50" ht="19.5" customHeight="1" thickBot="1" x14ac:dyDescent="0.3">
      <c r="B51" s="391"/>
      <c r="C51" s="391"/>
      <c r="D51" s="391"/>
      <c r="E51" s="391"/>
      <c r="F51" s="391"/>
      <c r="G51" s="391"/>
      <c r="H51" s="391"/>
      <c r="I51" s="391"/>
      <c r="M51" s="75"/>
      <c r="N51" s="117"/>
      <c r="O51" s="117"/>
      <c r="P51" s="117"/>
      <c r="Q51" s="117"/>
      <c r="R51" s="77"/>
      <c r="U51" s="109" t="s">
        <v>254</v>
      </c>
      <c r="V51" s="2">
        <f>V48*$Q$47</f>
        <v>0</v>
      </c>
      <c r="AT51" s="106" t="s">
        <v>272</v>
      </c>
      <c r="AU51" s="61" t="s">
        <v>267</v>
      </c>
      <c r="AV51" s="106">
        <v>25</v>
      </c>
    </row>
    <row r="52" spans="2:50" ht="19.5" customHeight="1" thickBot="1" x14ac:dyDescent="0.3">
      <c r="B52" s="391"/>
      <c r="C52" s="391"/>
      <c r="D52" s="391"/>
      <c r="E52" s="391"/>
      <c r="F52" s="391"/>
      <c r="G52" s="391"/>
      <c r="H52" s="391"/>
      <c r="I52" s="391"/>
      <c r="AT52" s="106" t="s">
        <v>272</v>
      </c>
      <c r="AU52" s="61" t="s">
        <v>274</v>
      </c>
      <c r="AV52" s="106">
        <v>4</v>
      </c>
    </row>
    <row r="53" spans="2:50" ht="19.5" customHeight="1" thickBot="1" x14ac:dyDescent="0.3">
      <c r="B53" s="392"/>
      <c r="C53" s="392"/>
      <c r="D53" s="392"/>
      <c r="E53" s="392"/>
      <c r="F53" s="392"/>
      <c r="G53" s="392"/>
      <c r="H53" s="392"/>
      <c r="I53" s="392"/>
      <c r="M53" s="72"/>
      <c r="N53" s="118"/>
      <c r="O53" s="118"/>
      <c r="P53" s="118"/>
      <c r="Q53" s="118"/>
      <c r="R53" s="74"/>
      <c r="AP53" s="38"/>
      <c r="AQ53" s="38"/>
      <c r="AS53" s="38"/>
      <c r="AT53" s="106" t="s">
        <v>272</v>
      </c>
      <c r="AU53" s="61" t="s">
        <v>148</v>
      </c>
      <c r="AV53" s="106">
        <v>4</v>
      </c>
    </row>
    <row r="54" spans="2:50" ht="19.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368" t="s">
        <v>78</v>
      </c>
      <c r="Y54" s="368"/>
      <c r="Z54" s="368"/>
      <c r="AA54" s="368"/>
      <c r="AP54" s="365"/>
      <c r="AQ54" s="365"/>
      <c r="AS54" s="365"/>
      <c r="AT54" s="106" t="s">
        <v>272</v>
      </c>
      <c r="AU54" s="61" t="s">
        <v>273</v>
      </c>
      <c r="AV54" s="106">
        <v>25</v>
      </c>
    </row>
    <row r="55" spans="2:50" ht="19.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113" t="s">
        <v>98</v>
      </c>
      <c r="Y55" s="113" t="s">
        <v>99</v>
      </c>
      <c r="Z55" s="113" t="s">
        <v>100</v>
      </c>
      <c r="AA55" s="113" t="s">
        <v>180</v>
      </c>
      <c r="AP55" s="365"/>
      <c r="AQ55" s="365"/>
      <c r="AS55" s="365"/>
      <c r="AT55" s="106" t="s">
        <v>272</v>
      </c>
      <c r="AU55" s="61" t="s">
        <v>266</v>
      </c>
      <c r="AV55" s="106">
        <v>25</v>
      </c>
    </row>
    <row r="56" spans="2:50" ht="19.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104"/>
      <c r="AQ56" s="104"/>
      <c r="AS56" s="104"/>
      <c r="AT56" s="106" t="s">
        <v>272</v>
      </c>
      <c r="AU56" s="61" t="s">
        <v>268</v>
      </c>
      <c r="AV56" s="106">
        <v>4</v>
      </c>
    </row>
    <row r="57" spans="2:50" ht="19.5" customHeight="1" x14ac:dyDescent="0.25">
      <c r="B57" s="372" t="str">
        <f>IF(AP42&gt;0,AP42,"-")</f>
        <v>-</v>
      </c>
      <c r="C57" s="372"/>
      <c r="D57" s="100" t="str">
        <f>IF(AV42&gt;0,AV42,"-")</f>
        <v>-</v>
      </c>
      <c r="E57" s="310" t="str">
        <f t="shared" ref="E57:E59" si="13">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104"/>
      <c r="AQ57" s="341" t="s">
        <v>283</v>
      </c>
      <c r="AR57" s="341"/>
      <c r="AS57" s="104"/>
      <c r="AT57" s="106" t="s">
        <v>272</v>
      </c>
      <c r="AU57" s="61" t="s">
        <v>269</v>
      </c>
      <c r="AV57" s="106">
        <v>4</v>
      </c>
    </row>
    <row r="58" spans="2:50" ht="19.5" customHeight="1" x14ac:dyDescent="0.25">
      <c r="B58" s="372" t="str">
        <f>IF(AP43&gt;0,AP43,"-")</f>
        <v>-</v>
      </c>
      <c r="C58" s="372"/>
      <c r="D58" s="100" t="str">
        <f>IF(AV43&gt;0,AV43,"-")</f>
        <v>-</v>
      </c>
      <c r="E58" s="310" t="str">
        <f t="shared" si="13"/>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104"/>
      <c r="AQ58" s="341">
        <f>IFERROR(VLOOKUP($O$42,AU51:AV59,2,0),0)</f>
        <v>0</v>
      </c>
      <c r="AR58" s="341"/>
      <c r="AS58" s="104"/>
      <c r="AT58" s="106" t="s">
        <v>272</v>
      </c>
      <c r="AU58" s="61" t="s">
        <v>270</v>
      </c>
      <c r="AV58" s="106">
        <v>4</v>
      </c>
    </row>
    <row r="59" spans="2:50" ht="19.5" customHeight="1" x14ac:dyDescent="0.25">
      <c r="B59" s="372" t="str">
        <f>IF(AP44&gt;0,AP44,"-")</f>
        <v>-</v>
      </c>
      <c r="C59" s="372"/>
      <c r="D59" s="100" t="str">
        <f>IF(AV44&gt;0,AV44,"-")</f>
        <v>-</v>
      </c>
      <c r="E59" s="310" t="str">
        <f t="shared" si="13"/>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104"/>
      <c r="AS59" s="104"/>
      <c r="AT59" s="106" t="s">
        <v>272</v>
      </c>
      <c r="AU59" s="61" t="s">
        <v>271</v>
      </c>
      <c r="AV59" s="106">
        <v>4</v>
      </c>
    </row>
    <row r="60" spans="2:50" ht="19.5" customHeight="1" x14ac:dyDescent="0.25">
      <c r="B60" s="442" t="s">
        <v>295</v>
      </c>
      <c r="C60" s="442"/>
      <c r="D60" s="442"/>
      <c r="E60" s="442"/>
      <c r="F60" s="442"/>
      <c r="G60" s="442"/>
      <c r="H60" s="442"/>
      <c r="I60" s="442"/>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104"/>
      <c r="AQ60" s="104"/>
      <c r="AS60" s="104"/>
      <c r="AT60" s="104"/>
      <c r="AU60" s="104"/>
      <c r="AV60" s="104"/>
      <c r="AW60" s="104"/>
      <c r="AX60" s="104"/>
    </row>
    <row r="61" spans="2:50" ht="19.5" customHeight="1" x14ac:dyDescent="0.25">
      <c r="B61" s="442"/>
      <c r="C61" s="442"/>
      <c r="D61" s="442"/>
      <c r="E61" s="442"/>
      <c r="F61" s="442"/>
      <c r="G61" s="442"/>
      <c r="H61" s="442"/>
      <c r="I61" s="442"/>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104"/>
      <c r="AQ61" s="104"/>
      <c r="AS61" s="104"/>
      <c r="AT61" s="104"/>
      <c r="AU61" s="104"/>
      <c r="AV61" s="104"/>
      <c r="AW61" s="104"/>
      <c r="AX61" s="104"/>
    </row>
    <row r="62" spans="2:50" ht="19.5" customHeight="1" x14ac:dyDescent="0.25">
      <c r="B62" s="442"/>
      <c r="C62" s="442"/>
      <c r="D62" s="442"/>
      <c r="E62" s="442"/>
      <c r="F62" s="442"/>
      <c r="G62" s="442"/>
      <c r="H62" s="442"/>
      <c r="I62" s="442"/>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S62" s="104"/>
      <c r="AT62" s="104"/>
      <c r="AU62" s="104"/>
      <c r="AV62" s="104"/>
      <c r="AW62" s="104"/>
      <c r="AX62" s="104"/>
    </row>
    <row r="63" spans="2:50" ht="19.5" customHeight="1" thickBot="1" x14ac:dyDescent="0.3">
      <c r="B63" s="443"/>
      <c r="C63" s="443"/>
      <c r="D63" s="443"/>
      <c r="E63" s="443"/>
      <c r="F63" s="443"/>
      <c r="G63" s="443"/>
      <c r="H63" s="443"/>
      <c r="I63" s="443"/>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S63" s="104"/>
      <c r="AT63" s="104"/>
      <c r="AU63" s="104"/>
      <c r="AV63" s="104"/>
      <c r="AW63" s="104"/>
      <c r="AX63" s="104"/>
    </row>
    <row r="64" spans="2:50" ht="19.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S64" s="104"/>
      <c r="AT64" s="104"/>
      <c r="AU64" s="104"/>
      <c r="AV64" s="104"/>
      <c r="AW64" s="104"/>
      <c r="AX64" s="104"/>
    </row>
    <row r="65" spans="2:50" ht="19.5" customHeight="1" x14ac:dyDescent="0.25">
      <c r="B65" s="309"/>
      <c r="C65" s="310"/>
      <c r="D65" s="310"/>
      <c r="E65" s="311"/>
      <c r="F65" s="309"/>
      <c r="G65" s="310"/>
      <c r="H65" s="310"/>
      <c r="I65" s="311"/>
      <c r="M65" s="351"/>
      <c r="N65" s="352"/>
      <c r="O65" s="104"/>
      <c r="P65" s="104"/>
      <c r="Q65" s="104"/>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S65" s="104"/>
      <c r="AT65" s="104"/>
      <c r="AU65" s="104"/>
      <c r="AV65" s="104"/>
      <c r="AW65" s="104"/>
      <c r="AX65" s="104"/>
    </row>
    <row r="66" spans="2:50" ht="19.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S66" s="104"/>
      <c r="AT66" s="104"/>
      <c r="AU66" s="104"/>
      <c r="AV66" s="104"/>
      <c r="AW66" s="104"/>
      <c r="AX66" s="104"/>
    </row>
    <row r="67" spans="2:50" ht="19.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S67" s="104"/>
      <c r="AT67" s="104"/>
      <c r="AU67" s="104"/>
      <c r="AV67" s="104"/>
      <c r="AW67" s="104"/>
      <c r="AX67" s="104"/>
    </row>
    <row r="68" spans="2:50" ht="19.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S68" s="104"/>
      <c r="AT68" s="104"/>
      <c r="AU68" s="104"/>
      <c r="AV68" s="104"/>
      <c r="AW68" s="104"/>
      <c r="AX68" s="104"/>
    </row>
    <row r="69" spans="2:50" ht="19.5" customHeight="1" thickBot="1" x14ac:dyDescent="0.3">
      <c r="M69" s="75"/>
      <c r="N69" s="117"/>
      <c r="O69" s="117"/>
      <c r="P69" s="117"/>
      <c r="Q69" s="117"/>
      <c r="R69" s="77"/>
      <c r="AS69" s="104"/>
      <c r="AT69" s="104"/>
      <c r="AU69" s="104"/>
      <c r="AV69" s="104"/>
      <c r="AW69" s="104"/>
      <c r="AX69" s="104"/>
    </row>
    <row r="70" spans="2:50" ht="19.5" customHeight="1" thickBot="1" x14ac:dyDescent="0.3">
      <c r="AS70" s="104"/>
      <c r="AT70" s="104"/>
      <c r="AU70" s="104"/>
      <c r="AV70" s="104"/>
      <c r="AW70" s="104"/>
      <c r="AX70" s="104"/>
    </row>
    <row r="71" spans="2:50" ht="19.5" customHeight="1" x14ac:dyDescent="0.25">
      <c r="M71" s="72"/>
      <c r="N71" s="118"/>
      <c r="O71" s="118"/>
      <c r="P71" s="118"/>
      <c r="Q71" s="118"/>
      <c r="R71" s="74"/>
      <c r="U71" s="371" t="s">
        <v>125</v>
      </c>
      <c r="V71" s="371" t="s">
        <v>76</v>
      </c>
      <c r="W71" s="371" t="s">
        <v>77</v>
      </c>
      <c r="X71" s="371" t="s">
        <v>265</v>
      </c>
      <c r="Y71" s="371"/>
      <c r="Z71" s="371"/>
      <c r="AS71" s="104"/>
      <c r="AT71" s="104"/>
      <c r="AU71" s="104"/>
      <c r="AV71" s="104"/>
      <c r="AW71" s="104"/>
      <c r="AX71" s="104"/>
    </row>
    <row r="72" spans="2:50" ht="19.5" customHeight="1" x14ac:dyDescent="0.25">
      <c r="M72" s="351" t="s">
        <v>198</v>
      </c>
      <c r="N72" s="352"/>
      <c r="O72" s="400" t="s">
        <v>233</v>
      </c>
      <c r="P72" s="401"/>
      <c r="Q72" s="402"/>
      <c r="R72" s="26"/>
      <c r="U72" s="371"/>
      <c r="V72" s="371"/>
      <c r="W72" s="371"/>
      <c r="X72" s="114" t="s">
        <v>81</v>
      </c>
      <c r="Y72" s="114" t="s">
        <v>82</v>
      </c>
      <c r="Z72" s="114" t="s">
        <v>83</v>
      </c>
      <c r="AS72" s="104"/>
      <c r="AT72" s="104"/>
      <c r="AU72" s="104"/>
      <c r="AV72" s="104"/>
      <c r="AW72" s="104"/>
      <c r="AX72" s="104"/>
    </row>
    <row r="73" spans="2:50" ht="19.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S73" s="104"/>
      <c r="AT73" s="104"/>
      <c r="AU73" s="104"/>
      <c r="AV73" s="104"/>
      <c r="AW73" s="104"/>
      <c r="AX73" s="104"/>
    </row>
    <row r="74" spans="2:50" ht="19.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S74" s="104"/>
      <c r="AT74" s="104"/>
      <c r="AU74" s="104"/>
      <c r="AV74" s="104"/>
      <c r="AW74" s="104"/>
      <c r="AX74" s="104"/>
    </row>
    <row r="75" spans="2:50" ht="19.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S75" s="104"/>
      <c r="AT75" s="104"/>
      <c r="AU75" s="104"/>
      <c r="AV75" s="104"/>
      <c r="AW75" s="104"/>
      <c r="AX75" s="104"/>
    </row>
    <row r="76" spans="2:50" ht="19.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S76" s="104"/>
      <c r="AT76" s="104"/>
      <c r="AU76" s="104"/>
      <c r="AV76" s="104"/>
      <c r="AW76" s="104"/>
      <c r="AX76" s="104"/>
    </row>
    <row r="77" spans="2:50" ht="19.5" customHeight="1" x14ac:dyDescent="0.25">
      <c r="M77" s="351"/>
      <c r="N77" s="352"/>
      <c r="O77" s="104"/>
      <c r="P77" s="104"/>
      <c r="Q77" s="104"/>
      <c r="R77" s="26"/>
      <c r="U77" s="411"/>
      <c r="V77" s="37" t="str">
        <f>'Adubos e corretivos'!C108</f>
        <v>Nutrigesso Nutrion</v>
      </c>
      <c r="W77" s="37">
        <f>'Adubos e corretivos'!D108</f>
        <v>0</v>
      </c>
      <c r="X77" s="37">
        <f>'Adubos e corretivos'!E108</f>
        <v>13</v>
      </c>
      <c r="Y77" s="37">
        <f>'Adubos e corretivos'!F108</f>
        <v>0</v>
      </c>
      <c r="Z77" s="37">
        <f>'Adubos e corretivos'!G108</f>
        <v>16</v>
      </c>
      <c r="AS77" s="104"/>
      <c r="AT77" s="104"/>
      <c r="AU77" s="104"/>
      <c r="AV77" s="104"/>
      <c r="AW77" s="104"/>
      <c r="AX77" s="104"/>
    </row>
    <row r="78" spans="2:50" ht="19.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S78" s="104"/>
      <c r="AT78" s="104"/>
      <c r="AU78" s="104"/>
      <c r="AV78" s="104"/>
      <c r="AW78" s="104"/>
      <c r="AX78" s="104"/>
    </row>
    <row r="79" spans="2:50" ht="19.5" customHeight="1" x14ac:dyDescent="0.25">
      <c r="M79" s="351"/>
      <c r="N79" s="352"/>
      <c r="O79" s="104"/>
      <c r="P79" s="104"/>
      <c r="Q79" s="104"/>
      <c r="R79" s="26"/>
      <c r="U79" s="411"/>
      <c r="V79" s="37">
        <f>'Adubos e corretivos'!C110</f>
        <v>0</v>
      </c>
      <c r="W79" s="37">
        <f>'Adubos e corretivos'!D110</f>
        <v>0</v>
      </c>
      <c r="X79" s="37">
        <f>'Adubos e corretivos'!E110</f>
        <v>0</v>
      </c>
      <c r="Y79" s="37">
        <f>'Adubos e corretivos'!F110</f>
        <v>0</v>
      </c>
      <c r="Z79" s="37">
        <f>'Adubos e corretivos'!G110</f>
        <v>0</v>
      </c>
      <c r="AS79" s="104"/>
      <c r="AT79" s="104"/>
      <c r="AU79" s="104"/>
      <c r="AV79" s="104"/>
      <c r="AW79" s="104"/>
      <c r="AX79" s="104"/>
    </row>
    <row r="80" spans="2:50" ht="19.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S80" s="104"/>
      <c r="AT80" s="104"/>
      <c r="AU80" s="104"/>
      <c r="AV80" s="104"/>
      <c r="AW80" s="104"/>
      <c r="AX80" s="104"/>
    </row>
    <row r="81" spans="13:50" ht="19.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S81" s="104"/>
      <c r="AT81" s="104"/>
      <c r="AU81" s="104"/>
      <c r="AV81" s="104"/>
      <c r="AW81" s="104"/>
      <c r="AX81" s="104"/>
    </row>
    <row r="82" spans="13:50" ht="19.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S82" s="104"/>
      <c r="AT82" s="104"/>
      <c r="AU82" s="104"/>
      <c r="AV82" s="104"/>
      <c r="AW82" s="104"/>
      <c r="AX82" s="104"/>
    </row>
    <row r="83" spans="13:50" ht="19.5" customHeight="1" x14ac:dyDescent="0.25">
      <c r="M83" s="351"/>
      <c r="N83" s="352"/>
      <c r="O83" s="341"/>
      <c r="P83" s="341"/>
      <c r="Q83" s="33"/>
      <c r="R83" s="26"/>
      <c r="AS83" s="104"/>
      <c r="AT83" s="104"/>
      <c r="AU83" s="104"/>
      <c r="AV83" s="104"/>
      <c r="AW83" s="104"/>
      <c r="AX83" s="104"/>
    </row>
    <row r="84" spans="13:50" ht="19.5" customHeight="1" x14ac:dyDescent="0.25">
      <c r="M84" s="351"/>
      <c r="N84" s="352"/>
      <c r="O84" s="341"/>
      <c r="P84" s="341"/>
      <c r="Q84" s="33"/>
      <c r="R84" s="26"/>
      <c r="AS84" s="104"/>
      <c r="AT84" s="104"/>
      <c r="AU84" s="104"/>
      <c r="AV84" s="104"/>
      <c r="AW84" s="104"/>
      <c r="AX84" s="104"/>
    </row>
    <row r="85" spans="13:50" ht="19.5" customHeight="1" x14ac:dyDescent="0.25">
      <c r="M85" s="351"/>
      <c r="N85" s="352"/>
      <c r="O85" s="104"/>
      <c r="P85" s="104"/>
      <c r="Q85" s="104"/>
      <c r="R85" s="26"/>
      <c r="U85" s="370" t="s">
        <v>125</v>
      </c>
      <c r="V85" s="370" t="s">
        <v>76</v>
      </c>
      <c r="W85" s="370" t="s">
        <v>77</v>
      </c>
      <c r="X85" s="370" t="s">
        <v>78</v>
      </c>
      <c r="Y85" s="370"/>
      <c r="Z85" s="370"/>
      <c r="AA85" s="370"/>
      <c r="AB85" s="370"/>
      <c r="AC85" s="370"/>
      <c r="AD85" s="370"/>
      <c r="AE85" s="370"/>
      <c r="AS85" s="104"/>
      <c r="AT85" s="104"/>
      <c r="AU85" s="104"/>
      <c r="AV85" s="104"/>
      <c r="AW85" s="104"/>
      <c r="AX85" s="104"/>
    </row>
    <row r="86" spans="13:50" ht="19.5" customHeight="1" x14ac:dyDescent="0.25">
      <c r="M86" s="351"/>
      <c r="N86" s="352"/>
      <c r="O86" s="352" t="s">
        <v>245</v>
      </c>
      <c r="P86" s="352"/>
      <c r="Q86" s="352"/>
      <c r="R86" s="26"/>
      <c r="U86" s="370"/>
      <c r="V86" s="370"/>
      <c r="W86" s="370"/>
      <c r="X86" s="112" t="s">
        <v>106</v>
      </c>
      <c r="Y86" s="112" t="s">
        <v>79</v>
      </c>
      <c r="Z86" s="112" t="s">
        <v>66</v>
      </c>
      <c r="AA86" s="112" t="s">
        <v>80</v>
      </c>
      <c r="AB86" s="112" t="s">
        <v>67</v>
      </c>
      <c r="AC86" s="112" t="s">
        <v>176</v>
      </c>
      <c r="AD86" s="112" t="s">
        <v>177</v>
      </c>
      <c r="AE86" s="112" t="s">
        <v>190</v>
      </c>
      <c r="AS86" s="104"/>
      <c r="AT86" s="104"/>
      <c r="AU86" s="104"/>
      <c r="AV86" s="104"/>
      <c r="AW86" s="104"/>
      <c r="AX86" s="104"/>
    </row>
    <row r="87" spans="13:50" ht="19.5" customHeight="1" x14ac:dyDescent="0.25">
      <c r="M87" s="351"/>
      <c r="N87" s="352"/>
      <c r="O87" s="104"/>
      <c r="P87" s="104"/>
      <c r="Q87" s="104"/>
      <c r="R87" s="26"/>
      <c r="U87" s="410" t="s">
        <v>179</v>
      </c>
      <c r="V87" s="40" t="str">
        <f>V160</f>
        <v>Micaxisto (61) 3233-9368</v>
      </c>
      <c r="W87" s="40">
        <f>W160</f>
        <v>0.12</v>
      </c>
      <c r="X87" s="40">
        <f>AL160</f>
        <v>0</v>
      </c>
      <c r="Y87" s="40">
        <f t="shared" ref="Y87:AB95" si="14">Y160</f>
        <v>4.4999999999999998E-2</v>
      </c>
      <c r="Z87" s="40">
        <f t="shared" si="14"/>
        <v>0.1</v>
      </c>
      <c r="AA87" s="40">
        <f t="shared" si="14"/>
        <v>4.32</v>
      </c>
      <c r="AB87" s="40">
        <f t="shared" si="14"/>
        <v>5.2</v>
      </c>
      <c r="AC87" s="41">
        <f>AC160*0.602</f>
        <v>0.75776223776223772</v>
      </c>
      <c r="AD87" s="41">
        <f>AD160*0.715</f>
        <v>0.83139534883720934</v>
      </c>
      <c r="AE87" s="41">
        <f t="shared" ref="AE87:AE95" si="15">AB87+AC87+AD87</f>
        <v>6.7891575865994476</v>
      </c>
      <c r="AS87" s="104"/>
      <c r="AT87" s="104"/>
      <c r="AU87" s="104"/>
      <c r="AV87" s="104"/>
      <c r="AW87" s="104"/>
      <c r="AX87" s="104"/>
    </row>
    <row r="88" spans="13:50" ht="19.5" customHeight="1" x14ac:dyDescent="0.25">
      <c r="M88" s="351"/>
      <c r="N88" s="352"/>
      <c r="O88" s="400" t="s">
        <v>235</v>
      </c>
      <c r="P88" s="401"/>
      <c r="Q88" s="402"/>
      <c r="R88" s="26"/>
      <c r="U88" s="410"/>
      <c r="V88" s="40" t="str">
        <f t="shared" ref="V88:W95" si="16">V161</f>
        <v xml:space="preserve"> Remax Mistel (61) 99414-1975</v>
      </c>
      <c r="W88" s="40">
        <f t="shared" si="16"/>
        <v>0</v>
      </c>
      <c r="X88" s="40">
        <f t="shared" ref="X88:X95" si="17">AL161</f>
        <v>43.8</v>
      </c>
      <c r="Y88" s="40">
        <f t="shared" si="14"/>
        <v>4.4999999999999998E-2</v>
      </c>
      <c r="Z88" s="40">
        <f t="shared" si="14"/>
        <v>0.1</v>
      </c>
      <c r="AA88" s="40">
        <f t="shared" si="14"/>
        <v>2.1949999999999998</v>
      </c>
      <c r="AB88" s="40">
        <f t="shared" si="14"/>
        <v>2.6</v>
      </c>
      <c r="AC88" s="41">
        <f t="shared" ref="AC88:AC95" si="18">AC161*0.602</f>
        <v>11.282237762237763</v>
      </c>
      <c r="AD88" s="41">
        <f t="shared" ref="AD88:AD95" si="19">AD161*0.715</f>
        <v>8.8959302325581397</v>
      </c>
      <c r="AE88" s="41">
        <f t="shared" si="15"/>
        <v>22.778167994795901</v>
      </c>
      <c r="AS88" s="104"/>
      <c r="AT88" s="104"/>
      <c r="AU88" s="104"/>
      <c r="AV88" s="104"/>
      <c r="AW88" s="104"/>
      <c r="AX88" s="104"/>
    </row>
    <row r="89" spans="13:50" ht="19.5" customHeight="1" x14ac:dyDescent="0.25">
      <c r="M89" s="351"/>
      <c r="N89" s="352"/>
      <c r="O89" s="400" t="s">
        <v>232</v>
      </c>
      <c r="P89" s="401"/>
      <c r="Q89" s="402"/>
      <c r="R89" s="26"/>
      <c r="U89" s="410"/>
      <c r="V89" s="40" t="str">
        <f t="shared" si="16"/>
        <v xml:space="preserve">Pó de brita Fmx (62) 3924 8565 </v>
      </c>
      <c r="W89" s="40">
        <f t="shared" si="16"/>
        <v>0</v>
      </c>
      <c r="X89" s="40">
        <f t="shared" si="17"/>
        <v>0</v>
      </c>
      <c r="Y89" s="40">
        <f t="shared" si="14"/>
        <v>0</v>
      </c>
      <c r="Z89" s="40">
        <f t="shared" si="14"/>
        <v>0</v>
      </c>
      <c r="AA89" s="40">
        <f t="shared" si="14"/>
        <v>4.99</v>
      </c>
      <c r="AB89" s="40">
        <f t="shared" si="14"/>
        <v>6</v>
      </c>
      <c r="AC89" s="41">
        <f t="shared" si="18"/>
        <v>2.5258741258741257</v>
      </c>
      <c r="AD89" s="41">
        <f t="shared" si="19"/>
        <v>0.59385382059800662</v>
      </c>
      <c r="AE89" s="41">
        <f t="shared" si="15"/>
        <v>9.1197279464721319</v>
      </c>
      <c r="AS89" s="104"/>
      <c r="AT89" s="104"/>
      <c r="AU89" s="104"/>
      <c r="AV89" s="104"/>
      <c r="AW89" s="104"/>
      <c r="AX89" s="104"/>
    </row>
    <row r="90" spans="13:50" ht="19.5" customHeight="1" x14ac:dyDescent="0.25">
      <c r="M90" s="351"/>
      <c r="N90" s="352"/>
      <c r="O90" s="341"/>
      <c r="P90" s="341"/>
      <c r="Q90" s="33"/>
      <c r="R90" s="26"/>
      <c r="U90" s="410"/>
      <c r="V90" s="40" t="str">
        <f t="shared" si="16"/>
        <v xml:space="preserve">Biotita Xisto (61) 3233-9368 </v>
      </c>
      <c r="W90" s="40">
        <f t="shared" si="16"/>
        <v>0</v>
      </c>
      <c r="X90" s="40">
        <f t="shared" si="17"/>
        <v>57.8</v>
      </c>
      <c r="Y90" s="40">
        <f t="shared" si="14"/>
        <v>8.7999999999999995E-2</v>
      </c>
      <c r="Z90" s="40">
        <f t="shared" si="14"/>
        <v>0.2</v>
      </c>
      <c r="AA90" s="40">
        <f t="shared" si="14"/>
        <v>2.83</v>
      </c>
      <c r="AB90" s="40">
        <f t="shared" si="14"/>
        <v>3.4</v>
      </c>
      <c r="AC90" s="41">
        <f t="shared" si="18"/>
        <v>1.5155244755244754</v>
      </c>
      <c r="AD90" s="41">
        <f t="shared" si="19"/>
        <v>5.4634551495016606</v>
      </c>
      <c r="AE90" s="41">
        <f t="shared" si="15"/>
        <v>10.378979625026137</v>
      </c>
      <c r="AS90" s="104"/>
      <c r="AT90" s="104"/>
      <c r="AU90" s="104"/>
      <c r="AV90" s="104"/>
      <c r="AW90" s="104"/>
      <c r="AX90" s="104"/>
    </row>
    <row r="91" spans="13:50" ht="19.5" customHeight="1" x14ac:dyDescent="0.25">
      <c r="M91" s="351"/>
      <c r="N91" s="352"/>
      <c r="O91" s="341"/>
      <c r="P91" s="341"/>
      <c r="Q91" s="33"/>
      <c r="R91" s="26"/>
      <c r="U91" s="410"/>
      <c r="V91" s="40" t="str">
        <f t="shared" si="16"/>
        <v>Kamafugito</v>
      </c>
      <c r="W91" s="40">
        <f t="shared" si="16"/>
        <v>0</v>
      </c>
      <c r="X91" s="40">
        <f t="shared" si="17"/>
        <v>0</v>
      </c>
      <c r="Y91" s="40">
        <f t="shared" si="14"/>
        <v>1.5069999999999999</v>
      </c>
      <c r="Z91" s="40">
        <f t="shared" si="14"/>
        <v>3.5</v>
      </c>
      <c r="AA91" s="40">
        <f t="shared" si="14"/>
        <v>3.3250000000000002</v>
      </c>
      <c r="AB91" s="40">
        <f t="shared" si="14"/>
        <v>4</v>
      </c>
      <c r="AC91" s="41">
        <f t="shared" si="18"/>
        <v>1.7217199999999999</v>
      </c>
      <c r="AD91" s="41">
        <f t="shared" si="19"/>
        <v>0</v>
      </c>
      <c r="AE91" s="41">
        <f t="shared" si="15"/>
        <v>5.7217199999999995</v>
      </c>
      <c r="AS91" s="104"/>
      <c r="AT91" s="104"/>
      <c r="AU91" s="104"/>
      <c r="AV91" s="104"/>
      <c r="AW91" s="104"/>
      <c r="AX91" s="104"/>
    </row>
    <row r="92" spans="13:50" ht="19.5" customHeight="1" x14ac:dyDescent="0.25">
      <c r="M92" s="351"/>
      <c r="N92" s="352"/>
      <c r="O92" s="341"/>
      <c r="P92" s="341"/>
      <c r="Q92" s="33"/>
      <c r="R92" s="26"/>
      <c r="U92" s="410"/>
      <c r="V92" s="40">
        <f t="shared" si="16"/>
        <v>0</v>
      </c>
      <c r="W92" s="40">
        <f t="shared" si="16"/>
        <v>0</v>
      </c>
      <c r="X92" s="40">
        <f t="shared" si="17"/>
        <v>0</v>
      </c>
      <c r="Y92" s="40">
        <f t="shared" si="14"/>
        <v>0</v>
      </c>
      <c r="Z92" s="40">
        <f t="shared" si="14"/>
        <v>0</v>
      </c>
      <c r="AA92" s="40">
        <f t="shared" si="14"/>
        <v>0</v>
      </c>
      <c r="AB92" s="40">
        <f t="shared" si="14"/>
        <v>0</v>
      </c>
      <c r="AC92" s="41">
        <f t="shared" si="18"/>
        <v>0</v>
      </c>
      <c r="AD92" s="41">
        <f t="shared" si="19"/>
        <v>0</v>
      </c>
      <c r="AE92" s="41">
        <f t="shared" si="15"/>
        <v>0</v>
      </c>
      <c r="AS92" s="104"/>
      <c r="AT92" s="104"/>
      <c r="AU92" s="104"/>
      <c r="AV92" s="104"/>
      <c r="AW92" s="104"/>
      <c r="AX92" s="104"/>
    </row>
    <row r="93" spans="13:50" ht="19.5" customHeight="1" x14ac:dyDescent="0.25">
      <c r="M93" s="105"/>
      <c r="N93" s="104"/>
      <c r="O93" s="104"/>
      <c r="P93" s="104"/>
      <c r="Q93" s="104"/>
      <c r="R93" s="26"/>
      <c r="U93" s="410"/>
      <c r="V93" s="40">
        <f t="shared" si="16"/>
        <v>0</v>
      </c>
      <c r="W93" s="40">
        <f t="shared" si="16"/>
        <v>0</v>
      </c>
      <c r="X93" s="40">
        <f t="shared" si="17"/>
        <v>0</v>
      </c>
      <c r="Y93" s="40">
        <f t="shared" si="14"/>
        <v>0</v>
      </c>
      <c r="Z93" s="40">
        <f t="shared" si="14"/>
        <v>0</v>
      </c>
      <c r="AA93" s="40">
        <f t="shared" si="14"/>
        <v>0</v>
      </c>
      <c r="AB93" s="40">
        <f t="shared" si="14"/>
        <v>0</v>
      </c>
      <c r="AC93" s="41">
        <f t="shared" si="18"/>
        <v>0</v>
      </c>
      <c r="AD93" s="41">
        <f t="shared" si="19"/>
        <v>0</v>
      </c>
      <c r="AE93" s="41">
        <f t="shared" si="15"/>
        <v>0</v>
      </c>
      <c r="AS93" s="104"/>
      <c r="AT93" s="104"/>
      <c r="AU93" s="104"/>
      <c r="AV93" s="104"/>
      <c r="AW93" s="104"/>
      <c r="AX93" s="104"/>
    </row>
    <row r="94" spans="13:50" ht="19.5" customHeight="1" x14ac:dyDescent="0.25">
      <c r="M94" s="105"/>
      <c r="N94" s="104"/>
      <c r="O94" s="352" t="s">
        <v>245</v>
      </c>
      <c r="P94" s="352"/>
      <c r="Q94" s="352"/>
      <c r="R94" s="26"/>
      <c r="U94" s="410"/>
      <c r="V94" s="40">
        <f t="shared" si="16"/>
        <v>0</v>
      </c>
      <c r="W94" s="40">
        <f t="shared" si="16"/>
        <v>0</v>
      </c>
      <c r="X94" s="40">
        <f t="shared" si="17"/>
        <v>0</v>
      </c>
      <c r="Y94" s="40">
        <f t="shared" si="14"/>
        <v>0</v>
      </c>
      <c r="Z94" s="40">
        <f t="shared" si="14"/>
        <v>0</v>
      </c>
      <c r="AA94" s="40">
        <f t="shared" si="14"/>
        <v>0</v>
      </c>
      <c r="AB94" s="40">
        <f t="shared" si="14"/>
        <v>0</v>
      </c>
      <c r="AC94" s="41">
        <f t="shared" si="18"/>
        <v>0</v>
      </c>
      <c r="AD94" s="41">
        <f t="shared" si="19"/>
        <v>0</v>
      </c>
      <c r="AE94" s="41">
        <f t="shared" si="15"/>
        <v>0</v>
      </c>
      <c r="AS94" s="104"/>
      <c r="AT94" s="104"/>
      <c r="AU94" s="104"/>
      <c r="AV94" s="104"/>
      <c r="AW94" s="104"/>
      <c r="AX94" s="104"/>
    </row>
    <row r="95" spans="13:50" ht="19.5" customHeight="1" thickBot="1" x14ac:dyDescent="0.3">
      <c r="M95" s="75"/>
      <c r="N95" s="117"/>
      <c r="O95" s="117"/>
      <c r="P95" s="117"/>
      <c r="Q95" s="117"/>
      <c r="R95" s="77"/>
      <c r="U95" s="410"/>
      <c r="V95" s="40">
        <f t="shared" si="16"/>
        <v>0</v>
      </c>
      <c r="W95" s="40">
        <f t="shared" si="16"/>
        <v>0</v>
      </c>
      <c r="X95" s="40">
        <f t="shared" si="17"/>
        <v>0</v>
      </c>
      <c r="Y95" s="40">
        <f t="shared" si="14"/>
        <v>0</v>
      </c>
      <c r="Z95" s="40">
        <f t="shared" si="14"/>
        <v>0</v>
      </c>
      <c r="AA95" s="40">
        <f t="shared" si="14"/>
        <v>0</v>
      </c>
      <c r="AB95" s="40">
        <f t="shared" si="14"/>
        <v>0</v>
      </c>
      <c r="AC95" s="41">
        <f t="shared" si="18"/>
        <v>0</v>
      </c>
      <c r="AD95" s="41">
        <f t="shared" si="19"/>
        <v>0</v>
      </c>
      <c r="AE95" s="41">
        <f t="shared" si="15"/>
        <v>0</v>
      </c>
      <c r="AS95" s="104"/>
      <c r="AT95" s="104"/>
      <c r="AU95" s="104"/>
      <c r="AV95" s="104"/>
      <c r="AW95" s="104"/>
      <c r="AX95" s="104"/>
    </row>
    <row r="96" spans="13:50" ht="19.5" customHeight="1" thickBot="1" x14ac:dyDescent="0.3">
      <c r="AS96" s="104"/>
      <c r="AT96" s="104"/>
      <c r="AU96" s="104"/>
      <c r="AV96" s="104"/>
      <c r="AW96" s="104"/>
      <c r="AX96" s="104"/>
    </row>
    <row r="97" spans="1:50" ht="19.5" customHeight="1" x14ac:dyDescent="0.25">
      <c r="A97" s="59"/>
      <c r="M97" s="72"/>
      <c r="N97" s="118"/>
      <c r="O97" s="118"/>
      <c r="P97" s="118"/>
      <c r="Q97" s="118"/>
      <c r="R97" s="74"/>
      <c r="AS97" s="104"/>
      <c r="AT97" s="104"/>
      <c r="AU97" s="104"/>
      <c r="AV97" s="104"/>
      <c r="AW97" s="104"/>
      <c r="AX97" s="104"/>
    </row>
    <row r="98" spans="1:50" ht="19.5" customHeight="1" x14ac:dyDescent="0.25">
      <c r="A98" s="122"/>
      <c r="M98" s="351" t="s">
        <v>250</v>
      </c>
      <c r="N98" s="361"/>
      <c r="O98" s="44" t="s">
        <v>33</v>
      </c>
      <c r="P98" s="44" t="s">
        <v>205</v>
      </c>
      <c r="Q98" s="44" t="s">
        <v>206</v>
      </c>
      <c r="R98" s="26"/>
      <c r="U98" s="409" t="s">
        <v>125</v>
      </c>
      <c r="V98" s="409" t="s">
        <v>76</v>
      </c>
      <c r="W98" s="409" t="s">
        <v>77</v>
      </c>
      <c r="X98" s="409" t="s">
        <v>78</v>
      </c>
      <c r="Y98" s="409"/>
      <c r="Z98" s="409"/>
      <c r="AA98" s="409"/>
      <c r="AB98" s="409"/>
      <c r="AC98" s="409"/>
      <c r="AD98" s="409"/>
      <c r="AE98" s="409"/>
      <c r="AF98" s="409"/>
      <c r="AG98" s="409"/>
      <c r="AH98" s="409"/>
      <c r="AI98" s="409"/>
      <c r="AJ98" s="409"/>
      <c r="AK98" s="409"/>
      <c r="AL98" s="409"/>
      <c r="AM98" s="409"/>
      <c r="AN98" s="409"/>
      <c r="AO98" s="409"/>
      <c r="AS98" s="104"/>
      <c r="AT98" s="104"/>
      <c r="AU98" s="104"/>
      <c r="AV98" s="104"/>
      <c r="AW98" s="104"/>
      <c r="AX98" s="104"/>
    </row>
    <row r="99" spans="1:50" ht="19.5" customHeight="1" x14ac:dyDescent="0.25">
      <c r="A99" s="122"/>
      <c r="M99" s="351" t="s">
        <v>243</v>
      </c>
      <c r="N99" s="361"/>
      <c r="O99" s="45" t="e">
        <f>$AC$30</f>
        <v>#VALUE!</v>
      </c>
      <c r="P99" s="45" t="e">
        <f>$AC$31</f>
        <v>#VALUE!</v>
      </c>
      <c r="Q99" s="45" t="e">
        <f>$AC$32</f>
        <v>#VALUE!</v>
      </c>
      <c r="R99" s="26"/>
      <c r="U99" s="409"/>
      <c r="V99" s="409"/>
      <c r="W99" s="409"/>
      <c r="X99" s="108" t="s">
        <v>33</v>
      </c>
      <c r="Y99" s="108" t="s">
        <v>79</v>
      </c>
      <c r="Z99" s="108" t="s">
        <v>66</v>
      </c>
      <c r="AA99" s="108" t="s">
        <v>80</v>
      </c>
      <c r="AB99" s="108" t="s">
        <v>67</v>
      </c>
      <c r="AC99" s="108" t="s">
        <v>81</v>
      </c>
      <c r="AD99" s="108" t="s">
        <v>82</v>
      </c>
      <c r="AE99" s="108" t="s">
        <v>83</v>
      </c>
      <c r="AF99" s="108" t="s">
        <v>84</v>
      </c>
      <c r="AG99" s="108" t="s">
        <v>85</v>
      </c>
      <c r="AH99" s="108" t="s">
        <v>86</v>
      </c>
      <c r="AI99" s="108" t="s">
        <v>87</v>
      </c>
      <c r="AJ99" s="108" t="s">
        <v>88</v>
      </c>
      <c r="AK99" s="108" t="s">
        <v>89</v>
      </c>
      <c r="AL99" s="108" t="s">
        <v>106</v>
      </c>
      <c r="AM99" s="108" t="s">
        <v>90</v>
      </c>
      <c r="AN99" s="108" t="s">
        <v>91</v>
      </c>
      <c r="AO99" s="108" t="s">
        <v>92</v>
      </c>
      <c r="AS99" s="104"/>
      <c r="AT99" s="104"/>
      <c r="AU99" s="104"/>
      <c r="AV99" s="104"/>
      <c r="AW99" s="104"/>
      <c r="AX99" s="104"/>
    </row>
    <row r="100" spans="1:50" ht="19.5" customHeight="1" x14ac:dyDescent="0.25">
      <c r="A100" s="104"/>
      <c r="M100" s="351" t="s">
        <v>251</v>
      </c>
      <c r="N100" s="361"/>
      <c r="O100" s="2" t="e">
        <f>AS21</f>
        <v>#VALUE!</v>
      </c>
      <c r="P100" s="2" t="e">
        <f>AT21</f>
        <v>#VALUE!</v>
      </c>
      <c r="Q100" s="2" t="e">
        <f>AU21</f>
        <v>#VALUE!</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c r="AS100" s="104"/>
      <c r="AT100" s="104"/>
      <c r="AU100" s="104"/>
      <c r="AV100" s="104"/>
      <c r="AW100" s="104"/>
      <c r="AX100" s="104"/>
    </row>
    <row r="101" spans="1:50" ht="19.5" customHeight="1" thickBot="1" x14ac:dyDescent="0.3">
      <c r="A101" s="104"/>
      <c r="B101" s="43"/>
      <c r="C101" s="43"/>
      <c r="M101" s="75"/>
      <c r="N101" s="117"/>
      <c r="O101" s="117"/>
      <c r="P101" s="117"/>
      <c r="Q101" s="117"/>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c r="AS101" s="104"/>
      <c r="AT101" s="104"/>
      <c r="AU101" s="104"/>
      <c r="AV101" s="104"/>
      <c r="AW101" s="104"/>
      <c r="AX101" s="104"/>
    </row>
    <row r="102" spans="1:50" ht="19.5" customHeight="1" thickBot="1" x14ac:dyDescent="0.3">
      <c r="A102" s="104"/>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c r="AS102" s="104"/>
      <c r="AT102" s="104"/>
      <c r="AU102" s="104"/>
      <c r="AV102" s="104"/>
      <c r="AW102" s="104"/>
      <c r="AX102" s="104"/>
    </row>
    <row r="103" spans="1:50" ht="19.5" customHeight="1" x14ac:dyDescent="0.25">
      <c r="M103" s="72"/>
      <c r="N103" s="118"/>
      <c r="O103" s="118"/>
      <c r="P103" s="118"/>
      <c r="Q103" s="118"/>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c r="AS103" s="104"/>
      <c r="AT103" s="104"/>
      <c r="AU103" s="104"/>
      <c r="AV103" s="104"/>
      <c r="AW103" s="104"/>
      <c r="AX103" s="104"/>
    </row>
    <row r="104" spans="1:50" ht="19.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c r="AS104" s="104"/>
      <c r="AT104" s="104"/>
      <c r="AU104" s="104"/>
      <c r="AV104" s="104"/>
      <c r="AW104" s="104"/>
      <c r="AX104" s="104"/>
    </row>
    <row r="105" spans="1:50" ht="19.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c r="AS105" s="104"/>
      <c r="AT105" s="104"/>
      <c r="AU105" s="104"/>
      <c r="AV105" s="104"/>
      <c r="AW105" s="104"/>
      <c r="AX105" s="104"/>
    </row>
    <row r="106" spans="1:50" ht="19.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50" ht="19.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50" ht="19.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50" ht="19.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50" ht="19.5" customHeight="1" thickBot="1" x14ac:dyDescent="0.3">
      <c r="M110" s="75"/>
      <c r="N110" s="117"/>
      <c r="O110" s="117"/>
      <c r="P110" s="117"/>
      <c r="Q110" s="117"/>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50" ht="19.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50" ht="19.5" customHeight="1" x14ac:dyDescent="0.25">
      <c r="M112" s="72"/>
      <c r="N112" s="118"/>
      <c r="O112" s="118"/>
      <c r="P112" s="118"/>
      <c r="Q112" s="118"/>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19.5" customHeight="1" x14ac:dyDescent="0.25">
      <c r="M113" s="105"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19.5" customHeight="1" x14ac:dyDescent="0.25">
      <c r="M114" s="105"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19.5" customHeight="1" x14ac:dyDescent="0.25">
      <c r="M115" s="105"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19.5" customHeight="1" thickBot="1" x14ac:dyDescent="0.3">
      <c r="C116" s="104"/>
      <c r="D116" s="38"/>
      <c r="M116" s="75"/>
      <c r="N116" s="117"/>
      <c r="O116" s="117"/>
      <c r="P116" s="117"/>
      <c r="Q116" s="117"/>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19.5" customHeight="1" x14ac:dyDescent="0.25">
      <c r="C117" s="104"/>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19.5" customHeight="1" x14ac:dyDescent="0.25">
      <c r="C118" s="104"/>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19.5" customHeight="1" x14ac:dyDescent="0.25">
      <c r="C119" s="104"/>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19.5" customHeight="1" x14ac:dyDescent="0.25">
      <c r="C120" s="104"/>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19.5" customHeight="1" x14ac:dyDescent="0.25">
      <c r="C121" s="104"/>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19.5" customHeight="1" x14ac:dyDescent="0.25">
      <c r="C122" s="104"/>
      <c r="D122" s="104"/>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19.5" customHeight="1" x14ac:dyDescent="0.25">
      <c r="C123" s="104"/>
      <c r="D123" s="104"/>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19.5" customHeight="1" x14ac:dyDescent="0.25">
      <c r="C124" s="104"/>
      <c r="D124" s="104"/>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19.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19.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19.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19.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19.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19.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19.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19.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19.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19.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19.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19.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19.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19.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19.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19.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19.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19.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19.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19.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19.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19.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19.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19.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19.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19.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19.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19.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19.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19.5" customHeight="1" x14ac:dyDescent="0.25">
      <c r="K154" s="104"/>
      <c r="L154" s="104"/>
      <c r="M154" s="104"/>
      <c r="N154" s="104"/>
      <c r="O154" s="104"/>
      <c r="P154" s="104"/>
      <c r="Q154" s="104"/>
      <c r="R154" s="104"/>
      <c r="S154" s="104"/>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19.5" customHeight="1" x14ac:dyDescent="0.25">
      <c r="K155" s="104"/>
      <c r="L155" s="104"/>
      <c r="M155" s="104"/>
      <c r="N155" s="104"/>
      <c r="O155" s="104"/>
      <c r="P155" s="104"/>
      <c r="Q155" s="104"/>
      <c r="R155" s="104"/>
      <c r="S155" s="104"/>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19.5" customHeight="1" x14ac:dyDescent="0.25">
      <c r="K156" s="104"/>
      <c r="L156" s="104"/>
      <c r="M156" s="104"/>
      <c r="N156" s="104"/>
      <c r="O156" s="104"/>
      <c r="P156" s="104"/>
      <c r="Q156" s="104"/>
      <c r="R156" s="104"/>
      <c r="S156" s="104"/>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19.5" customHeight="1" x14ac:dyDescent="0.25">
      <c r="K157" s="104"/>
      <c r="L157" s="104"/>
      <c r="M157" s="104"/>
      <c r="N157" s="104"/>
      <c r="O157" s="104"/>
      <c r="P157" s="104"/>
      <c r="Q157" s="104"/>
      <c r="R157" s="104"/>
      <c r="S157" s="104"/>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19.5" customHeight="1" x14ac:dyDescent="0.25">
      <c r="K158" s="104"/>
      <c r="L158" s="104"/>
      <c r="M158" s="104"/>
      <c r="N158" s="415"/>
      <c r="O158" s="415"/>
      <c r="P158" s="415"/>
      <c r="Q158" s="104"/>
      <c r="R158" s="104"/>
      <c r="S158" s="104"/>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19.5" customHeight="1" x14ac:dyDescent="0.25">
      <c r="K159" s="104"/>
      <c r="L159" s="104"/>
      <c r="M159" s="104"/>
      <c r="N159" s="352"/>
      <c r="O159" s="352"/>
      <c r="P159" s="352"/>
      <c r="Q159" s="104"/>
      <c r="R159" s="104"/>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19.5" customHeight="1" x14ac:dyDescent="0.25">
      <c r="K160" s="104"/>
      <c r="L160" s="104"/>
      <c r="M160" s="104"/>
      <c r="N160" s="104"/>
      <c r="O160" s="104"/>
      <c r="P160" s="104"/>
      <c r="Q160" s="104"/>
      <c r="R160" s="104"/>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19.5" customHeight="1" x14ac:dyDescent="0.25">
      <c r="K161" s="104"/>
      <c r="L161" s="104"/>
      <c r="M161" s="104"/>
      <c r="N161" s="104"/>
      <c r="O161" s="104"/>
      <c r="P161" s="104"/>
      <c r="Q161" s="104"/>
      <c r="R161" s="104"/>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19.5" customHeight="1" x14ac:dyDescent="0.25">
      <c r="K162" s="104"/>
      <c r="L162" s="104"/>
      <c r="M162" s="104"/>
      <c r="N162" s="104"/>
      <c r="O162" s="104"/>
      <c r="P162" s="104"/>
      <c r="Q162" s="104"/>
      <c r="R162" s="104"/>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19.5" customHeight="1" x14ac:dyDescent="0.25">
      <c r="K163" s="104"/>
      <c r="L163" s="104"/>
      <c r="M163" s="104"/>
      <c r="N163" s="104"/>
      <c r="O163" s="104"/>
      <c r="P163" s="104"/>
      <c r="Q163" s="104"/>
      <c r="R163" s="104"/>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19.5" customHeight="1" x14ac:dyDescent="0.25">
      <c r="K164" s="104"/>
      <c r="L164" s="104"/>
      <c r="M164" s="104"/>
      <c r="N164" s="104"/>
      <c r="O164" s="104"/>
      <c r="P164" s="104"/>
      <c r="Q164" s="104"/>
      <c r="R164" s="104"/>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19.5" customHeight="1" x14ac:dyDescent="0.25">
      <c r="K165" s="104"/>
      <c r="L165" s="104"/>
      <c r="M165" s="104"/>
      <c r="N165" s="104"/>
      <c r="O165" s="104"/>
      <c r="P165" s="104"/>
      <c r="Q165" s="104"/>
      <c r="R165" s="104"/>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19.5" customHeight="1" x14ac:dyDescent="0.25">
      <c r="K166" s="104"/>
      <c r="L166" s="104"/>
      <c r="M166" s="104"/>
      <c r="N166" s="104"/>
      <c r="O166" s="104"/>
      <c r="P166" s="104"/>
      <c r="Q166" s="104"/>
      <c r="R166" s="104"/>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19.5" customHeight="1" x14ac:dyDescent="0.25">
      <c r="K167" s="104"/>
      <c r="L167" s="104"/>
      <c r="M167" s="104"/>
      <c r="N167" s="104"/>
      <c r="O167" s="104"/>
      <c r="P167" s="104"/>
      <c r="Q167" s="104"/>
      <c r="R167" s="104"/>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19.5" customHeight="1" x14ac:dyDescent="0.25">
      <c r="K168" s="104"/>
      <c r="L168" s="104"/>
      <c r="M168" s="104"/>
      <c r="N168" s="104"/>
      <c r="O168" s="104"/>
      <c r="P168" s="104"/>
      <c r="Q168" s="104"/>
      <c r="R168" s="104"/>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19.5" customHeight="1" x14ac:dyDescent="0.25">
      <c r="K169" s="104"/>
      <c r="L169" s="104"/>
      <c r="M169" s="104"/>
      <c r="N169" s="104"/>
      <c r="O169" s="104"/>
      <c r="P169" s="104"/>
      <c r="Q169" s="104"/>
      <c r="R169" s="104"/>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104"/>
    </row>
    <row r="170" spans="11:44" ht="19.5" customHeight="1" x14ac:dyDescent="0.25">
      <c r="K170" s="104"/>
      <c r="L170" s="104"/>
      <c r="M170" s="104"/>
      <c r="N170" s="104"/>
      <c r="O170" s="104"/>
      <c r="P170" s="104"/>
      <c r="Q170" s="104"/>
      <c r="R170" s="104"/>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19.5" customHeight="1" x14ac:dyDescent="0.25">
      <c r="K171" s="104"/>
      <c r="L171" s="104"/>
      <c r="M171" s="104"/>
      <c r="N171" s="104"/>
      <c r="O171" s="104"/>
      <c r="P171" s="104"/>
      <c r="Q171" s="104"/>
      <c r="R171" s="104"/>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19.5" customHeight="1" x14ac:dyDescent="0.25">
      <c r="K172" s="104"/>
      <c r="L172" s="104"/>
      <c r="M172" s="104"/>
      <c r="N172" s="104"/>
      <c r="O172" s="107"/>
      <c r="P172" s="107"/>
      <c r="Q172" s="107"/>
      <c r="R172" s="104"/>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19.5" customHeight="1" x14ac:dyDescent="0.25">
      <c r="K173" s="104"/>
      <c r="L173" s="104"/>
      <c r="M173" s="104"/>
      <c r="N173" s="104"/>
      <c r="O173" s="107"/>
      <c r="P173" s="107"/>
      <c r="Q173" s="107"/>
      <c r="R173" s="104"/>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19.5" customHeight="1" x14ac:dyDescent="0.25">
      <c r="K174" s="104"/>
      <c r="L174" s="104"/>
      <c r="M174" s="104"/>
      <c r="N174" s="104"/>
      <c r="O174" s="104"/>
      <c r="P174" s="104"/>
      <c r="Q174" s="104"/>
      <c r="R174" s="104"/>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19.5" customHeight="1" x14ac:dyDescent="0.25">
      <c r="K175" s="104"/>
      <c r="L175" s="104"/>
      <c r="M175" s="104"/>
      <c r="N175" s="104"/>
      <c r="O175" s="107"/>
      <c r="P175" s="107"/>
      <c r="Q175" s="107"/>
      <c r="R175" s="104"/>
      <c r="S175" s="104"/>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19.5" customHeight="1" x14ac:dyDescent="0.25">
      <c r="K176" s="104"/>
      <c r="L176" s="104"/>
      <c r="M176" s="104"/>
      <c r="N176" s="104"/>
      <c r="O176" s="104"/>
      <c r="P176" s="104"/>
      <c r="Q176" s="104"/>
      <c r="R176" s="104"/>
      <c r="S176" s="104"/>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19.5" customHeight="1" x14ac:dyDescent="0.25">
      <c r="K177" s="104"/>
      <c r="L177" s="104"/>
      <c r="M177" s="104"/>
      <c r="N177" s="104"/>
      <c r="O177" s="104"/>
      <c r="P177" s="104"/>
      <c r="Q177" s="104"/>
      <c r="R177" s="104"/>
      <c r="S177" s="104"/>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19.5" customHeight="1" x14ac:dyDescent="0.25">
      <c r="K178" s="104"/>
      <c r="L178" s="104"/>
      <c r="M178" s="104"/>
      <c r="N178" s="104"/>
      <c r="O178" s="104"/>
      <c r="P178" s="104"/>
      <c r="Q178" s="104"/>
      <c r="R178" s="104"/>
      <c r="S178" s="104"/>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19.5" customHeight="1" x14ac:dyDescent="0.25">
      <c r="K179" s="104"/>
      <c r="L179" s="104"/>
      <c r="M179" s="104"/>
      <c r="N179" s="104"/>
      <c r="O179" s="104"/>
      <c r="P179" s="104"/>
      <c r="Q179" s="104"/>
      <c r="R179" s="104"/>
      <c r="S179" s="104"/>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1">
    <mergeCell ref="U170:U179"/>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X98:AO98"/>
    <mergeCell ref="M99:N99"/>
    <mergeCell ref="U87:U95"/>
    <mergeCell ref="O88:Q88"/>
    <mergeCell ref="O89:Q89"/>
    <mergeCell ref="O90:P90"/>
    <mergeCell ref="O91:P91"/>
    <mergeCell ref="O92:P92"/>
    <mergeCell ref="O94:Q94"/>
    <mergeCell ref="U71:U72"/>
    <mergeCell ref="V71:V72"/>
    <mergeCell ref="W71:W72"/>
    <mergeCell ref="X71:Z71"/>
    <mergeCell ref="M72:N92"/>
    <mergeCell ref="O72:Q72"/>
    <mergeCell ref="O73:Q73"/>
    <mergeCell ref="U73:U82"/>
    <mergeCell ref="O74:P74"/>
    <mergeCell ref="O83:P83"/>
    <mergeCell ref="O84:P84"/>
    <mergeCell ref="U85:U86"/>
    <mergeCell ref="V85:V86"/>
    <mergeCell ref="W85:W86"/>
    <mergeCell ref="X85:AE85"/>
    <mergeCell ref="O86:Q86"/>
    <mergeCell ref="O75:P75"/>
    <mergeCell ref="O76:P76"/>
    <mergeCell ref="O78:Q78"/>
    <mergeCell ref="O80:Q80"/>
    <mergeCell ref="O81:Q81"/>
    <mergeCell ref="O82:P82"/>
    <mergeCell ref="B67:E67"/>
    <mergeCell ref="F67:I67"/>
    <mergeCell ref="AQ57:AR57"/>
    <mergeCell ref="B58:C58"/>
    <mergeCell ref="E58:I58"/>
    <mergeCell ref="AQ58:AR58"/>
    <mergeCell ref="B59:C59"/>
    <mergeCell ref="E59:I59"/>
    <mergeCell ref="O68:Q68"/>
    <mergeCell ref="AT50:AV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B44:C44"/>
    <mergeCell ref="E44:I44"/>
    <mergeCell ref="M44:R44"/>
    <mergeCell ref="AP44:AQ44"/>
    <mergeCell ref="B45:C45"/>
    <mergeCell ref="E45:I45"/>
    <mergeCell ref="O45:Q46"/>
    <mergeCell ref="U45:V45"/>
    <mergeCell ref="X45:Z45"/>
    <mergeCell ref="B46:C46"/>
    <mergeCell ref="B43:C43"/>
    <mergeCell ref="E43:I43"/>
    <mergeCell ref="AP43:AQ43"/>
    <mergeCell ref="E40:I40"/>
    <mergeCell ref="AP40:AQ40"/>
    <mergeCell ref="B41:C41"/>
    <mergeCell ref="E41:I41"/>
    <mergeCell ref="O41:Q41"/>
    <mergeCell ref="AP41:AQ41"/>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AD22:AD23"/>
    <mergeCell ref="AP25:AP26"/>
    <mergeCell ref="AQ25:AR26"/>
    <mergeCell ref="B26:I26"/>
    <mergeCell ref="U26:Z26"/>
    <mergeCell ref="AM18:AM20"/>
    <mergeCell ref="AQ18:AR18"/>
    <mergeCell ref="AQ19:AR19"/>
    <mergeCell ref="B20:E20"/>
    <mergeCell ref="V20:X20"/>
    <mergeCell ref="AQ20:AR20"/>
    <mergeCell ref="B16:I16"/>
    <mergeCell ref="AP16:AP17"/>
    <mergeCell ref="AQ16:AR17"/>
    <mergeCell ref="AV16:AV17"/>
    <mergeCell ref="U17:X19"/>
    <mergeCell ref="Y17:AD20"/>
    <mergeCell ref="B18:D18"/>
    <mergeCell ref="F18:H18"/>
    <mergeCell ref="AF18:AF20"/>
    <mergeCell ref="AJ18:AJ20"/>
    <mergeCell ref="AK18:AK20"/>
    <mergeCell ref="AL18:AL20"/>
    <mergeCell ref="C12:I12"/>
    <mergeCell ref="AF12:AF14"/>
    <mergeCell ref="AJ12:AJ14"/>
    <mergeCell ref="AK12:AK14"/>
    <mergeCell ref="AL12:AL14"/>
    <mergeCell ref="AM12:AM14"/>
    <mergeCell ref="AQ12:AR12"/>
    <mergeCell ref="C13:I13"/>
    <mergeCell ref="AQ13:AR13"/>
    <mergeCell ref="C14:G14"/>
    <mergeCell ref="AQ14:AR14"/>
    <mergeCell ref="B9:I9"/>
    <mergeCell ref="AF9:AF11"/>
    <mergeCell ref="AJ9:AJ11"/>
    <mergeCell ref="AK9:AK11"/>
    <mergeCell ref="AL9:AL11"/>
    <mergeCell ref="AM9:AM11"/>
    <mergeCell ref="AP10:AP11"/>
    <mergeCell ref="AQ10:AR11"/>
    <mergeCell ref="AV10:AV11"/>
    <mergeCell ref="C11:I11"/>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s>
  <dataValidations count="5">
    <dataValidation type="list" allowBlank="1" showInputMessage="1" showErrorMessage="1" sqref="O105:Q109">
      <formula1>$V$170:$V$179</formula1>
    </dataValidation>
    <dataValidation type="list" allowBlank="1" showInputMessage="1" showErrorMessage="1" sqref="O68 O176 N159 O174">
      <formula1>$AG$29:$AG$30</formula1>
    </dataValidation>
    <dataValidation type="list" allowBlank="1" showInputMessage="1" showErrorMessage="1" sqref="P39:Q39">
      <formula1>$AE$31:$AE$35</formula1>
    </dataValidation>
    <dataValidation type="list" allowBlank="1" showInputMessage="1" showErrorMessage="1" sqref="Q82:Q84 Q90:Q92 Q74:Q76 Q47 Q50">
      <formula1>$AI$29:$AI$40</formula1>
    </dataValidation>
    <dataValidation type="list" allowBlank="1" showInputMessage="1" showErrorMessage="1" sqref="O42:Q42">
      <formula1>$AK$29:$AK$38</formula1>
    </dataValidation>
  </dataValidations>
  <hyperlinks>
    <hyperlink ref="M4:N4" location="Apresentação!A1" display="Voltar"/>
  </hyperlinks>
  <pageMargins left="0.19685039370078741" right="0.11811023622047245" top="0.59055118110236227" bottom="0.39370078740157483" header="0.19685039370078741" footer="0"/>
  <pageSetup paperSize="9" scale="60"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corretivos'!$C$87:$C$99</xm:f>
          </x14:formula1>
          <xm:sqref>O47:P47</xm:sqref>
        </x14:dataValidation>
        <x14:dataValidation type="list" allowBlank="1" showInputMessage="1" showErrorMessage="1">
          <x14:formula1>
            <xm:f>'Adubos e corretivos'!$C$104:$C$113</xm:f>
          </x14:formula1>
          <xm:sqref>O55:Q55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179"/>
  <sheetViews>
    <sheetView zoomScale="56" zoomScaleNormal="56" workbookViewId="0">
      <selection activeCell="W47" sqref="W47"/>
    </sheetView>
  </sheetViews>
  <sheetFormatPr defaultRowHeight="20.25" customHeight="1" outlineLevelCol="1" x14ac:dyDescent="0.25"/>
  <cols>
    <col min="1" max="1" width="2.42578125" style="19" customWidth="1"/>
    <col min="2" max="2" width="37.28515625" style="19" customWidth="1"/>
    <col min="3" max="3" width="29.5703125" style="19" customWidth="1"/>
    <col min="4" max="9" width="16.7109375" style="19" customWidth="1"/>
    <col min="10" max="10" width="5.85546875" style="68" customWidth="1"/>
    <col min="11" max="12" width="9.140625" style="19" hidden="1" customWidth="1"/>
    <col min="13" max="13" width="36.7109375" style="19" bestFit="1" customWidth="1"/>
    <col min="14" max="14" width="11.42578125" style="19" customWidth="1"/>
    <col min="15" max="15" width="29.85546875" style="19" customWidth="1"/>
    <col min="16" max="16" width="18.7109375" style="19" customWidth="1"/>
    <col min="17" max="17" width="49.28515625" style="19" customWidth="1"/>
    <col min="18" max="18" width="8.7109375" style="19" customWidth="1"/>
    <col min="19" max="19" width="11.42578125" style="19" bestFit="1" customWidth="1"/>
    <col min="20" max="20" width="30.140625" style="19" customWidth="1" outlineLevel="1"/>
    <col min="21" max="21" width="43.42578125" style="19" customWidth="1" outlineLevel="1"/>
    <col min="22" max="22" width="65" style="19" customWidth="1" outlineLevel="1"/>
    <col min="23" max="23" width="21.28515625" style="19" customWidth="1" outlineLevel="1"/>
    <col min="24" max="24" width="20.28515625" style="19" customWidth="1" outlineLevel="1"/>
    <col min="25" max="25" width="22.42578125" style="19" customWidth="1" outlineLevel="1"/>
    <col min="26" max="26" width="18.85546875" style="19" customWidth="1" outlineLevel="1"/>
    <col min="27" max="27" width="16.85546875" style="19" customWidth="1" outlineLevel="1"/>
    <col min="28" max="28" width="21.5703125" style="19" customWidth="1" outlineLevel="1"/>
    <col min="29" max="29" width="16.85546875" style="19" customWidth="1" outlineLevel="1"/>
    <col min="30" max="30" width="24.42578125" style="19" customWidth="1" outlineLevel="1"/>
    <col min="31" max="31" width="25.42578125" style="19" customWidth="1" outlineLevel="1"/>
    <col min="32" max="32" width="25.5703125" style="19" customWidth="1" outlineLevel="1"/>
    <col min="33" max="33" width="21.42578125" style="19" customWidth="1" outlineLevel="1"/>
    <col min="34" max="34" width="21.5703125" style="19" customWidth="1" outlineLevel="1"/>
    <col min="35" max="36" width="14.28515625" style="19" customWidth="1" outlineLevel="1"/>
    <col min="37" max="37" width="31.42578125" style="19" customWidth="1" outlineLevel="1"/>
    <col min="38" max="38" width="11.42578125" style="19" customWidth="1" outlineLevel="1"/>
    <col min="39" max="39" width="34.28515625" style="19" customWidth="1" outlineLevel="1"/>
    <col min="40" max="40" width="20.85546875" style="19" customWidth="1" outlineLevel="1"/>
    <col min="41" max="41" width="21.28515625" style="19" customWidth="1" outlineLevel="1"/>
    <col min="42" max="42" width="65" style="19" customWidth="1" outlineLevel="1"/>
    <col min="43" max="43" width="16.7109375" style="19" customWidth="1" outlineLevel="1"/>
    <col min="44" max="44" width="45.85546875" style="19" customWidth="1" outlineLevel="1"/>
    <col min="45" max="45" width="16.7109375" style="19" customWidth="1" outlineLevel="1"/>
    <col min="46" max="46" width="29.28515625" style="19" customWidth="1" outlineLevel="1"/>
    <col min="47" max="48" width="23.85546875" style="19" customWidth="1" outlineLevel="1"/>
    <col min="49" max="49" width="23.5703125" style="19" customWidth="1" outlineLevel="1"/>
    <col min="50" max="50" width="22.42578125" style="19" customWidth="1" outlineLevel="1"/>
    <col min="51" max="51" width="28.5703125" style="19" customWidth="1" outlineLevel="1"/>
    <col min="52" max="52" width="23" style="19" customWidth="1" outlineLevel="1"/>
    <col min="53" max="54" width="16.7109375" style="19" customWidth="1" outlineLevel="1"/>
    <col min="55" max="55" width="9.140625" style="19" customWidth="1" outlineLevel="1"/>
    <col min="56" max="16384" width="9.140625" style="19"/>
  </cols>
  <sheetData>
    <row r="1" spans="1:54" ht="20.25" customHeight="1" thickBot="1" x14ac:dyDescent="0.3">
      <c r="B1" s="90"/>
      <c r="C1" s="90"/>
      <c r="D1" s="90"/>
      <c r="E1" s="90"/>
      <c r="F1" s="90"/>
      <c r="G1" s="90"/>
      <c r="H1" s="90"/>
      <c r="I1" s="90"/>
    </row>
    <row r="2" spans="1:54" ht="20.25" customHeight="1" thickBot="1" x14ac:dyDescent="0.3">
      <c r="B2" s="90"/>
      <c r="C2" s="90"/>
      <c r="D2" s="90"/>
      <c r="E2" s="90"/>
      <c r="F2" s="90"/>
      <c r="G2" s="90"/>
      <c r="H2" s="90"/>
      <c r="I2" s="90"/>
      <c r="M2" s="393" t="s">
        <v>252</v>
      </c>
      <c r="N2" s="394"/>
      <c r="O2" s="394"/>
      <c r="P2" s="394"/>
      <c r="Q2" s="394"/>
      <c r="R2" s="395"/>
      <c r="AO2" s="10"/>
      <c r="AP2" s="10"/>
      <c r="AQ2" s="10"/>
      <c r="AR2" s="10"/>
      <c r="AS2" s="10"/>
      <c r="AT2" s="10"/>
      <c r="AU2" s="10"/>
      <c r="AV2" s="10"/>
      <c r="AW2" s="10"/>
      <c r="AX2" s="10"/>
      <c r="AY2" s="10"/>
      <c r="AZ2" s="10"/>
      <c r="BA2" s="10"/>
      <c r="BB2" s="10"/>
    </row>
    <row r="3" spans="1:54" ht="20.25" customHeight="1" x14ac:dyDescent="0.25">
      <c r="B3" s="90"/>
      <c r="C3" s="90"/>
      <c r="D3" s="90"/>
      <c r="E3" s="90"/>
      <c r="F3" s="90"/>
      <c r="G3" s="90"/>
      <c r="H3" s="90"/>
      <c r="I3" s="90"/>
      <c r="M3" s="72"/>
      <c r="N3" s="73"/>
      <c r="O3" s="73"/>
      <c r="P3" s="73"/>
      <c r="Q3" s="73"/>
      <c r="R3" s="74"/>
      <c r="U3" s="343" t="s">
        <v>56</v>
      </c>
      <c r="V3" s="343"/>
      <c r="W3" s="343"/>
      <c r="X3" s="343"/>
      <c r="Y3" s="340" t="s">
        <v>59</v>
      </c>
      <c r="Z3" s="340"/>
      <c r="AA3" s="340"/>
      <c r="AB3" s="340"/>
      <c r="AC3" s="340"/>
      <c r="AD3" s="340"/>
      <c r="AO3" s="10"/>
      <c r="AP3" s="10"/>
      <c r="AQ3" s="10"/>
      <c r="AR3" s="10"/>
      <c r="AS3" s="10"/>
      <c r="AT3" s="10"/>
      <c r="AU3" s="10"/>
      <c r="AV3" s="10"/>
      <c r="AW3" s="10"/>
      <c r="AX3" s="10"/>
      <c r="AY3" s="10"/>
      <c r="AZ3" s="10"/>
      <c r="BA3" s="10"/>
      <c r="BB3" s="10"/>
    </row>
    <row r="4" spans="1:54" ht="20.25" customHeight="1" x14ac:dyDescent="0.25">
      <c r="B4" s="90"/>
      <c r="C4" s="90"/>
      <c r="D4" s="90"/>
      <c r="E4" s="90"/>
      <c r="F4" s="90"/>
      <c r="G4" s="90"/>
      <c r="H4" s="90"/>
      <c r="I4" s="90"/>
      <c r="M4" s="437" t="s">
        <v>296</v>
      </c>
      <c r="N4" s="438"/>
      <c r="O4" s="342" t="s">
        <v>181</v>
      </c>
      <c r="P4" s="342"/>
      <c r="Q4" s="81" t="s">
        <v>0</v>
      </c>
      <c r="R4" s="26"/>
      <c r="U4" s="343"/>
      <c r="V4" s="343"/>
      <c r="W4" s="343"/>
      <c r="X4" s="343"/>
      <c r="Y4" s="340"/>
      <c r="Z4" s="340"/>
      <c r="AA4" s="340"/>
      <c r="AB4" s="340"/>
      <c r="AC4" s="340"/>
      <c r="AD4" s="340"/>
      <c r="AO4" s="10"/>
      <c r="AP4" s="334" t="s">
        <v>239</v>
      </c>
      <c r="AQ4" s="334" t="s">
        <v>240</v>
      </c>
      <c r="AR4" s="334"/>
      <c r="AS4" s="71" t="s">
        <v>33</v>
      </c>
      <c r="AT4" s="71" t="s">
        <v>205</v>
      </c>
      <c r="AU4" s="71" t="s">
        <v>206</v>
      </c>
      <c r="AV4" s="363" t="s">
        <v>241</v>
      </c>
      <c r="AW4" s="10"/>
      <c r="AX4" s="10"/>
      <c r="AY4" s="10"/>
      <c r="AZ4" s="10"/>
      <c r="BA4" s="10"/>
      <c r="BB4" s="10"/>
    </row>
    <row r="5" spans="1:54" ht="20.25" customHeight="1" x14ac:dyDescent="0.25">
      <c r="B5" s="90"/>
      <c r="C5" s="90"/>
      <c r="D5" s="90"/>
      <c r="E5" s="90"/>
      <c r="F5" s="90"/>
      <c r="G5" s="90"/>
      <c r="H5" s="90"/>
      <c r="I5" s="90"/>
      <c r="M5" s="351" t="s">
        <v>193</v>
      </c>
      <c r="N5" s="361"/>
      <c r="O5" s="78" t="s">
        <v>1</v>
      </c>
      <c r="P5" s="8"/>
      <c r="Q5" s="78" t="s">
        <v>2</v>
      </c>
      <c r="R5" s="26"/>
      <c r="U5" s="343"/>
      <c r="V5" s="343"/>
      <c r="W5" s="343"/>
      <c r="X5" s="343"/>
      <c r="Y5" s="340"/>
      <c r="Z5" s="340"/>
      <c r="AA5" s="340"/>
      <c r="AB5" s="340"/>
      <c r="AC5" s="340"/>
      <c r="AD5" s="340"/>
      <c r="AO5" s="10"/>
      <c r="AP5" s="334"/>
      <c r="AQ5" s="334"/>
      <c r="AR5" s="334"/>
      <c r="AS5" s="18">
        <f>$AC$30</f>
        <v>50</v>
      </c>
      <c r="AT5" s="18">
        <f>$AC$31</f>
        <v>10</v>
      </c>
      <c r="AU5" s="18">
        <f>$AC$32</f>
        <v>10</v>
      </c>
      <c r="AV5" s="364"/>
      <c r="AW5" s="10"/>
      <c r="AX5" s="10"/>
      <c r="AY5" s="10"/>
      <c r="AZ5" s="10"/>
      <c r="BA5" s="10"/>
      <c r="BB5" s="10"/>
    </row>
    <row r="6" spans="1:54" ht="20.25" customHeight="1" x14ac:dyDescent="0.25">
      <c r="B6" s="90"/>
      <c r="C6" s="90"/>
      <c r="D6" s="90"/>
      <c r="E6" s="90"/>
      <c r="F6" s="90"/>
      <c r="G6" s="90"/>
      <c r="H6" s="90"/>
      <c r="I6" s="90"/>
      <c r="M6" s="351"/>
      <c r="N6" s="361"/>
      <c r="O6" s="78" t="s">
        <v>3</v>
      </c>
      <c r="P6" s="9"/>
      <c r="Q6" s="78" t="s">
        <v>55</v>
      </c>
      <c r="R6" s="26"/>
      <c r="U6" s="78" t="s">
        <v>29</v>
      </c>
      <c r="V6" s="340" t="s">
        <v>51</v>
      </c>
      <c r="W6" s="340"/>
      <c r="X6" s="340"/>
      <c r="Y6" s="340"/>
      <c r="Z6" s="340"/>
      <c r="AA6" s="340"/>
      <c r="AB6" s="340"/>
      <c r="AC6" s="340"/>
      <c r="AD6" s="340"/>
      <c r="AO6" s="10"/>
      <c r="AP6" s="71">
        <v>1</v>
      </c>
      <c r="AQ6" s="336">
        <f>O74</f>
        <v>0</v>
      </c>
      <c r="AR6" s="337"/>
      <c r="AS6" s="18">
        <f>IFERROR((VLOOKUP(AQ6,$V$100:$AB$179,3,0)*0.01)*AV6,0)</f>
        <v>0</v>
      </c>
      <c r="AT6" s="18">
        <f>IFERROR((VLOOKUP(AQ6,$V$100:$AB$179,5,0)*0.01)*AV6,0)</f>
        <v>0</v>
      </c>
      <c r="AU6" s="18">
        <f>IFERROR((VLOOKUP(AQ6,$V$100:$AB$179,7,0)*0.01)*AV6,0)</f>
        <v>0</v>
      </c>
      <c r="AV6" s="18">
        <f>IFERROR($AT$5*Q74/(VLOOKUP(AQ6,$V$100:$AB$179,5,0)/100),0)</f>
        <v>0</v>
      </c>
      <c r="AW6" s="10"/>
      <c r="AX6" s="10"/>
      <c r="AY6" s="10"/>
      <c r="AZ6" s="10"/>
      <c r="BA6" s="10"/>
      <c r="BB6" s="10"/>
    </row>
    <row r="7" spans="1:54" ht="20.25" customHeight="1" x14ac:dyDescent="0.25">
      <c r="B7" s="90"/>
      <c r="C7" s="90"/>
      <c r="D7" s="90"/>
      <c r="E7" s="90"/>
      <c r="F7" s="90"/>
      <c r="G7" s="90"/>
      <c r="H7" s="90"/>
      <c r="I7" s="90"/>
      <c r="M7" s="351"/>
      <c r="N7" s="361"/>
      <c r="O7" s="78" t="s">
        <v>4</v>
      </c>
      <c r="P7" s="8"/>
      <c r="Q7" s="78" t="s">
        <v>55</v>
      </c>
      <c r="R7" s="26"/>
      <c r="U7" s="78" t="s">
        <v>23</v>
      </c>
      <c r="V7" s="78" t="s">
        <v>25</v>
      </c>
      <c r="W7" s="78" t="s">
        <v>26</v>
      </c>
      <c r="X7" s="78" t="s">
        <v>31</v>
      </c>
      <c r="Y7" s="78" t="s">
        <v>53</v>
      </c>
      <c r="Z7" s="340" t="s">
        <v>54</v>
      </c>
      <c r="AA7" s="340"/>
      <c r="AB7" s="340"/>
      <c r="AC7" s="78" t="s">
        <v>57</v>
      </c>
      <c r="AD7" s="78" t="s">
        <v>58</v>
      </c>
      <c r="AF7" s="335" t="s">
        <v>228</v>
      </c>
      <c r="AG7" s="335"/>
      <c r="AH7" s="335"/>
      <c r="AI7" s="335"/>
      <c r="AJ7" s="335"/>
      <c r="AK7" s="335"/>
      <c r="AL7" s="335"/>
      <c r="AM7" s="335"/>
      <c r="AO7" s="10"/>
      <c r="AP7" s="71">
        <v>2</v>
      </c>
      <c r="AQ7" s="336">
        <f>O75</f>
        <v>0</v>
      </c>
      <c r="AR7" s="337"/>
      <c r="AS7" s="18">
        <f>IFERROR((VLOOKUP(AQ7,$V$100:$AB$179,3,0)*0.01)*AV7,0)</f>
        <v>0</v>
      </c>
      <c r="AT7" s="18">
        <f>IFERROR((VLOOKUP(AQ7,$V$100:$AB$179,5,0)*0.01)*AV7,0)</f>
        <v>0</v>
      </c>
      <c r="AU7" s="18">
        <f>IFERROR((VLOOKUP(AQ7,$V$100:$AB$179,7,0)*0.01)*AV7,0)</f>
        <v>0</v>
      </c>
      <c r="AV7" s="18">
        <f>IFERROR($AT$5*Q75/(VLOOKUP(AQ7,$V$100:$AB$179,5,0)/100),0)</f>
        <v>0</v>
      </c>
      <c r="AW7" s="10"/>
      <c r="AX7" s="10"/>
      <c r="AY7" s="10"/>
      <c r="AZ7" s="10"/>
      <c r="BA7" s="10"/>
      <c r="BB7" s="10"/>
    </row>
    <row r="8" spans="1:54" ht="20.25" customHeight="1" thickBot="1" x14ac:dyDescent="0.3">
      <c r="B8" s="90"/>
      <c r="C8" s="90"/>
      <c r="D8" s="90"/>
      <c r="E8" s="90"/>
      <c r="F8" s="90"/>
      <c r="G8" s="90"/>
      <c r="H8" s="90"/>
      <c r="I8" s="90"/>
      <c r="M8" s="351"/>
      <c r="N8" s="361"/>
      <c r="O8" s="78" t="s">
        <v>5</v>
      </c>
      <c r="P8" s="9"/>
      <c r="Q8" s="102" t="s">
        <v>55</v>
      </c>
      <c r="R8" s="26"/>
      <c r="U8" s="78" t="s">
        <v>37</v>
      </c>
      <c r="V8" s="78" t="s">
        <v>39</v>
      </c>
      <c r="W8" s="78" t="s">
        <v>30</v>
      </c>
      <c r="X8" s="78" t="s">
        <v>43</v>
      </c>
      <c r="Y8" s="78" t="str">
        <f>IF($P$21&lt;=15.99,"correto","erro")</f>
        <v>correto</v>
      </c>
      <c r="Z8" s="78" t="str">
        <f>IF($P$13&lt;=12,"baixo","erro")</f>
        <v>baixo</v>
      </c>
      <c r="AA8" s="78" t="str">
        <f>IF(AND($P$13&gt;=12.01,$P$13&lt;=18),"medio","erro")</f>
        <v>erro</v>
      </c>
      <c r="AB8" s="78" t="str">
        <f>IF($P$13&gt;18,"adequado","erro")</f>
        <v>erro</v>
      </c>
      <c r="AC8" s="78" t="str">
        <f>IF(Z8="baixo","baixo",IF(AA8="medio","medio",IF(AB8="adequado","adequado",0)))</f>
        <v>baixo</v>
      </c>
      <c r="AD8" s="340" t="str">
        <f>VLOOKUP("correto",Y8:AC11,5,0)</f>
        <v>baixo</v>
      </c>
      <c r="AF8" s="78" t="s">
        <v>231</v>
      </c>
      <c r="AG8" s="335" t="s">
        <v>229</v>
      </c>
      <c r="AH8" s="335"/>
      <c r="AI8" s="340" t="s">
        <v>230</v>
      </c>
      <c r="AJ8" s="340"/>
      <c r="AK8" s="78" t="s">
        <v>58</v>
      </c>
      <c r="AL8" s="78" t="s">
        <v>244</v>
      </c>
      <c r="AM8" s="78" t="s">
        <v>247</v>
      </c>
      <c r="AO8" s="10"/>
      <c r="AP8" s="71">
        <v>3</v>
      </c>
      <c r="AQ8" s="336">
        <f>O76</f>
        <v>0</v>
      </c>
      <c r="AR8" s="337"/>
      <c r="AS8" s="18">
        <f>IFERROR((VLOOKUP(AQ8,$V$100:$AB$179,3,0)*0.01)*AV8,0)</f>
        <v>0</v>
      </c>
      <c r="AT8" s="18">
        <f>IFERROR((VLOOKUP(AQ8,$V$100:$AB$179,5,0)*0.01)*AV8,0)</f>
        <v>0</v>
      </c>
      <c r="AU8" s="18">
        <f>IFERROR((VLOOKUP(AQ8,$V$100:$AB$179,7,0)*0.01)*AV8,0)</f>
        <v>0</v>
      </c>
      <c r="AV8" s="18">
        <f>IFERROR($AT$5*Q76/(VLOOKUP(AQ8,$V$100:$AB$179,5,0)/100),0)</f>
        <v>0</v>
      </c>
      <c r="AW8" s="10"/>
      <c r="AX8" s="10"/>
      <c r="AY8" s="10"/>
      <c r="AZ8" s="10"/>
      <c r="BA8" s="10"/>
      <c r="BB8" s="10"/>
    </row>
    <row r="9" spans="1:54" ht="20.25" customHeight="1" thickBot="1" x14ac:dyDescent="0.3">
      <c r="A9" s="27"/>
      <c r="B9" s="317" t="s">
        <v>108</v>
      </c>
      <c r="C9" s="318"/>
      <c r="D9" s="318"/>
      <c r="E9" s="318"/>
      <c r="F9" s="318"/>
      <c r="G9" s="318"/>
      <c r="H9" s="318"/>
      <c r="I9" s="319"/>
      <c r="M9" s="351"/>
      <c r="N9" s="361"/>
      <c r="O9" s="78" t="s">
        <v>6</v>
      </c>
      <c r="P9" s="8"/>
      <c r="Q9" s="78" t="s">
        <v>55</v>
      </c>
      <c r="R9" s="26"/>
      <c r="U9" s="78" t="s">
        <v>27</v>
      </c>
      <c r="V9" s="78" t="s">
        <v>40</v>
      </c>
      <c r="W9" s="78" t="s">
        <v>44</v>
      </c>
      <c r="X9" s="78" t="s">
        <v>47</v>
      </c>
      <c r="Y9" s="78" t="str">
        <f>IF(AND($P$21&gt;15.99,P21&lt;34.99),"correto","erro")</f>
        <v>erro</v>
      </c>
      <c r="Z9" s="78" t="str">
        <f>IF($P$13&lt;=10,"baixo","erro")</f>
        <v>baixo</v>
      </c>
      <c r="AA9" s="78" t="str">
        <f>IF(AND($P$13&gt;=10.01,$P$13&lt;=15),"medio","erro")</f>
        <v>erro</v>
      </c>
      <c r="AB9" s="78" t="str">
        <f>IF($P$13&gt;15,"adequado","erro")</f>
        <v>erro</v>
      </c>
      <c r="AC9" s="78" t="str">
        <f>IF(Z9="baixo","baixo",IF(AA9="medio","medio",IF(AB9="adequado","adequado",0)))</f>
        <v>baixo</v>
      </c>
      <c r="AD9" s="340"/>
      <c r="AF9" s="335" t="s">
        <v>227</v>
      </c>
      <c r="AG9" s="88" t="s">
        <v>25</v>
      </c>
      <c r="AH9" s="88" t="s">
        <v>223</v>
      </c>
      <c r="AI9" s="78" t="str">
        <f>IF($P$14&lt;=0.2,"baixo","erro")</f>
        <v>baixo</v>
      </c>
      <c r="AJ9" s="340" t="str">
        <f>IF($AI$9="baixo","baixo",IF($AI$10="medio","medio",IF($AI$11="adequado","adequado",0)))</f>
        <v>baixo</v>
      </c>
      <c r="AK9" s="340" t="e">
        <f>IF(AJ9="Baixo",AL9,0)</f>
        <v>#VALUE!</v>
      </c>
      <c r="AL9" s="340" t="e">
        <f>(AM9*1000)/$E$18</f>
        <v>#VALUE!</v>
      </c>
      <c r="AM9" s="338">
        <v>2</v>
      </c>
      <c r="AO9" s="10"/>
      <c r="AP9" s="10"/>
      <c r="AQ9" s="10"/>
      <c r="AR9" s="10"/>
      <c r="AS9" s="48">
        <f>AS5-(SUM(AS6:AS8))</f>
        <v>50</v>
      </c>
      <c r="AT9" s="48">
        <f>AT5-(SUM(AT6:AT8))</f>
        <v>10</v>
      </c>
      <c r="AU9" s="48">
        <f>AU5-(SUM(AU6:AU8))</f>
        <v>10</v>
      </c>
      <c r="AV9" s="48"/>
      <c r="AW9" s="10"/>
      <c r="AX9" s="10"/>
      <c r="AY9" s="10"/>
      <c r="AZ9" s="10"/>
      <c r="BA9" s="10"/>
      <c r="BB9" s="10"/>
    </row>
    <row r="10" spans="1:54" ht="20.25" customHeight="1" x14ac:dyDescent="0.25">
      <c r="B10" s="90"/>
      <c r="C10" s="90"/>
      <c r="D10" s="90"/>
      <c r="E10" s="90"/>
      <c r="F10" s="90"/>
      <c r="G10" s="90"/>
      <c r="H10" s="90"/>
      <c r="I10" s="90"/>
      <c r="M10" s="351"/>
      <c r="N10" s="361"/>
      <c r="O10" s="78" t="s">
        <v>7</v>
      </c>
      <c r="P10" s="9"/>
      <c r="Q10" s="78" t="s">
        <v>55</v>
      </c>
      <c r="R10" s="26"/>
      <c r="U10" s="78" t="s">
        <v>28</v>
      </c>
      <c r="V10" s="78" t="s">
        <v>41</v>
      </c>
      <c r="W10" s="78" t="s">
        <v>45</v>
      </c>
      <c r="X10" s="78" t="s">
        <v>48</v>
      </c>
      <c r="Y10" s="78" t="str">
        <f>IF(AND($P$21&gt;34.99,P21&lt;59.99),"correto","erro")</f>
        <v>erro</v>
      </c>
      <c r="Z10" s="78" t="str">
        <f>IF($P$13&lt;=5,"baixo","erro")</f>
        <v>baixo</v>
      </c>
      <c r="AA10" s="78" t="str">
        <f>IF(AND($P$13&gt;=5.01,$P$13&lt;=8),"medio","erro")</f>
        <v>erro</v>
      </c>
      <c r="AB10" s="78" t="str">
        <f>IF($P$13&gt;8,"adequado","erro")</f>
        <v>erro</v>
      </c>
      <c r="AC10" s="78" t="str">
        <f>IF(Z10="baixo","baixo",IF(AA10="medio","medio",IF(AB10="adequado","adequado",0)))</f>
        <v>baixo</v>
      </c>
      <c r="AD10" s="340"/>
      <c r="AF10" s="335"/>
      <c r="AG10" s="88" t="s">
        <v>26</v>
      </c>
      <c r="AH10" s="88" t="s">
        <v>219</v>
      </c>
      <c r="AI10" s="78" t="str">
        <f>IF(AND($P$14&gt;=0.201,$P$14&lt;=0.5),"medio","erro")</f>
        <v>erro</v>
      </c>
      <c r="AJ10" s="340"/>
      <c r="AK10" s="340"/>
      <c r="AL10" s="340"/>
      <c r="AM10" s="338"/>
      <c r="AO10" s="10"/>
      <c r="AP10" s="334" t="s">
        <v>239</v>
      </c>
      <c r="AQ10" s="334" t="s">
        <v>240</v>
      </c>
      <c r="AR10" s="334"/>
      <c r="AS10" s="71" t="s">
        <v>33</v>
      </c>
      <c r="AT10" s="71" t="s">
        <v>205</v>
      </c>
      <c r="AU10" s="71" t="s">
        <v>206</v>
      </c>
      <c r="AV10" s="363" t="s">
        <v>241</v>
      </c>
      <c r="AW10" s="10" t="s">
        <v>291</v>
      </c>
      <c r="AX10" s="10"/>
      <c r="AY10" s="10"/>
      <c r="AZ10" s="10"/>
      <c r="BA10" s="10"/>
      <c r="BB10" s="10"/>
    </row>
    <row r="11" spans="1:54" ht="20.25" customHeight="1" x14ac:dyDescent="0.25">
      <c r="B11" s="91" t="s">
        <v>109</v>
      </c>
      <c r="C11" s="323"/>
      <c r="D11" s="323"/>
      <c r="E11" s="323"/>
      <c r="F11" s="323"/>
      <c r="G11" s="323"/>
      <c r="H11" s="323"/>
      <c r="I11" s="324"/>
      <c r="M11" s="351"/>
      <c r="N11" s="361"/>
      <c r="O11" s="78" t="s">
        <v>8</v>
      </c>
      <c r="P11" s="8"/>
      <c r="Q11" s="78" t="s">
        <v>55</v>
      </c>
      <c r="R11" s="26"/>
      <c r="U11" s="78" t="s">
        <v>38</v>
      </c>
      <c r="V11" s="78" t="s">
        <v>42</v>
      </c>
      <c r="W11" s="78" t="s">
        <v>46</v>
      </c>
      <c r="X11" s="78" t="s">
        <v>49</v>
      </c>
      <c r="Y11" s="78" t="str">
        <f>IF($P$21&gt;59.99,"correto","erro")</f>
        <v>erro</v>
      </c>
      <c r="Z11" s="78" t="str">
        <f>IF($P$13&lt;=3,"baixo","erro")</f>
        <v>baixo</v>
      </c>
      <c r="AA11" s="78" t="str">
        <f>IF(AND($P$13&gt;=3.01,$P$13&lt;=6),"medio","erro")</f>
        <v>erro</v>
      </c>
      <c r="AB11" s="78" t="str">
        <f>IF($P$13&gt;6,"adequado","erro")</f>
        <v>erro</v>
      </c>
      <c r="AC11" s="78" t="str">
        <f>IF(Z11="baixo","baixo",IF(AA11="medio","medio",IF(AB11="adequado","adequado",0)))</f>
        <v>baixo</v>
      </c>
      <c r="AD11" s="340"/>
      <c r="AF11" s="335"/>
      <c r="AG11" s="88" t="s">
        <v>215</v>
      </c>
      <c r="AH11" s="88" t="s">
        <v>214</v>
      </c>
      <c r="AI11" s="78" t="str">
        <f>IF($P$14&gt;0.5,"adequado","erro")</f>
        <v>erro</v>
      </c>
      <c r="AJ11" s="340"/>
      <c r="AK11" s="340"/>
      <c r="AL11" s="340"/>
      <c r="AM11" s="338"/>
      <c r="AO11" s="10"/>
      <c r="AP11" s="334"/>
      <c r="AQ11" s="334"/>
      <c r="AR11" s="334"/>
      <c r="AS11" s="18">
        <f>AS9</f>
        <v>50</v>
      </c>
      <c r="AT11" s="18">
        <f t="shared" ref="AT11:AU11" si="0">AT9</f>
        <v>10</v>
      </c>
      <c r="AU11" s="18">
        <f t="shared" si="0"/>
        <v>10</v>
      </c>
      <c r="AV11" s="364"/>
      <c r="AW11" s="10"/>
      <c r="AX11" s="10"/>
      <c r="AY11" s="10"/>
      <c r="AZ11" s="10"/>
      <c r="BA11" s="10"/>
      <c r="BB11" s="10"/>
    </row>
    <row r="12" spans="1:54" ht="20.25" customHeight="1" x14ac:dyDescent="0.25">
      <c r="B12" s="92" t="s">
        <v>110</v>
      </c>
      <c r="C12" s="322"/>
      <c r="D12" s="323"/>
      <c r="E12" s="323"/>
      <c r="F12" s="323"/>
      <c r="G12" s="323"/>
      <c r="H12" s="323"/>
      <c r="I12" s="324"/>
      <c r="M12" s="351"/>
      <c r="N12" s="361"/>
      <c r="O12" s="78" t="s">
        <v>9</v>
      </c>
      <c r="P12" s="9"/>
      <c r="Q12" s="78" t="s">
        <v>10</v>
      </c>
      <c r="R12" s="26"/>
      <c r="AF12" s="335" t="s">
        <v>226</v>
      </c>
      <c r="AG12" s="88" t="s">
        <v>25</v>
      </c>
      <c r="AH12" s="88" t="s">
        <v>222</v>
      </c>
      <c r="AI12" s="78" t="str">
        <f>IF($P$16&lt;=0.4,"baixo","erro")</f>
        <v>baixo</v>
      </c>
      <c r="AJ12" s="340" t="str">
        <f>IF($AI$12="baixo","baixo",IF($AI$13="medio","medio",IF($AI$14="adequado","adequado",0)))</f>
        <v>baixo</v>
      </c>
      <c r="AK12" s="340" t="e">
        <f>IF(AJ12="Baixo",AL12,0)</f>
        <v>#VALUE!</v>
      </c>
      <c r="AL12" s="340" t="e">
        <f>(AM12*1000)/$E$18</f>
        <v>#VALUE!</v>
      </c>
      <c r="AM12" s="338">
        <v>2</v>
      </c>
      <c r="AO12" s="10"/>
      <c r="AP12" s="71">
        <v>7</v>
      </c>
      <c r="AQ12" s="334">
        <f>O82</f>
        <v>0</v>
      </c>
      <c r="AR12" s="334"/>
      <c r="AS12" s="18">
        <f>IFERROR((VLOOKUP(AQ12,$V$100:$AB$179,3,0)*0.01)*AV12,0)</f>
        <v>0</v>
      </c>
      <c r="AT12" s="18">
        <f>IFERROR((VLOOKUP(AQ12,$V$100:$AB$179,5,0)*0.01)*AV12,0)</f>
        <v>0</v>
      </c>
      <c r="AU12" s="18">
        <f>IFERROR((VLOOKUP(AQ12,$V$100:$AB$179,7,0)*0.01)*AV12,0)</f>
        <v>0</v>
      </c>
      <c r="AV12" s="18">
        <f>IFERROR($AU$11*Q82/(VLOOKUP(AQ12,$V$100:$AB$179,7,0)/100),0)</f>
        <v>0</v>
      </c>
      <c r="AW12" s="10"/>
      <c r="AX12" s="10"/>
      <c r="AY12" s="10"/>
      <c r="AZ12" s="10"/>
      <c r="BA12" s="10"/>
      <c r="BB12" s="10"/>
    </row>
    <row r="13" spans="1:54" ht="20.25" customHeight="1" x14ac:dyDescent="0.25">
      <c r="B13" s="92" t="s">
        <v>111</v>
      </c>
      <c r="C13" s="322"/>
      <c r="D13" s="323"/>
      <c r="E13" s="323"/>
      <c r="F13" s="323"/>
      <c r="G13" s="323"/>
      <c r="H13" s="323"/>
      <c r="I13" s="324"/>
      <c r="M13" s="351"/>
      <c r="N13" s="361"/>
      <c r="O13" s="78" t="s">
        <v>11</v>
      </c>
      <c r="P13" s="8"/>
      <c r="Q13" s="78" t="s">
        <v>12</v>
      </c>
      <c r="R13" s="26"/>
      <c r="AF13" s="335"/>
      <c r="AG13" s="88" t="s">
        <v>26</v>
      </c>
      <c r="AH13" s="88" t="s">
        <v>218</v>
      </c>
      <c r="AI13" s="78" t="str">
        <f>IF(AND($P$16&gt;=0.401,$P$16&lt;=0.8),"medio","erro")</f>
        <v>erro</v>
      </c>
      <c r="AJ13" s="340"/>
      <c r="AK13" s="340"/>
      <c r="AL13" s="340"/>
      <c r="AM13" s="338"/>
      <c r="AO13" s="10"/>
      <c r="AP13" s="71">
        <v>8</v>
      </c>
      <c r="AQ13" s="334">
        <f>O83</f>
        <v>0</v>
      </c>
      <c r="AR13" s="334"/>
      <c r="AS13" s="18">
        <f>IFERROR((VLOOKUP(AQ13,$V$100:$AB$179,3,0)*0.01)*AV13,0)</f>
        <v>0</v>
      </c>
      <c r="AT13" s="18">
        <f>IFERROR((VLOOKUP(AQ13,$V$100:$AB$179,5,0)*0.01)*AV13,0)</f>
        <v>0</v>
      </c>
      <c r="AU13" s="18">
        <f>IFERROR((VLOOKUP(AQ13,$V$100:$AB$179,7,0)*0.01)*AV13,0)</f>
        <v>0</v>
      </c>
      <c r="AV13" s="18">
        <f>IFERROR($AU$11*Q83/(VLOOKUP(AQ13,$V$100:$AB$179,7,0)/100),0)</f>
        <v>0</v>
      </c>
      <c r="AW13" s="10"/>
      <c r="AX13" s="10"/>
      <c r="AY13" s="10"/>
      <c r="AZ13" s="10"/>
      <c r="BA13" s="10"/>
      <c r="BB13" s="10"/>
    </row>
    <row r="14" spans="1:54" ht="20.25" customHeight="1" x14ac:dyDescent="0.25">
      <c r="B14" s="92" t="s">
        <v>112</v>
      </c>
      <c r="C14" s="322"/>
      <c r="D14" s="323"/>
      <c r="E14" s="323"/>
      <c r="F14" s="323"/>
      <c r="G14" s="324"/>
      <c r="H14" s="91" t="s">
        <v>113</v>
      </c>
      <c r="I14" s="93">
        <f ca="1">TODAY()</f>
        <v>44005</v>
      </c>
      <c r="M14" s="351"/>
      <c r="N14" s="361"/>
      <c r="O14" s="78" t="s">
        <v>13</v>
      </c>
      <c r="P14" s="9"/>
      <c r="Q14" s="78" t="s">
        <v>12</v>
      </c>
      <c r="R14" s="26"/>
      <c r="AF14" s="335"/>
      <c r="AG14" s="88" t="s">
        <v>215</v>
      </c>
      <c r="AH14" s="88" t="s">
        <v>213</v>
      </c>
      <c r="AI14" s="78" t="str">
        <f>IF($P$16&gt;0.8,"adequado","erro")</f>
        <v>erro</v>
      </c>
      <c r="AJ14" s="340"/>
      <c r="AK14" s="340"/>
      <c r="AL14" s="340"/>
      <c r="AM14" s="338"/>
      <c r="AO14" s="10"/>
      <c r="AP14" s="71">
        <v>9</v>
      </c>
      <c r="AQ14" s="334">
        <f>O84</f>
        <v>0</v>
      </c>
      <c r="AR14" s="334"/>
      <c r="AS14" s="18">
        <f>IFERROR((VLOOKUP(AQ14,$V$100:$AB$179,3,0)*0.01)*AV14,0)</f>
        <v>0</v>
      </c>
      <c r="AT14" s="18">
        <f>IFERROR((VLOOKUP(AQ14,$V$100:$AB$179,5,0)*0.01)*AV14,0)</f>
        <v>0</v>
      </c>
      <c r="AU14" s="18">
        <f>IFERROR((VLOOKUP(AQ14,$V$100:$AB$179,7,0)*0.01)*AV14,0)</f>
        <v>0</v>
      </c>
      <c r="AV14" s="18">
        <f>IFERROR($AU$11*Q84/(VLOOKUP(AQ14,$V$100:$AB$179,7,0)/100),0)</f>
        <v>0</v>
      </c>
      <c r="AW14" s="10"/>
      <c r="AX14" s="10"/>
      <c r="AY14" s="10"/>
      <c r="AZ14" s="10"/>
      <c r="BA14" s="10"/>
      <c r="BB14" s="10"/>
    </row>
    <row r="15" spans="1:54" ht="20.25" customHeight="1" thickBot="1" x14ac:dyDescent="0.3">
      <c r="B15" s="90"/>
      <c r="C15" s="90"/>
      <c r="D15" s="90"/>
      <c r="E15" s="90"/>
      <c r="F15" s="90"/>
      <c r="G15" s="90"/>
      <c r="H15" s="90"/>
      <c r="I15" s="90"/>
      <c r="M15" s="351"/>
      <c r="N15" s="361"/>
      <c r="O15" s="78" t="s">
        <v>14</v>
      </c>
      <c r="P15" s="8"/>
      <c r="Q15" s="78" t="s">
        <v>12</v>
      </c>
      <c r="R15" s="26"/>
      <c r="AF15" s="335" t="s">
        <v>225</v>
      </c>
      <c r="AG15" s="88" t="s">
        <v>25</v>
      </c>
      <c r="AH15" s="88" t="s">
        <v>221</v>
      </c>
      <c r="AI15" s="78" t="str">
        <f>IF($P$18&lt;=1.9,"baixo","erro")</f>
        <v>baixo</v>
      </c>
      <c r="AJ15" s="340" t="str">
        <f>IF($AI$15="baixo","baixo",IF($AI$16="medio","medio",IF($AI$17="adequado","adequado",0)))</f>
        <v>baixo</v>
      </c>
      <c r="AK15" s="340" t="e">
        <f>IF(AJ15="Baixo",AL15,0)</f>
        <v>#VALUE!</v>
      </c>
      <c r="AL15" s="340" t="e">
        <f>(AM15*1000)/$E$18</f>
        <v>#VALUE!</v>
      </c>
      <c r="AM15" s="338">
        <v>6</v>
      </c>
      <c r="AO15" s="10"/>
      <c r="AP15" s="10"/>
      <c r="AQ15" s="10"/>
      <c r="AR15" s="10"/>
      <c r="AS15" s="48">
        <f>AS11-(SUM(AS12:AS14))</f>
        <v>50</v>
      </c>
      <c r="AT15" s="48">
        <f>AT11-(SUM(AT12:AT14))</f>
        <v>10</v>
      </c>
      <c r="AU15" s="48">
        <f>AU11-(SUM(AU12:AU14))</f>
        <v>10</v>
      </c>
      <c r="AV15" s="10"/>
      <c r="AW15" s="10"/>
      <c r="AX15" s="10"/>
      <c r="AY15" s="10"/>
      <c r="AZ15" s="10"/>
      <c r="BA15" s="10"/>
      <c r="BB15" s="10"/>
    </row>
    <row r="16" spans="1:54" ht="20.25" customHeight="1" thickBot="1" x14ac:dyDescent="0.3">
      <c r="B16" s="325" t="s">
        <v>290</v>
      </c>
      <c r="C16" s="326"/>
      <c r="D16" s="326"/>
      <c r="E16" s="326"/>
      <c r="F16" s="326"/>
      <c r="G16" s="326"/>
      <c r="H16" s="326"/>
      <c r="I16" s="327"/>
      <c r="M16" s="351"/>
      <c r="N16" s="361"/>
      <c r="O16" s="78" t="s">
        <v>15</v>
      </c>
      <c r="P16" s="9"/>
      <c r="Q16" s="78" t="s">
        <v>12</v>
      </c>
      <c r="R16" s="26"/>
      <c r="AF16" s="335"/>
      <c r="AG16" s="88" t="s">
        <v>26</v>
      </c>
      <c r="AH16" s="88" t="s">
        <v>217</v>
      </c>
      <c r="AI16" s="78" t="str">
        <f>IF(AND($P$18&gt;=1.901,$P$18&lt;=5),"medio","erro")</f>
        <v>erro</v>
      </c>
      <c r="AJ16" s="340"/>
      <c r="AK16" s="340"/>
      <c r="AL16" s="340"/>
      <c r="AM16" s="338"/>
      <c r="AO16" s="10"/>
      <c r="AP16" s="334" t="s">
        <v>239</v>
      </c>
      <c r="AQ16" s="334" t="s">
        <v>240</v>
      </c>
      <c r="AR16" s="334"/>
      <c r="AS16" s="71" t="s">
        <v>33</v>
      </c>
      <c r="AT16" s="71" t="s">
        <v>205</v>
      </c>
      <c r="AU16" s="71" t="s">
        <v>206</v>
      </c>
      <c r="AV16" s="363" t="s">
        <v>241</v>
      </c>
      <c r="AW16" s="10"/>
      <c r="AX16" s="10"/>
      <c r="AY16" s="10"/>
      <c r="AZ16" s="10"/>
      <c r="BA16" s="10"/>
      <c r="BB16" s="10"/>
    </row>
    <row r="17" spans="2:54" ht="20.25" customHeight="1" x14ac:dyDescent="0.25">
      <c r="B17" s="90"/>
      <c r="C17" s="90"/>
      <c r="D17" s="90"/>
      <c r="E17" s="90"/>
      <c r="F17" s="90"/>
      <c r="G17" s="90"/>
      <c r="H17" s="90"/>
      <c r="I17" s="90"/>
      <c r="M17" s="351"/>
      <c r="N17" s="361"/>
      <c r="O17" s="78" t="s">
        <v>16</v>
      </c>
      <c r="P17" s="8"/>
      <c r="Q17" s="78" t="s">
        <v>12</v>
      </c>
      <c r="R17" s="26"/>
      <c r="U17" s="343" t="s">
        <v>60</v>
      </c>
      <c r="V17" s="343"/>
      <c r="W17" s="343"/>
      <c r="X17" s="343"/>
      <c r="Y17" s="340" t="s">
        <v>59</v>
      </c>
      <c r="Z17" s="340"/>
      <c r="AA17" s="340"/>
      <c r="AB17" s="340"/>
      <c r="AC17" s="340"/>
      <c r="AD17" s="340"/>
      <c r="AF17" s="335"/>
      <c r="AG17" s="88" t="s">
        <v>215</v>
      </c>
      <c r="AH17" s="88" t="s">
        <v>212</v>
      </c>
      <c r="AI17" s="78" t="str">
        <f>IF($P$18&gt;5,"adequado","erro")</f>
        <v>erro</v>
      </c>
      <c r="AJ17" s="340"/>
      <c r="AK17" s="340"/>
      <c r="AL17" s="340"/>
      <c r="AM17" s="338"/>
      <c r="AO17" s="10"/>
      <c r="AP17" s="334"/>
      <c r="AQ17" s="334"/>
      <c r="AR17" s="334"/>
      <c r="AS17" s="18">
        <f>AS15</f>
        <v>50</v>
      </c>
      <c r="AT17" s="18">
        <f t="shared" ref="AT17:AU17" si="1">AT15</f>
        <v>10</v>
      </c>
      <c r="AU17" s="18">
        <f t="shared" si="1"/>
        <v>10</v>
      </c>
      <c r="AV17" s="364"/>
      <c r="AW17" s="10"/>
      <c r="AX17" s="10"/>
      <c r="AY17" s="10"/>
      <c r="AZ17" s="10"/>
      <c r="BA17" s="10"/>
      <c r="BB17" s="10"/>
    </row>
    <row r="18" spans="2:54" ht="20.25" customHeight="1" x14ac:dyDescent="0.25">
      <c r="B18" s="339" t="s">
        <v>123</v>
      </c>
      <c r="C18" s="339"/>
      <c r="D18" s="339"/>
      <c r="E18" s="94" t="str">
        <f>IFERROR(IF(ISERR(P35),Q35,IF(ISERR(Q35),P35)),"-")</f>
        <v>-</v>
      </c>
      <c r="F18" s="339" t="s">
        <v>114</v>
      </c>
      <c r="G18" s="339"/>
      <c r="H18" s="339"/>
      <c r="I18" s="91">
        <f>O34</f>
        <v>0</v>
      </c>
      <c r="M18" s="351"/>
      <c r="N18" s="361"/>
      <c r="O18" s="78" t="s">
        <v>17</v>
      </c>
      <c r="P18" s="9"/>
      <c r="Q18" s="78" t="s">
        <v>12</v>
      </c>
      <c r="R18" s="26"/>
      <c r="U18" s="343"/>
      <c r="V18" s="343"/>
      <c r="W18" s="343"/>
      <c r="X18" s="343"/>
      <c r="Y18" s="340"/>
      <c r="Z18" s="340"/>
      <c r="AA18" s="340"/>
      <c r="AB18" s="340"/>
      <c r="AC18" s="340"/>
      <c r="AD18" s="340"/>
      <c r="AF18" s="335" t="s">
        <v>224</v>
      </c>
      <c r="AG18" s="88" t="s">
        <v>25</v>
      </c>
      <c r="AH18" s="88" t="s">
        <v>220</v>
      </c>
      <c r="AI18" s="78" t="str">
        <f>IF($P$19&lt;=1,"baixo","erro")</f>
        <v>baixo</v>
      </c>
      <c r="AJ18" s="340" t="str">
        <f>IF($AI$18="baixo","baixo",IF($AI$19="medio","medio",IF($AI$20="adequado","adequado",0)))</f>
        <v>baixo</v>
      </c>
      <c r="AK18" s="340" t="e">
        <f>IF(AJ18="Baixo",AL18,0)</f>
        <v>#VALUE!</v>
      </c>
      <c r="AL18" s="340" t="e">
        <f>(AM18*1000)/$E$18</f>
        <v>#VALUE!</v>
      </c>
      <c r="AM18" s="338">
        <v>6</v>
      </c>
      <c r="AO18" s="10"/>
      <c r="AP18" s="71">
        <v>13</v>
      </c>
      <c r="AQ18" s="334">
        <f>O90</f>
        <v>0</v>
      </c>
      <c r="AR18" s="334"/>
      <c r="AS18" s="18">
        <f>IFERROR((VLOOKUP(AQ18,$V$100:$AB$179,3,0)*0.01)*AV18,0)</f>
        <v>0</v>
      </c>
      <c r="AT18" s="18">
        <f>IFERROR((VLOOKUP(AQ18,$V$100:$AB$179,5,0)*0.01)*AV18,0)</f>
        <v>0</v>
      </c>
      <c r="AU18" s="18">
        <f>IFERROR((VLOOKUP(AQ18,$V$100:$AB$179,7,0)*0.01)*AV18,0)</f>
        <v>0</v>
      </c>
      <c r="AV18" s="18">
        <f>IFERROR($AS$17*Q90/(VLOOKUP(AQ18,$V$100:$AB$179,3,0)/100),0)</f>
        <v>0</v>
      </c>
      <c r="AW18" s="10"/>
      <c r="AX18" s="10"/>
      <c r="AY18" s="10"/>
      <c r="AZ18" s="10"/>
      <c r="BA18" s="10"/>
      <c r="BB18" s="10"/>
    </row>
    <row r="19" spans="2:54" ht="20.25" customHeight="1" x14ac:dyDescent="0.25">
      <c r="B19" s="90"/>
      <c r="C19" s="90"/>
      <c r="D19" s="90"/>
      <c r="E19" s="90"/>
      <c r="F19" s="90"/>
      <c r="G19" s="90"/>
      <c r="H19" s="90"/>
      <c r="I19" s="90"/>
      <c r="M19" s="351"/>
      <c r="N19" s="361"/>
      <c r="O19" s="78" t="s">
        <v>18</v>
      </c>
      <c r="P19" s="8"/>
      <c r="Q19" s="78" t="s">
        <v>12</v>
      </c>
      <c r="R19" s="26"/>
      <c r="S19" s="20"/>
      <c r="U19" s="343"/>
      <c r="V19" s="343"/>
      <c r="W19" s="343"/>
      <c r="X19" s="343"/>
      <c r="Y19" s="340"/>
      <c r="Z19" s="340"/>
      <c r="AA19" s="340"/>
      <c r="AB19" s="340"/>
      <c r="AC19" s="340"/>
      <c r="AD19" s="340"/>
      <c r="AF19" s="335"/>
      <c r="AG19" s="88" t="s">
        <v>26</v>
      </c>
      <c r="AH19" s="88" t="s">
        <v>216</v>
      </c>
      <c r="AI19" s="78" t="str">
        <f>IF(AND($P$19&gt;=1.01,$P$19&lt;=1.6),"medio","erro")</f>
        <v>erro</v>
      </c>
      <c r="AJ19" s="340"/>
      <c r="AK19" s="340"/>
      <c r="AL19" s="340"/>
      <c r="AM19" s="338"/>
      <c r="AO19" s="10"/>
      <c r="AP19" s="71">
        <v>14</v>
      </c>
      <c r="AQ19" s="334">
        <f>O91</f>
        <v>0</v>
      </c>
      <c r="AR19" s="334"/>
      <c r="AS19" s="18">
        <f>IFERROR((VLOOKUP(AQ19,$V$100:$AB$179,3,0)*0.01)*AV19,0)</f>
        <v>0</v>
      </c>
      <c r="AT19" s="18">
        <f>IFERROR((VLOOKUP(AQ19,$V$100:$AB$179,5,0)*0.01)*AV19,0)</f>
        <v>0</v>
      </c>
      <c r="AU19" s="18">
        <f>IFERROR((VLOOKUP(AQ19,$V$100:$AB$179,7,0)*0.01)*AV19,0)</f>
        <v>0</v>
      </c>
      <c r="AV19" s="18">
        <f>IFERROR($AS$17*Q91/(VLOOKUP(AQ19,$V$100:$AB$179,3,0)/100),0)</f>
        <v>0</v>
      </c>
      <c r="AW19" s="10"/>
      <c r="AX19" s="10"/>
      <c r="AY19" s="10"/>
      <c r="AZ19" s="10"/>
      <c r="BA19" s="10"/>
      <c r="BB19" s="10"/>
    </row>
    <row r="20" spans="2:54" ht="20.25" customHeight="1" x14ac:dyDescent="0.25">
      <c r="B20" s="322" t="s">
        <v>168</v>
      </c>
      <c r="C20" s="323"/>
      <c r="D20" s="323"/>
      <c r="E20" s="324"/>
      <c r="F20" s="95" t="s">
        <v>115</v>
      </c>
      <c r="G20" s="95" t="e">
        <f>P24</f>
        <v>#DIV/0!</v>
      </c>
      <c r="H20" s="95" t="s">
        <v>52</v>
      </c>
      <c r="I20" s="94">
        <f>P21</f>
        <v>0</v>
      </c>
      <c r="M20" s="351"/>
      <c r="N20" s="361"/>
      <c r="O20" s="78" t="s">
        <v>19</v>
      </c>
      <c r="P20" s="9"/>
      <c r="Q20" s="102" t="s">
        <v>23</v>
      </c>
      <c r="R20" s="26"/>
      <c r="U20" s="78" t="s">
        <v>29</v>
      </c>
      <c r="V20" s="340" t="s">
        <v>74</v>
      </c>
      <c r="W20" s="340"/>
      <c r="X20" s="340"/>
      <c r="Y20" s="340"/>
      <c r="Z20" s="340"/>
      <c r="AA20" s="340"/>
      <c r="AB20" s="340"/>
      <c r="AC20" s="340"/>
      <c r="AD20" s="340"/>
      <c r="AF20" s="335"/>
      <c r="AG20" s="88" t="s">
        <v>215</v>
      </c>
      <c r="AH20" s="88" t="s">
        <v>211</v>
      </c>
      <c r="AI20" s="78" t="str">
        <f>IF($P$19&gt;1.6,"adequado","erro")</f>
        <v>erro</v>
      </c>
      <c r="AJ20" s="340"/>
      <c r="AK20" s="340"/>
      <c r="AL20" s="340"/>
      <c r="AM20" s="338"/>
      <c r="AO20" s="10"/>
      <c r="AP20" s="71">
        <v>15</v>
      </c>
      <c r="AQ20" s="334">
        <f>O92</f>
        <v>0</v>
      </c>
      <c r="AR20" s="334"/>
      <c r="AS20" s="18">
        <f>IFERROR((VLOOKUP(AQ20,$V$100:$AB$179,3,0)*0.01)*AV20,0)</f>
        <v>0</v>
      </c>
      <c r="AT20" s="18">
        <f>IFERROR((VLOOKUP(AQ20,$V$100:$AB$179,5,0)*0.01)*AV20,0)</f>
        <v>0</v>
      </c>
      <c r="AU20" s="18">
        <f>IFERROR((VLOOKUP(AQ20,$V$100:$AB$179,7,0)*0.01)*AV20,0)</f>
        <v>0</v>
      </c>
      <c r="AV20" s="18">
        <f>IFERROR($AS$17*Q92/(VLOOKUP(AQ20,$V$100:$AB$179,3,0)/100),0)</f>
        <v>0</v>
      </c>
      <c r="AW20" s="10"/>
      <c r="AX20" s="10"/>
      <c r="AY20" s="10"/>
      <c r="AZ20" s="10"/>
      <c r="BA20" s="10"/>
      <c r="BB20" s="10"/>
    </row>
    <row r="21" spans="2:54" ht="20.25" customHeight="1" x14ac:dyDescent="0.25">
      <c r="B21" s="96" t="s">
        <v>1</v>
      </c>
      <c r="C21" s="97">
        <f>P5</f>
        <v>0</v>
      </c>
      <c r="D21" s="95" t="s">
        <v>116</v>
      </c>
      <c r="E21" s="95">
        <f>P9</f>
        <v>0</v>
      </c>
      <c r="F21" s="95" t="s">
        <v>117</v>
      </c>
      <c r="G21" s="95">
        <f>P23</f>
        <v>0</v>
      </c>
      <c r="H21" s="95" t="s">
        <v>85</v>
      </c>
      <c r="I21" s="95">
        <f>P18</f>
        <v>0</v>
      </c>
      <c r="M21" s="351"/>
      <c r="N21" s="361"/>
      <c r="O21" s="78" t="s">
        <v>52</v>
      </c>
      <c r="P21" s="8"/>
      <c r="Q21" s="102" t="s">
        <v>23</v>
      </c>
      <c r="R21" s="26"/>
      <c r="S21" s="20"/>
      <c r="U21" s="78" t="s">
        <v>23</v>
      </c>
      <c r="V21" s="78" t="s">
        <v>25</v>
      </c>
      <c r="W21" s="78" t="s">
        <v>26</v>
      </c>
      <c r="X21" s="78" t="s">
        <v>31</v>
      </c>
      <c r="Y21" s="78" t="s">
        <v>53</v>
      </c>
      <c r="Z21" s="340" t="s">
        <v>62</v>
      </c>
      <c r="AA21" s="340"/>
      <c r="AB21" s="340"/>
      <c r="AC21" s="78" t="s">
        <v>57</v>
      </c>
      <c r="AD21" s="78" t="s">
        <v>58</v>
      </c>
      <c r="AO21" s="10"/>
      <c r="AP21" s="10"/>
      <c r="AQ21" s="10"/>
      <c r="AR21" s="10"/>
      <c r="AS21" s="48">
        <f>AS17-(SUM(AS18:AS20))</f>
        <v>50</v>
      </c>
      <c r="AT21" s="48">
        <f t="shared" ref="AT21:AU21" si="2">AT17-(SUM(AT18:AT20))</f>
        <v>10</v>
      </c>
      <c r="AU21" s="48">
        <f t="shared" si="2"/>
        <v>10</v>
      </c>
      <c r="AV21" s="48"/>
      <c r="AW21" s="10"/>
      <c r="AX21" s="10"/>
      <c r="AY21" s="10"/>
      <c r="AZ21" s="10"/>
      <c r="BA21" s="10"/>
      <c r="BB21" s="10"/>
    </row>
    <row r="22" spans="2:54" ht="20.25" customHeight="1" x14ac:dyDescent="0.25">
      <c r="B22" s="96" t="s">
        <v>81</v>
      </c>
      <c r="C22" s="97">
        <f>P6</f>
        <v>0</v>
      </c>
      <c r="D22" s="95" t="s">
        <v>79</v>
      </c>
      <c r="E22" s="95">
        <f>P13</f>
        <v>0</v>
      </c>
      <c r="F22" s="95" t="s">
        <v>84</v>
      </c>
      <c r="G22" s="95">
        <f>P14</f>
        <v>0</v>
      </c>
      <c r="H22" s="95" t="s">
        <v>86</v>
      </c>
      <c r="I22" s="95">
        <f>P19</f>
        <v>0</v>
      </c>
      <c r="M22" s="351"/>
      <c r="N22" s="361"/>
      <c r="O22" s="78" t="s">
        <v>20</v>
      </c>
      <c r="P22" s="9"/>
      <c r="Q22" s="102" t="s">
        <v>23</v>
      </c>
      <c r="R22" s="26"/>
      <c r="U22" s="78" t="s">
        <v>50</v>
      </c>
      <c r="V22" s="78" t="s">
        <v>255</v>
      </c>
      <c r="W22" s="78" t="s">
        <v>257</v>
      </c>
      <c r="X22" s="78" t="s">
        <v>258</v>
      </c>
      <c r="Y22" s="78" t="str">
        <f>IF($P$21&lt;=20,"correto","erro")</f>
        <v>correto</v>
      </c>
      <c r="Z22" s="78" t="str">
        <f>IF($P$8&lt;=0.04,"baixo","erro")</f>
        <v>baixo</v>
      </c>
      <c r="AA22" s="78" t="str">
        <f>IF(AND($P$8&gt;=0.041,$P$8&lt;=0.1),"medio","erro")</f>
        <v>erro</v>
      </c>
      <c r="AB22" s="78" t="str">
        <f>IF($P$8&gt;0.101,"adequado","erro")</f>
        <v>erro</v>
      </c>
      <c r="AC22" s="78" t="str">
        <f>IF(Z22="baixo","baixo",IF(AA22="medio","medio",IF(AB22="adequado","adequado",0)))</f>
        <v>baixo</v>
      </c>
      <c r="AD22" s="366" t="str">
        <f>VLOOKUP("correto",Y22:AC23,5,0)</f>
        <v>baixo</v>
      </c>
      <c r="AO22" s="10"/>
      <c r="AP22" s="10"/>
      <c r="AQ22" s="10"/>
      <c r="AR22" s="10"/>
      <c r="AS22" s="10"/>
      <c r="AT22" s="10"/>
      <c r="AU22" s="10"/>
      <c r="AV22" s="10"/>
      <c r="AW22" s="10"/>
      <c r="AX22" s="10"/>
      <c r="AY22" s="10"/>
      <c r="AZ22" s="10"/>
      <c r="BA22" s="10"/>
      <c r="BB22" s="10"/>
    </row>
    <row r="23" spans="2:54" ht="20.25" customHeight="1" x14ac:dyDescent="0.25">
      <c r="B23" s="96" t="s">
        <v>82</v>
      </c>
      <c r="C23" s="97">
        <f>P7</f>
        <v>0</v>
      </c>
      <c r="D23" s="95" t="s">
        <v>118</v>
      </c>
      <c r="E23" s="95">
        <f>P11</f>
        <v>0</v>
      </c>
      <c r="F23" s="95" t="s">
        <v>87</v>
      </c>
      <c r="G23" s="95">
        <f>P16</f>
        <v>0</v>
      </c>
      <c r="H23" s="95" t="s">
        <v>83</v>
      </c>
      <c r="I23" s="95">
        <f>P15</f>
        <v>0</v>
      </c>
      <c r="J23" s="22"/>
      <c r="M23" s="351"/>
      <c r="N23" s="361"/>
      <c r="O23" s="78" t="s">
        <v>21</v>
      </c>
      <c r="P23" s="8"/>
      <c r="Q23" s="78" t="s">
        <v>10</v>
      </c>
      <c r="R23" s="26"/>
      <c r="U23" s="78" t="s">
        <v>61</v>
      </c>
      <c r="V23" s="78" t="s">
        <v>256</v>
      </c>
      <c r="W23" s="78" t="s">
        <v>259</v>
      </c>
      <c r="X23" s="78" t="s">
        <v>260</v>
      </c>
      <c r="Y23" s="78" t="str">
        <f>IF($P$21&gt;20,"correto","erro")</f>
        <v>erro</v>
      </c>
      <c r="Z23" s="78" t="str">
        <f>IF($P$8&lt;=0.06,"baixo","erro")</f>
        <v>baixo</v>
      </c>
      <c r="AA23" s="78" t="str">
        <f>IF(AND($P$8&gt;=0.061,$P$8&lt;=0.2),"medio","erro")</f>
        <v>erro</v>
      </c>
      <c r="AB23" s="78" t="str">
        <f>IF($P$8&gt;0.201,"adequado","erro")</f>
        <v>erro</v>
      </c>
      <c r="AC23" s="78" t="str">
        <f>IF(Z23="baixo","baixo",IF(AA23="medio","medio",IF(AB23="adequado","adequado",0)))</f>
        <v>baixo</v>
      </c>
      <c r="AD23" s="367"/>
      <c r="AO23" s="10"/>
      <c r="AP23" s="10"/>
      <c r="AQ23" s="10"/>
      <c r="AR23" s="10"/>
      <c r="AS23" s="10"/>
      <c r="AT23" s="10"/>
      <c r="AU23" s="10"/>
      <c r="AV23" s="10"/>
      <c r="AW23" s="10"/>
      <c r="AX23" s="10"/>
      <c r="AY23" s="10"/>
      <c r="AZ23" s="10"/>
      <c r="BA23" s="10"/>
      <c r="BB23" s="10"/>
    </row>
    <row r="24" spans="2:54" ht="20.25" customHeight="1" x14ac:dyDescent="0.25">
      <c r="B24" s="96" t="s">
        <v>80</v>
      </c>
      <c r="C24" s="97">
        <f>P8</f>
        <v>0</v>
      </c>
      <c r="D24" s="95" t="s">
        <v>119</v>
      </c>
      <c r="E24" s="95">
        <f>P10</f>
        <v>0</v>
      </c>
      <c r="F24" s="95" t="s">
        <v>89</v>
      </c>
      <c r="G24" s="95">
        <f>P17</f>
        <v>0</v>
      </c>
      <c r="H24" s="95" t="s">
        <v>120</v>
      </c>
      <c r="I24" s="95">
        <f>P25</f>
        <v>0</v>
      </c>
      <c r="J24" s="22"/>
      <c r="M24" s="351"/>
      <c r="N24" s="361"/>
      <c r="O24" s="78" t="s">
        <v>22</v>
      </c>
      <c r="P24" s="2" t="e">
        <f>100*(P6+P7+P8+P9)/P25</f>
        <v>#DIV/0!</v>
      </c>
      <c r="Q24" s="78" t="s">
        <v>23</v>
      </c>
      <c r="R24" s="26"/>
      <c r="AO24" s="10"/>
      <c r="AP24" s="10"/>
      <c r="AQ24" s="10"/>
      <c r="AR24" s="10"/>
      <c r="AS24" s="48" t="e">
        <f>AS26-(SUM(AS27:AS36))</f>
        <v>#VALUE!</v>
      </c>
      <c r="AT24" s="48" t="e">
        <f t="shared" ref="AT24:AV24" si="3">AT26-(SUM(AT27:AT36))</f>
        <v>#VALUE!</v>
      </c>
      <c r="AU24" s="48" t="e">
        <f t="shared" si="3"/>
        <v>#VALUE!</v>
      </c>
      <c r="AV24" s="48" t="e">
        <f t="shared" si="3"/>
        <v>#VALUE!</v>
      </c>
      <c r="AW24" s="10"/>
      <c r="AX24" s="10"/>
      <c r="AY24" s="10"/>
      <c r="AZ24" s="10"/>
      <c r="BA24" s="10"/>
      <c r="BB24" s="10"/>
    </row>
    <row r="25" spans="2:54" ht="20.25" customHeight="1" thickBot="1" x14ac:dyDescent="0.3">
      <c r="B25" s="90"/>
      <c r="C25" s="90"/>
      <c r="D25" s="90"/>
      <c r="E25" s="90"/>
      <c r="F25" s="90"/>
      <c r="G25" s="90"/>
      <c r="H25" s="90"/>
      <c r="I25" s="90"/>
      <c r="J25" s="22"/>
      <c r="M25" s="351"/>
      <c r="N25" s="361"/>
      <c r="O25" s="78" t="s">
        <v>24</v>
      </c>
      <c r="P25" s="1">
        <f>(P6+P7+P8+P9+P11)</f>
        <v>0</v>
      </c>
      <c r="Q25" s="78" t="s">
        <v>55</v>
      </c>
      <c r="R25" s="26"/>
      <c r="AO25" s="10"/>
      <c r="AP25" s="414" t="s">
        <v>239</v>
      </c>
      <c r="AQ25" s="414" t="s">
        <v>240</v>
      </c>
      <c r="AR25" s="414"/>
      <c r="AS25" s="83" t="s">
        <v>84</v>
      </c>
      <c r="AT25" s="83" t="s">
        <v>87</v>
      </c>
      <c r="AU25" s="83" t="s">
        <v>85</v>
      </c>
      <c r="AV25" s="83" t="s">
        <v>86</v>
      </c>
      <c r="AW25" s="10"/>
      <c r="AX25" s="10"/>
      <c r="AY25" s="10"/>
      <c r="AZ25" s="10"/>
      <c r="BA25" s="10"/>
      <c r="BB25" s="10"/>
    </row>
    <row r="26" spans="2:54" ht="20.25" customHeight="1" thickBot="1" x14ac:dyDescent="0.3">
      <c r="B26" s="358" t="s">
        <v>253</v>
      </c>
      <c r="C26" s="359"/>
      <c r="D26" s="359"/>
      <c r="E26" s="359"/>
      <c r="F26" s="359"/>
      <c r="G26" s="359"/>
      <c r="H26" s="359"/>
      <c r="I26" s="360"/>
      <c r="J26" s="22"/>
      <c r="M26" s="75"/>
      <c r="N26" s="76"/>
      <c r="O26" s="76"/>
      <c r="P26" s="76"/>
      <c r="Q26" s="76"/>
      <c r="R26" s="77"/>
      <c r="U26" s="344" t="s">
        <v>107</v>
      </c>
      <c r="V26" s="345"/>
      <c r="W26" s="345"/>
      <c r="X26" s="345"/>
      <c r="Y26" s="345"/>
      <c r="Z26" s="346"/>
      <c r="AO26" s="10"/>
      <c r="AP26" s="414"/>
      <c r="AQ26" s="414"/>
      <c r="AR26" s="414"/>
      <c r="AS26" s="4" t="e">
        <f>AK9</f>
        <v>#VALUE!</v>
      </c>
      <c r="AT26" s="4" t="e">
        <f>AK12</f>
        <v>#VALUE!</v>
      </c>
      <c r="AU26" s="4" t="e">
        <f>AK15</f>
        <v>#VALUE!</v>
      </c>
      <c r="AV26" s="4" t="e">
        <f>AK18</f>
        <v>#VALUE!</v>
      </c>
      <c r="AW26" s="10"/>
      <c r="AX26" s="10"/>
      <c r="AY26" s="10"/>
      <c r="AZ26" s="10"/>
      <c r="BA26" s="10"/>
      <c r="BB26" s="10"/>
    </row>
    <row r="27" spans="2:54" ht="20.25" customHeight="1" thickBot="1" x14ac:dyDescent="0.3">
      <c r="B27" s="350" t="str">
        <f>IF($O$47&gt;0,$O$47,"-")</f>
        <v>-</v>
      </c>
      <c r="C27" s="350"/>
      <c r="D27" s="98" t="str">
        <f>IF(J27&gt;0,J27,"-")</f>
        <v>-</v>
      </c>
      <c r="E27" s="310" t="str">
        <f>IF(J27&gt;0,"toneladas por hectare ou,","-")</f>
        <v>-</v>
      </c>
      <c r="F27" s="310"/>
      <c r="G27" s="310"/>
      <c r="H27" s="310"/>
      <c r="I27" s="310"/>
      <c r="J27" s="65">
        <f>V51</f>
        <v>0</v>
      </c>
      <c r="U27" s="78" t="s">
        <v>32</v>
      </c>
      <c r="V27" s="78" t="s">
        <v>64</v>
      </c>
      <c r="W27" s="78" t="s">
        <v>75</v>
      </c>
      <c r="X27" s="78" t="s">
        <v>71</v>
      </c>
      <c r="Y27" s="78" t="s">
        <v>36</v>
      </c>
      <c r="Z27" s="78" t="s">
        <v>35</v>
      </c>
      <c r="AO27" s="10"/>
      <c r="AP27" s="334" t="s">
        <v>242</v>
      </c>
      <c r="AQ27" s="334" t="str">
        <f>B29</f>
        <v>-</v>
      </c>
      <c r="AR27" s="334"/>
      <c r="AS27" s="18">
        <f t="shared" ref="AS27:AS36" si="4">IFERROR(VLOOKUP(AQ27,$V$100:$AL$179,11,0)*0.01*VLOOKUP(AQ27,$B$27:$J$47,9,0),0)</f>
        <v>0</v>
      </c>
      <c r="AT27" s="18">
        <f t="shared" ref="AT27:AT36" si="5">IFERROR(VLOOKUP(AQ27,$V$100:$AL$179,12,0)*0.01*VLOOKUP(AQ27,$B$27:$J$47,9,0),0)</f>
        <v>0</v>
      </c>
      <c r="AU27" s="18">
        <f t="shared" ref="AU27:AU36" si="6">IFERROR(VLOOKUP(AQ27,$V$100:$AL$179,13,0)*0.01*VLOOKUP(AQ27,$B$27:$J$47,9,0),0)</f>
        <v>0</v>
      </c>
      <c r="AV27" s="18">
        <f t="shared" ref="AV27:AV36" si="7">IFERROR(VLOOKUP(AQ27,$V$100:$AL$179,14,0)*0.01*VLOOKUP(AQ27,$B$27:$J$47,9,0),0)</f>
        <v>0</v>
      </c>
      <c r="AW27" s="10"/>
      <c r="AX27" s="10"/>
      <c r="AY27" s="10"/>
      <c r="AZ27" s="10"/>
      <c r="BA27" s="10"/>
      <c r="BB27" s="10"/>
    </row>
    <row r="28" spans="2:54" ht="20.25" customHeight="1" x14ac:dyDescent="0.25">
      <c r="B28" s="350"/>
      <c r="C28" s="350"/>
      <c r="D28" s="99" t="str">
        <f>IF(J28&gt;0,J28,"-")</f>
        <v>-</v>
      </c>
      <c r="E28" s="310" t="str">
        <f>IF(J28&gt;0,"gramas por metro quadrado","-")</f>
        <v>-</v>
      </c>
      <c r="F28" s="310"/>
      <c r="G28" s="310"/>
      <c r="H28" s="310"/>
      <c r="I28" s="310"/>
      <c r="J28" s="65">
        <f>J27/10</f>
        <v>0</v>
      </c>
      <c r="M28" s="72"/>
      <c r="N28" s="73"/>
      <c r="O28" s="73"/>
      <c r="P28" s="73"/>
      <c r="Q28" s="73"/>
      <c r="R28" s="74"/>
      <c r="U28" s="89">
        <v>0</v>
      </c>
      <c r="V28" s="89">
        <v>50</v>
      </c>
      <c r="W28" s="89" t="s">
        <v>68</v>
      </c>
      <c r="X28" s="89" t="str">
        <f>CONCATENATE(U28," - ",W28)</f>
        <v>0 - baixo</v>
      </c>
      <c r="Y28" s="89">
        <v>10</v>
      </c>
      <c r="Z28" s="89">
        <v>10</v>
      </c>
      <c r="AE28" s="78" t="s">
        <v>63</v>
      </c>
      <c r="AG28" s="78" t="s">
        <v>63</v>
      </c>
      <c r="AI28" s="30" t="s">
        <v>63</v>
      </c>
      <c r="AK28" s="30" t="s">
        <v>63</v>
      </c>
      <c r="AO28" s="10"/>
      <c r="AP28" s="334"/>
      <c r="AQ28" s="334" t="str">
        <f t="shared" ref="AQ28:AQ36" si="8">B41</f>
        <v>-</v>
      </c>
      <c r="AR28" s="334"/>
      <c r="AS28" s="18">
        <f t="shared" si="4"/>
        <v>0</v>
      </c>
      <c r="AT28" s="18">
        <f t="shared" si="5"/>
        <v>0</v>
      </c>
      <c r="AU28" s="18">
        <f t="shared" si="6"/>
        <v>0</v>
      </c>
      <c r="AV28" s="18">
        <f t="shared" si="7"/>
        <v>0</v>
      </c>
      <c r="AW28" s="10"/>
      <c r="AX28" s="10"/>
      <c r="AY28" s="10"/>
      <c r="AZ28" s="10"/>
      <c r="BA28" s="10"/>
      <c r="BB28" s="10"/>
    </row>
    <row r="29" spans="2:54" ht="20.25" customHeight="1" x14ac:dyDescent="0.25">
      <c r="B29" s="350" t="str">
        <f>IF($O$50&gt;0,$O$50,"-")</f>
        <v>-</v>
      </c>
      <c r="C29" s="350"/>
      <c r="D29" s="98" t="str">
        <f>IF(J29&gt;0,J29,"-")</f>
        <v>-</v>
      </c>
      <c r="E29" s="310" t="str">
        <f>IF(J29&gt;0,"toneladas por hectare ou,","-")</f>
        <v>-</v>
      </c>
      <c r="F29" s="310"/>
      <c r="G29" s="310"/>
      <c r="H29" s="310"/>
      <c r="I29" s="310"/>
      <c r="J29" s="65">
        <f>Z49</f>
        <v>0</v>
      </c>
      <c r="M29" s="351" t="s">
        <v>194</v>
      </c>
      <c r="N29" s="361"/>
      <c r="O29" s="347" t="s">
        <v>182</v>
      </c>
      <c r="P29" s="348"/>
      <c r="Q29" s="349"/>
      <c r="R29" s="26"/>
      <c r="U29" s="89">
        <v>0</v>
      </c>
      <c r="V29" s="89">
        <v>50</v>
      </c>
      <c r="W29" s="89" t="s">
        <v>69</v>
      </c>
      <c r="X29" s="89" t="str">
        <f t="shared" ref="X29:X39" si="9">CONCATENATE(U29," - ",W29)</f>
        <v>0 - medio</v>
      </c>
      <c r="Y29" s="89">
        <v>10</v>
      </c>
      <c r="Z29" s="89">
        <v>10</v>
      </c>
      <c r="AB29" s="413" t="s">
        <v>65</v>
      </c>
      <c r="AC29" s="413"/>
      <c r="AE29" s="78" t="s">
        <v>32</v>
      </c>
      <c r="AG29" s="78" t="s">
        <v>174</v>
      </c>
      <c r="AI29" s="30"/>
      <c r="AK29" s="78" t="s">
        <v>267</v>
      </c>
      <c r="AO29" s="10"/>
      <c r="AP29" s="334"/>
      <c r="AQ29" s="334" t="str">
        <f t="shared" si="8"/>
        <v>-</v>
      </c>
      <c r="AR29" s="334"/>
      <c r="AS29" s="18">
        <f t="shared" si="4"/>
        <v>0</v>
      </c>
      <c r="AT29" s="18">
        <f t="shared" si="5"/>
        <v>0</v>
      </c>
      <c r="AU29" s="18">
        <f t="shared" si="6"/>
        <v>0</v>
      </c>
      <c r="AV29" s="18">
        <f t="shared" si="7"/>
        <v>0</v>
      </c>
      <c r="AW29" s="10"/>
      <c r="AX29" s="10"/>
      <c r="AY29" s="10"/>
      <c r="AZ29" s="10"/>
      <c r="BA29" s="10"/>
      <c r="BB29" s="10"/>
    </row>
    <row r="30" spans="2:54" ht="20.25" customHeight="1" x14ac:dyDescent="0.25">
      <c r="B30" s="350"/>
      <c r="C30" s="350"/>
      <c r="D30" s="99" t="str">
        <f>IF(J30&gt;0,J30,"-")</f>
        <v>-</v>
      </c>
      <c r="E30" s="310" t="str">
        <f>IF(J30&gt;0,"gramas por metro quadrado","-")</f>
        <v>-</v>
      </c>
      <c r="F30" s="310"/>
      <c r="G30" s="310"/>
      <c r="H30" s="310"/>
      <c r="I30" s="310"/>
      <c r="J30" s="65">
        <f>J29/10</f>
        <v>0</v>
      </c>
      <c r="M30" s="351"/>
      <c r="N30" s="361"/>
      <c r="O30" s="8"/>
      <c r="P30" s="7" t="s">
        <v>186</v>
      </c>
      <c r="Q30" s="8"/>
      <c r="R30" s="26"/>
      <c r="U30" s="89">
        <v>0</v>
      </c>
      <c r="V30" s="89">
        <v>50</v>
      </c>
      <c r="W30" s="89" t="s">
        <v>70</v>
      </c>
      <c r="X30" s="89" t="str">
        <f t="shared" si="9"/>
        <v>0 - adequado</v>
      </c>
      <c r="Y30" s="89">
        <v>10</v>
      </c>
      <c r="Z30" s="89">
        <v>10</v>
      </c>
      <c r="AB30" s="84" t="s">
        <v>33</v>
      </c>
      <c r="AC30" s="84">
        <f>VLOOKUP($P$39,$U$28:$V$39,2,0)</f>
        <v>50</v>
      </c>
      <c r="AE30" s="78" t="s">
        <v>34</v>
      </c>
      <c r="AG30" s="78" t="s">
        <v>175</v>
      </c>
      <c r="AI30" s="30">
        <v>0</v>
      </c>
      <c r="AK30" s="78" t="s">
        <v>274</v>
      </c>
      <c r="AO30" s="10"/>
      <c r="AP30" s="334"/>
      <c r="AQ30" s="334" t="str">
        <f t="shared" si="8"/>
        <v>-</v>
      </c>
      <c r="AR30" s="334"/>
      <c r="AS30" s="18">
        <f t="shared" si="4"/>
        <v>0</v>
      </c>
      <c r="AT30" s="18">
        <f t="shared" si="5"/>
        <v>0</v>
      </c>
      <c r="AU30" s="18">
        <f t="shared" si="6"/>
        <v>0</v>
      </c>
      <c r="AV30" s="18">
        <f t="shared" si="7"/>
        <v>0</v>
      </c>
      <c r="AW30" s="10"/>
      <c r="AX30" s="10"/>
      <c r="AY30" s="10"/>
      <c r="AZ30" s="10"/>
      <c r="BA30" s="10"/>
      <c r="BB30" s="10"/>
    </row>
    <row r="31" spans="2:54" ht="20.25" customHeight="1" x14ac:dyDescent="0.25">
      <c r="B31" s="356" t="s">
        <v>292</v>
      </c>
      <c r="C31" s="356"/>
      <c r="D31" s="356"/>
      <c r="E31" s="356"/>
      <c r="F31" s="356"/>
      <c r="G31" s="356"/>
      <c r="H31" s="356"/>
      <c r="I31" s="356"/>
      <c r="J31" s="65"/>
      <c r="M31" s="351"/>
      <c r="N31" s="361"/>
      <c r="O31" s="347" t="s">
        <v>183</v>
      </c>
      <c r="P31" s="348"/>
      <c r="Q31" s="349"/>
      <c r="R31" s="26"/>
      <c r="U31" s="89">
        <v>1</v>
      </c>
      <c r="V31" s="89">
        <v>50</v>
      </c>
      <c r="W31" s="89" t="s">
        <v>68</v>
      </c>
      <c r="X31" s="89" t="str">
        <f t="shared" si="9"/>
        <v>1 - baixo</v>
      </c>
      <c r="Y31" s="89">
        <v>100</v>
      </c>
      <c r="Z31" s="89">
        <v>100</v>
      </c>
      <c r="AB31" s="84" t="s">
        <v>66</v>
      </c>
      <c r="AC31" s="84">
        <f>VLOOKUP(AB36,X28:Z39,2,0)</f>
        <v>10</v>
      </c>
      <c r="AE31" s="78">
        <v>0</v>
      </c>
      <c r="AG31" s="31" t="e">
        <f>10000/((($O$32/2)+($P$32/2))*$Q$32)</f>
        <v>#DIV/0!</v>
      </c>
      <c r="AI31" s="30">
        <v>0.1</v>
      </c>
      <c r="AK31" s="78" t="s">
        <v>148</v>
      </c>
      <c r="AO31" s="10"/>
      <c r="AP31" s="334"/>
      <c r="AQ31" s="334" t="str">
        <f t="shared" si="8"/>
        <v>-</v>
      </c>
      <c r="AR31" s="334"/>
      <c r="AS31" s="18">
        <f t="shared" si="4"/>
        <v>0</v>
      </c>
      <c r="AT31" s="18">
        <f t="shared" si="5"/>
        <v>0</v>
      </c>
      <c r="AU31" s="18">
        <f t="shared" si="6"/>
        <v>0</v>
      </c>
      <c r="AV31" s="18">
        <f t="shared" si="7"/>
        <v>0</v>
      </c>
      <c r="AW31" s="10"/>
      <c r="AX31" s="10"/>
      <c r="AY31" s="10"/>
      <c r="AZ31" s="10"/>
      <c r="BA31" s="10"/>
      <c r="BB31" s="10"/>
    </row>
    <row r="32" spans="2:54" ht="20.25" customHeight="1" x14ac:dyDescent="0.25">
      <c r="B32" s="356"/>
      <c r="C32" s="356"/>
      <c r="D32" s="356"/>
      <c r="E32" s="356"/>
      <c r="F32" s="356"/>
      <c r="G32" s="356"/>
      <c r="H32" s="356"/>
      <c r="I32" s="356"/>
      <c r="J32" s="65"/>
      <c r="M32" s="351"/>
      <c r="N32" s="361"/>
      <c r="O32" s="8"/>
      <c r="P32" s="8"/>
      <c r="Q32" s="8"/>
      <c r="R32" s="26"/>
      <c r="U32" s="89">
        <v>1</v>
      </c>
      <c r="V32" s="89">
        <v>50</v>
      </c>
      <c r="W32" s="89" t="s">
        <v>69</v>
      </c>
      <c r="X32" s="89" t="str">
        <f t="shared" si="9"/>
        <v>1 - medio</v>
      </c>
      <c r="Y32" s="89">
        <v>60</v>
      </c>
      <c r="Z32" s="89">
        <v>60</v>
      </c>
      <c r="AB32" s="84" t="s">
        <v>67</v>
      </c>
      <c r="AC32" s="84">
        <f>VLOOKUP($AB$39,X28:Z39,3,0)</f>
        <v>10</v>
      </c>
      <c r="AE32" s="78">
        <v>1</v>
      </c>
      <c r="AI32" s="30">
        <v>0.2</v>
      </c>
      <c r="AK32" s="78" t="s">
        <v>273</v>
      </c>
      <c r="AO32" s="10"/>
      <c r="AP32" s="334"/>
      <c r="AQ32" s="334" t="str">
        <f t="shared" si="8"/>
        <v>-</v>
      </c>
      <c r="AR32" s="334"/>
      <c r="AS32" s="18">
        <f t="shared" si="4"/>
        <v>0</v>
      </c>
      <c r="AT32" s="18">
        <f t="shared" si="5"/>
        <v>0</v>
      </c>
      <c r="AU32" s="18">
        <f t="shared" si="6"/>
        <v>0</v>
      </c>
      <c r="AV32" s="18">
        <f t="shared" si="7"/>
        <v>0</v>
      </c>
      <c r="AW32" s="10"/>
      <c r="AX32" s="10"/>
      <c r="AY32" s="10"/>
      <c r="AZ32" s="10"/>
      <c r="BA32" s="10"/>
      <c r="BB32" s="10"/>
    </row>
    <row r="33" spans="2:57" ht="20.25" customHeight="1" thickBot="1" x14ac:dyDescent="0.3">
      <c r="B33" s="357"/>
      <c r="C33" s="357"/>
      <c r="D33" s="357"/>
      <c r="E33" s="357"/>
      <c r="F33" s="357"/>
      <c r="G33" s="357"/>
      <c r="H33" s="357"/>
      <c r="I33" s="357"/>
      <c r="J33" s="65"/>
      <c r="M33" s="351"/>
      <c r="N33" s="361"/>
      <c r="O33" s="347" t="s">
        <v>263</v>
      </c>
      <c r="P33" s="348"/>
      <c r="Q33" s="349"/>
      <c r="R33" s="26"/>
      <c r="U33" s="89">
        <v>1</v>
      </c>
      <c r="V33" s="89">
        <v>50</v>
      </c>
      <c r="W33" s="89" t="s">
        <v>70</v>
      </c>
      <c r="X33" s="89" t="str">
        <f t="shared" si="9"/>
        <v>1 - adequado</v>
      </c>
      <c r="Y33" s="89">
        <v>0</v>
      </c>
      <c r="Z33" s="89">
        <v>30</v>
      </c>
      <c r="AE33" s="78">
        <v>2</v>
      </c>
      <c r="AI33" s="30">
        <v>0.3</v>
      </c>
      <c r="AK33" s="78" t="s">
        <v>273</v>
      </c>
      <c r="AO33" s="10"/>
      <c r="AP33" s="334"/>
      <c r="AQ33" s="334" t="str">
        <f t="shared" si="8"/>
        <v>-</v>
      </c>
      <c r="AR33" s="334"/>
      <c r="AS33" s="18">
        <f t="shared" si="4"/>
        <v>0</v>
      </c>
      <c r="AT33" s="18">
        <f t="shared" si="5"/>
        <v>0</v>
      </c>
      <c r="AU33" s="18">
        <f t="shared" si="6"/>
        <v>0</v>
      </c>
      <c r="AV33" s="18">
        <f t="shared" si="7"/>
        <v>0</v>
      </c>
      <c r="AW33" s="10"/>
      <c r="AX33" s="10"/>
      <c r="AY33" s="10"/>
      <c r="AZ33" s="10"/>
      <c r="BA33" s="10"/>
      <c r="BB33" s="10"/>
    </row>
    <row r="34" spans="2:57" ht="20.25" customHeight="1" thickBot="1" x14ac:dyDescent="0.3">
      <c r="B34" s="358" t="s">
        <v>169</v>
      </c>
      <c r="C34" s="359"/>
      <c r="D34" s="359"/>
      <c r="E34" s="359"/>
      <c r="F34" s="359"/>
      <c r="G34" s="359"/>
      <c r="H34" s="359"/>
      <c r="I34" s="360"/>
      <c r="J34" s="66">
        <f>IF(O68="Sim",P21*7.5,0)</f>
        <v>0</v>
      </c>
      <c r="M34" s="351"/>
      <c r="N34" s="361"/>
      <c r="O34" s="341"/>
      <c r="P34" s="341"/>
      <c r="Q34" s="341"/>
      <c r="R34" s="26"/>
      <c r="U34" s="89">
        <v>2</v>
      </c>
      <c r="V34" s="89">
        <v>140</v>
      </c>
      <c r="W34" s="89" t="s">
        <v>68</v>
      </c>
      <c r="X34" s="89" t="str">
        <f t="shared" si="9"/>
        <v>2 - baixo</v>
      </c>
      <c r="Y34" s="89">
        <v>150</v>
      </c>
      <c r="Z34" s="89">
        <v>150</v>
      </c>
      <c r="AE34" s="78">
        <v>3</v>
      </c>
      <c r="AI34" s="30">
        <v>0.4</v>
      </c>
      <c r="AK34" s="78" t="s">
        <v>273</v>
      </c>
      <c r="AO34" s="10"/>
      <c r="AP34" s="334"/>
      <c r="AQ34" s="334" t="str">
        <f t="shared" si="8"/>
        <v>-</v>
      </c>
      <c r="AR34" s="334"/>
      <c r="AS34" s="18">
        <f t="shared" si="4"/>
        <v>0</v>
      </c>
      <c r="AT34" s="18">
        <f t="shared" si="5"/>
        <v>0</v>
      </c>
      <c r="AU34" s="18">
        <f t="shared" si="6"/>
        <v>0</v>
      </c>
      <c r="AV34" s="18">
        <f t="shared" si="7"/>
        <v>0</v>
      </c>
      <c r="AW34" s="10"/>
      <c r="AX34" s="10"/>
      <c r="AY34" s="10"/>
      <c r="AZ34" s="10"/>
      <c r="BA34" s="10"/>
      <c r="BB34" s="10"/>
    </row>
    <row r="35" spans="2:57" ht="20.25" customHeight="1" thickBot="1" x14ac:dyDescent="0.3">
      <c r="B35" s="350" t="str">
        <f>IF($O$55&gt;0,$O$55,"-")</f>
        <v>-</v>
      </c>
      <c r="C35" s="350"/>
      <c r="D35" s="98" t="str">
        <f>IF(J34&gt;0,J34,"-")</f>
        <v>-</v>
      </c>
      <c r="E35" s="310" t="str">
        <f>IF(J34&gt;0,"quilos por hectare ou,","-")</f>
        <v>-</v>
      </c>
      <c r="F35" s="310"/>
      <c r="G35" s="310"/>
      <c r="H35" s="310"/>
      <c r="I35" s="310"/>
      <c r="J35" s="66">
        <f>J34/10</f>
        <v>0</v>
      </c>
      <c r="M35" s="75"/>
      <c r="N35" s="76"/>
      <c r="O35" s="76"/>
      <c r="P35" s="32" t="e">
        <f>10000/($O$30*$Q$30)</f>
        <v>#DIV/0!</v>
      </c>
      <c r="Q35" s="32" t="e">
        <f>10000/((($O$32/2)+($P$32/2))*$Q$32)</f>
        <v>#DIV/0!</v>
      </c>
      <c r="R35" s="77"/>
      <c r="U35" s="89">
        <v>2</v>
      </c>
      <c r="V35" s="89">
        <v>140</v>
      </c>
      <c r="W35" s="89" t="s">
        <v>69</v>
      </c>
      <c r="X35" s="89" t="str">
        <f t="shared" si="9"/>
        <v>2 - medio</v>
      </c>
      <c r="Y35" s="89">
        <v>100</v>
      </c>
      <c r="Z35" s="89">
        <v>100</v>
      </c>
      <c r="AB35" s="340" t="s">
        <v>72</v>
      </c>
      <c r="AC35" s="340"/>
      <c r="AE35" s="78"/>
      <c r="AI35" s="30">
        <v>0.5</v>
      </c>
      <c r="AK35" s="78" t="s">
        <v>269</v>
      </c>
      <c r="AO35" s="10"/>
      <c r="AP35" s="334"/>
      <c r="AQ35" s="334" t="str">
        <f t="shared" si="8"/>
        <v>-</v>
      </c>
      <c r="AR35" s="334"/>
      <c r="AS35" s="18">
        <f t="shared" si="4"/>
        <v>0</v>
      </c>
      <c r="AT35" s="18">
        <f t="shared" si="5"/>
        <v>0</v>
      </c>
      <c r="AU35" s="18">
        <f t="shared" si="6"/>
        <v>0</v>
      </c>
      <c r="AV35" s="18">
        <f t="shared" si="7"/>
        <v>0</v>
      </c>
      <c r="AW35" s="10"/>
      <c r="AX35" s="10"/>
      <c r="AY35" s="10"/>
      <c r="AZ35" s="10"/>
      <c r="BA35" s="10"/>
      <c r="BB35" s="10"/>
    </row>
    <row r="36" spans="2:57" ht="20.25" customHeight="1" thickBot="1" x14ac:dyDescent="0.3">
      <c r="B36" s="350"/>
      <c r="C36" s="350"/>
      <c r="D36" s="99" t="str">
        <f>IF(J35&gt;0,J35,"-")</f>
        <v>-</v>
      </c>
      <c r="E36" s="310" t="str">
        <f>IF(J35&gt;0,"gramas por metro quadrado","-")</f>
        <v>-</v>
      </c>
      <c r="F36" s="310"/>
      <c r="G36" s="310"/>
      <c r="H36" s="310"/>
      <c r="I36" s="310"/>
      <c r="J36" s="66"/>
      <c r="M36" s="396"/>
      <c r="N36" s="396"/>
      <c r="O36" s="396"/>
      <c r="P36" s="396"/>
      <c r="Q36" s="396"/>
      <c r="R36" s="396"/>
      <c r="U36" s="89">
        <v>2</v>
      </c>
      <c r="V36" s="89">
        <v>140</v>
      </c>
      <c r="W36" s="89" t="s">
        <v>70</v>
      </c>
      <c r="X36" s="89" t="str">
        <f t="shared" si="9"/>
        <v>2 - adequado</v>
      </c>
      <c r="Y36" s="89">
        <v>50</v>
      </c>
      <c r="Z36" s="89">
        <v>50</v>
      </c>
      <c r="AB36" s="340" t="str">
        <f>CONCATENATE($P$39," - ",$AD$8)</f>
        <v>0 - baixo</v>
      </c>
      <c r="AC36" s="340"/>
      <c r="AI36" s="30">
        <v>0.6</v>
      </c>
      <c r="AK36" s="78" t="s">
        <v>270</v>
      </c>
      <c r="AO36" s="10"/>
      <c r="AP36" s="334"/>
      <c r="AQ36" s="334" t="str">
        <f t="shared" si="8"/>
        <v>-</v>
      </c>
      <c r="AR36" s="334"/>
      <c r="AS36" s="18">
        <f t="shared" si="4"/>
        <v>0</v>
      </c>
      <c r="AT36" s="18">
        <f t="shared" si="5"/>
        <v>0</v>
      </c>
      <c r="AU36" s="18">
        <f t="shared" si="6"/>
        <v>0</v>
      </c>
      <c r="AV36" s="18">
        <f t="shared" si="7"/>
        <v>0</v>
      </c>
      <c r="AW36" s="10"/>
      <c r="AX36" s="10"/>
      <c r="AY36" s="10"/>
      <c r="AZ36" s="10"/>
      <c r="BA36" s="10"/>
      <c r="BB36" s="10"/>
    </row>
    <row r="37" spans="2:57" ht="20.25" customHeight="1" x14ac:dyDescent="0.25">
      <c r="B37" s="362" t="s">
        <v>293</v>
      </c>
      <c r="C37" s="362"/>
      <c r="D37" s="362"/>
      <c r="E37" s="362"/>
      <c r="F37" s="362"/>
      <c r="G37" s="362"/>
      <c r="H37" s="362"/>
      <c r="I37" s="362"/>
      <c r="J37" s="66"/>
      <c r="M37" s="72"/>
      <c r="N37" s="73"/>
      <c r="O37" s="73"/>
      <c r="P37" s="73"/>
      <c r="Q37" s="73"/>
      <c r="R37" s="74"/>
      <c r="U37" s="89">
        <v>3</v>
      </c>
      <c r="V37" s="89">
        <v>200</v>
      </c>
      <c r="W37" s="89" t="s">
        <v>68</v>
      </c>
      <c r="X37" s="89" t="str">
        <f t="shared" si="9"/>
        <v>3 - baixo</v>
      </c>
      <c r="Y37" s="89">
        <v>190</v>
      </c>
      <c r="Z37" s="89">
        <v>190</v>
      </c>
      <c r="AI37" s="30">
        <v>0.7</v>
      </c>
      <c r="AK37" s="78" t="s">
        <v>271</v>
      </c>
      <c r="AO37" s="49"/>
      <c r="AP37" s="49"/>
      <c r="AQ37" s="49"/>
      <c r="AR37" s="49"/>
      <c r="AS37" s="48" t="e">
        <f>IF(AS24&gt;0,AS24,0)</f>
        <v>#VALUE!</v>
      </c>
      <c r="AT37" s="48" t="e">
        <f>IF(AT24&gt;0,AT24,0)</f>
        <v>#VALUE!</v>
      </c>
      <c r="AU37" s="48" t="e">
        <f>IF(AU24&gt;0,AU24,0)</f>
        <v>#VALUE!</v>
      </c>
      <c r="AV37" s="48" t="e">
        <f>IF(AV24&gt;0,AV24,0)</f>
        <v>#VALUE!</v>
      </c>
      <c r="AW37" s="10"/>
      <c r="AX37" s="10"/>
      <c r="AY37" s="10"/>
      <c r="AZ37" s="10"/>
      <c r="BA37" s="10"/>
      <c r="BB37" s="10"/>
    </row>
    <row r="38" spans="2:57" ht="20.25" customHeight="1" thickBot="1" x14ac:dyDescent="0.3">
      <c r="B38" s="362"/>
      <c r="C38" s="362"/>
      <c r="D38" s="362"/>
      <c r="E38" s="362"/>
      <c r="F38" s="362"/>
      <c r="G38" s="362"/>
      <c r="H38" s="362"/>
      <c r="I38" s="362"/>
      <c r="J38" s="66"/>
      <c r="M38" s="351" t="s">
        <v>195</v>
      </c>
      <c r="N38" s="352"/>
      <c r="O38" s="342" t="s">
        <v>184</v>
      </c>
      <c r="P38" s="342"/>
      <c r="Q38" s="342"/>
      <c r="R38" s="26"/>
      <c r="U38" s="89">
        <v>3</v>
      </c>
      <c r="V38" s="89">
        <v>200</v>
      </c>
      <c r="W38" s="89" t="s">
        <v>69</v>
      </c>
      <c r="X38" s="89" t="str">
        <f t="shared" si="9"/>
        <v>3 - medio</v>
      </c>
      <c r="Y38" s="89">
        <v>130</v>
      </c>
      <c r="Z38" s="89">
        <v>130</v>
      </c>
      <c r="AB38" s="340" t="s">
        <v>73</v>
      </c>
      <c r="AC38" s="340"/>
      <c r="AI38" s="30">
        <v>0.8</v>
      </c>
      <c r="AK38" s="78"/>
      <c r="AO38" s="10"/>
      <c r="AP38" s="10"/>
      <c r="AQ38" s="10"/>
      <c r="AR38" s="10"/>
      <c r="AS38" s="10"/>
      <c r="AT38" s="10"/>
      <c r="AU38" s="10"/>
      <c r="AV38" s="10"/>
      <c r="AW38" s="10"/>
      <c r="AX38" s="10"/>
      <c r="AY38" s="10"/>
      <c r="AZ38" s="10"/>
      <c r="BA38" s="10"/>
      <c r="BB38" s="10"/>
    </row>
    <row r="39" spans="2:57" ht="20.25" customHeight="1" thickBot="1" x14ac:dyDescent="0.3">
      <c r="B39" s="325" t="s">
        <v>248</v>
      </c>
      <c r="C39" s="326"/>
      <c r="D39" s="326"/>
      <c r="E39" s="326"/>
      <c r="F39" s="326"/>
      <c r="G39" s="326"/>
      <c r="H39" s="326"/>
      <c r="I39" s="327"/>
      <c r="J39" s="66">
        <f>AV6</f>
        <v>0</v>
      </c>
      <c r="M39" s="351"/>
      <c r="N39" s="352"/>
      <c r="O39" s="78" t="s">
        <v>167</v>
      </c>
      <c r="P39" s="341">
        <v>0</v>
      </c>
      <c r="Q39" s="341"/>
      <c r="R39" s="26"/>
      <c r="U39" s="89">
        <v>3</v>
      </c>
      <c r="V39" s="89">
        <v>200</v>
      </c>
      <c r="W39" s="89" t="s">
        <v>70</v>
      </c>
      <c r="X39" s="89" t="str">
        <f t="shared" si="9"/>
        <v>3 - adequado</v>
      </c>
      <c r="Y39" s="89">
        <v>60</v>
      </c>
      <c r="Z39" s="89">
        <v>60</v>
      </c>
      <c r="AB39" s="340" t="str">
        <f>CONCATENATE($P$39," - ",$AD$22)</f>
        <v>0 - baixo</v>
      </c>
      <c r="AC39" s="340"/>
      <c r="AI39" s="30">
        <v>0.9</v>
      </c>
      <c r="AO39" s="10"/>
      <c r="AP39" s="334" t="s">
        <v>242</v>
      </c>
      <c r="AQ39" s="334"/>
      <c r="AR39" s="71" t="s">
        <v>84</v>
      </c>
      <c r="AS39" s="71" t="s">
        <v>87</v>
      </c>
      <c r="AT39" s="71" t="s">
        <v>85</v>
      </c>
      <c r="AU39" s="71" t="s">
        <v>86</v>
      </c>
      <c r="AV39" s="71" t="s">
        <v>207</v>
      </c>
      <c r="AW39" s="71" t="s">
        <v>84</v>
      </c>
      <c r="AX39" s="71" t="s">
        <v>87</v>
      </c>
      <c r="AY39" s="71" t="s">
        <v>85</v>
      </c>
      <c r="AZ39" s="71" t="s">
        <v>86</v>
      </c>
      <c r="BA39" s="10"/>
      <c r="BB39" s="10"/>
    </row>
    <row r="40" spans="2:57" ht="20.25" customHeight="1" x14ac:dyDescent="0.25">
      <c r="B40" s="372" t="str">
        <f>IF(O42&gt;0,O42,"-")</f>
        <v>-</v>
      </c>
      <c r="C40" s="372"/>
      <c r="D40" s="100" t="str">
        <f>IF(AQ59&gt;0,AQ59,"-")</f>
        <v>-</v>
      </c>
      <c r="E40" s="307" t="str">
        <f>IF(AQ59&gt;0,"quilos por cova ou planta","-")</f>
        <v>-</v>
      </c>
      <c r="F40" s="307"/>
      <c r="G40" s="307"/>
      <c r="H40" s="307"/>
      <c r="I40" s="307"/>
      <c r="J40" s="66">
        <f>AV7</f>
        <v>0</v>
      </c>
      <c r="M40" s="351"/>
      <c r="N40" s="352"/>
      <c r="O40" s="79"/>
      <c r="P40" s="79"/>
      <c r="Q40" s="79"/>
      <c r="R40" s="26"/>
      <c r="AI40" s="30">
        <v>1</v>
      </c>
      <c r="AO40" s="10"/>
      <c r="AP40" s="334">
        <f>O105</f>
        <v>0</v>
      </c>
      <c r="AQ40" s="334"/>
      <c r="AR40" s="18">
        <f>IFERROR($AS$37/((VLOOKUP(AP40,$V$100:$AO$179,11,0)*0.01)),0)</f>
        <v>0</v>
      </c>
      <c r="AS40" s="18">
        <f>IFERROR($AT$37/((VLOOKUP(AP40,$V$100:$AO$179,14,0)*0.01)),0)</f>
        <v>0</v>
      </c>
      <c r="AT40" s="18">
        <f>IFERROR($AU$37/((VLOOKUP(AP40,$V$100:$AO$179,12,0)*0.01)),0)</f>
        <v>0</v>
      </c>
      <c r="AU40" s="18">
        <f>IFERROR($AV$37/((VLOOKUP(AP40,$V$100:$AO$179,13,0)*0.01)),0)</f>
        <v>0</v>
      </c>
      <c r="AV40" s="18">
        <f>MAX(AR40:AU40)</f>
        <v>0</v>
      </c>
      <c r="AW40" s="18">
        <f>IFERROR(AV40*(VLOOKUP(AP40,$V$100:$AO$179,11,0)*0.01),0)</f>
        <v>0</v>
      </c>
      <c r="AX40" s="18">
        <f>IFERROR(AV40*(VLOOKUP(AP40,$V$100:$AO$179,14,0)*0.01),0)</f>
        <v>0</v>
      </c>
      <c r="AY40" s="18">
        <f>IFERROR(AV40*(VLOOKUP(AP40,$V$100:$AO$179,12,0)*0.01),0)</f>
        <v>0</v>
      </c>
      <c r="AZ40" s="18">
        <f>IFERROR(AV40*(VLOOKUP(AP40,$V$100:$AO$179,13,0)*0.01),0)</f>
        <v>0</v>
      </c>
      <c r="BA40" s="10"/>
      <c r="BB40" s="10"/>
    </row>
    <row r="41" spans="2:57" ht="20.25" customHeight="1" x14ac:dyDescent="0.25">
      <c r="B41" s="372" t="str">
        <f>IF(AQ6&gt;0,AQ6,"-")</f>
        <v>-</v>
      </c>
      <c r="C41" s="372"/>
      <c r="D41" s="100" t="str">
        <f t="shared" ref="D41:D49" si="10">IF(J39&gt;0,J39,"-")</f>
        <v>-</v>
      </c>
      <c r="E41" s="310" t="str">
        <f t="shared" ref="E41:E49" si="11">IF(J39&gt;0,"gramas por planta","-")</f>
        <v>-</v>
      </c>
      <c r="F41" s="310"/>
      <c r="G41" s="310"/>
      <c r="H41" s="310"/>
      <c r="I41" s="310"/>
      <c r="J41" s="66">
        <f>AV8</f>
        <v>0</v>
      </c>
      <c r="M41" s="351"/>
      <c r="N41" s="352"/>
      <c r="O41" s="342" t="s">
        <v>289</v>
      </c>
      <c r="P41" s="342"/>
      <c r="Q41" s="342"/>
      <c r="R41" s="26"/>
      <c r="AO41" s="10"/>
      <c r="AP41" s="334">
        <f>O106</f>
        <v>0</v>
      </c>
      <c r="AQ41" s="334"/>
      <c r="AR41" s="18">
        <f>IFERROR($AS$37/((VLOOKUP(AP41,$V$100:$AO$179,11,0)*0.01)),0)</f>
        <v>0</v>
      </c>
      <c r="AS41" s="18">
        <f>IFERROR($AT$37/((VLOOKUP(AP41,$V$100:$AO$179,14,0)*0.01)),0)</f>
        <v>0</v>
      </c>
      <c r="AT41" s="18">
        <f>IFERROR($AU$37/((VLOOKUP(AP41,$V$100:$AO$179,12,0)*0.01)),0)</f>
        <v>0</v>
      </c>
      <c r="AU41" s="18">
        <f>IFERROR($AV$37/((VLOOKUP(AP41,$V$100:$AO$179,13,0)*0.01)),0)</f>
        <v>0</v>
      </c>
      <c r="AV41" s="18">
        <f t="shared" ref="AV41:AV43" si="12">MAX(AR41:AU41)</f>
        <v>0</v>
      </c>
      <c r="AW41" s="18">
        <f>IFERROR(AV41*(VLOOKUP(AP41,$V$100:$AO$179,11,0)*0.01),0)</f>
        <v>0</v>
      </c>
      <c r="AX41" s="18">
        <f>IFERROR(AV41*(VLOOKUP(AP41,$V$100:$AO$179,14,0)*0.01),0)</f>
        <v>0</v>
      </c>
      <c r="AY41" s="18">
        <f>IFERROR(AV41*(VLOOKUP(AP41,$V$100:$AO$179,12,0)*0.01),0)</f>
        <v>0</v>
      </c>
      <c r="AZ41" s="18">
        <f>IFERROR(AV41*(VLOOKUP(AP41,$V$100:$AO$179,13,0)*0.01),0)</f>
        <v>0</v>
      </c>
      <c r="BA41" s="10"/>
      <c r="BB41" s="11"/>
      <c r="BC41" s="79"/>
      <c r="BD41" s="79"/>
      <c r="BE41" s="79"/>
    </row>
    <row r="42" spans="2:57" ht="20.25" customHeight="1" x14ac:dyDescent="0.25">
      <c r="B42" s="372" t="str">
        <f>IF(AQ7&gt;0,AQ7,"-")</f>
        <v>-</v>
      </c>
      <c r="C42" s="372"/>
      <c r="D42" s="100" t="str">
        <f t="shared" si="10"/>
        <v>-</v>
      </c>
      <c r="E42" s="310" t="str">
        <f t="shared" si="11"/>
        <v>-</v>
      </c>
      <c r="F42" s="310"/>
      <c r="G42" s="310"/>
      <c r="H42" s="310"/>
      <c r="I42" s="310"/>
      <c r="J42" s="66">
        <f>AV12</f>
        <v>0</v>
      </c>
      <c r="M42" s="351"/>
      <c r="N42" s="352"/>
      <c r="O42" s="353"/>
      <c r="P42" s="354"/>
      <c r="Q42" s="355"/>
      <c r="R42" s="26"/>
      <c r="AO42" s="10"/>
      <c r="AP42" s="334">
        <f>O107</f>
        <v>0</v>
      </c>
      <c r="AQ42" s="334"/>
      <c r="AR42" s="18">
        <f>IFERROR($AS$37/((VLOOKUP(AP42,$V$100:$AO$179,11,0)*0.01)),0)</f>
        <v>0</v>
      </c>
      <c r="AS42" s="18">
        <f>IFERROR($AT$37/((VLOOKUP(AP42,$V$100:$AO$179,14,0)*0.01)),0)</f>
        <v>0</v>
      </c>
      <c r="AT42" s="18">
        <f>IFERROR($AU$37/((VLOOKUP(AP42,$V$100:$AO$179,12,0)*0.01)),0)</f>
        <v>0</v>
      </c>
      <c r="AU42" s="18">
        <f>IFERROR($AV$37/((VLOOKUP(AP42,$V$100:$AO$179,13,0)*0.01)),0)</f>
        <v>0</v>
      </c>
      <c r="AV42" s="18">
        <f t="shared" si="12"/>
        <v>0</v>
      </c>
      <c r="AW42" s="18">
        <f>IFERROR(AV42*(VLOOKUP(AP42,$V$100:$AO$179,11,0)*0.01),0)</f>
        <v>0</v>
      </c>
      <c r="AX42" s="18">
        <f>IFERROR(AV42*(VLOOKUP(AP42,$V$100:$AO$179,14,0)*0.01),0)</f>
        <v>0</v>
      </c>
      <c r="AY42" s="18">
        <f>IFERROR(AV42*(VLOOKUP(AP42,$V$100:$AO$179,12,0)*0.01),0)</f>
        <v>0</v>
      </c>
      <c r="AZ42" s="18">
        <f>IFERROR(AV42*(VLOOKUP(AP42,$V$100:$AO$179,13,0)*0.01),0)</f>
        <v>0</v>
      </c>
      <c r="BA42" s="10"/>
      <c r="BB42" s="10"/>
    </row>
    <row r="43" spans="2:57" ht="20.25" customHeight="1" thickBot="1" x14ac:dyDescent="0.3">
      <c r="B43" s="372" t="str">
        <f>IF(AQ8&gt;0,AQ8,"-")</f>
        <v>-</v>
      </c>
      <c r="C43" s="372"/>
      <c r="D43" s="100" t="str">
        <f t="shared" si="10"/>
        <v>-</v>
      </c>
      <c r="E43" s="310" t="str">
        <f t="shared" si="11"/>
        <v>-</v>
      </c>
      <c r="F43" s="310"/>
      <c r="G43" s="310"/>
      <c r="H43" s="310"/>
      <c r="I43" s="310"/>
      <c r="J43" s="66">
        <f>AV13</f>
        <v>0</v>
      </c>
      <c r="M43" s="75"/>
      <c r="N43" s="76"/>
      <c r="O43" s="76"/>
      <c r="P43" s="76"/>
      <c r="Q43" s="76"/>
      <c r="R43" s="77"/>
      <c r="AO43" s="10"/>
      <c r="AP43" s="334">
        <f>O108</f>
        <v>0</v>
      </c>
      <c r="AQ43" s="334"/>
      <c r="AR43" s="18">
        <f>IFERROR($AS$37/((VLOOKUP(AP43,$V$100:$AO$179,11,0)*0.01)),0)</f>
        <v>0</v>
      </c>
      <c r="AS43" s="18">
        <f>IFERROR($AT$37/((VLOOKUP(AP43,$V$100:$AO$179,14,0)*0.01)),0)</f>
        <v>0</v>
      </c>
      <c r="AT43" s="18">
        <f>IFERROR($AU$37/((VLOOKUP(AP43,$V$100:$AO$179,12,0)*0.01)),0)</f>
        <v>0</v>
      </c>
      <c r="AU43" s="18">
        <f>IFERROR($AV$37/((VLOOKUP(AP43,$V$100:$AO$179,13,0)*0.01)),0)</f>
        <v>0</v>
      </c>
      <c r="AV43" s="18">
        <f t="shared" si="12"/>
        <v>0</v>
      </c>
      <c r="AW43" s="18">
        <f>IFERROR(AV43*(VLOOKUP(AP43,$V$100:$AO$179,11,0)*0.01),0)</f>
        <v>0</v>
      </c>
      <c r="AX43" s="18">
        <f>IFERROR(AV43*(VLOOKUP(AP43,$V$100:$AO$179,14,0)*0.01),0)</f>
        <v>0</v>
      </c>
      <c r="AY43" s="18">
        <f>IFERROR(AV43*(VLOOKUP(AP43,$V$100:$AO$179,12,0)*0.01),0)</f>
        <v>0</v>
      </c>
      <c r="AZ43" s="18">
        <f>IFERROR(AV43*(VLOOKUP(AP43,$V$100:$AO$179,13,0)*0.01),0)</f>
        <v>0</v>
      </c>
      <c r="BA43" s="10"/>
      <c r="BB43" s="10"/>
    </row>
    <row r="44" spans="2:57" ht="20.25" customHeight="1" thickBot="1" x14ac:dyDescent="0.3">
      <c r="B44" s="372" t="str">
        <f>IF(AQ12&gt;0,AQ12,"-")</f>
        <v>-</v>
      </c>
      <c r="C44" s="372"/>
      <c r="D44" s="100" t="str">
        <f t="shared" si="10"/>
        <v>-</v>
      </c>
      <c r="E44" s="310" t="str">
        <f t="shared" si="11"/>
        <v>-</v>
      </c>
      <c r="F44" s="310"/>
      <c r="G44" s="310"/>
      <c r="H44" s="310"/>
      <c r="I44" s="310"/>
      <c r="J44" s="66">
        <f>AV14</f>
        <v>0</v>
      </c>
      <c r="M44" s="397"/>
      <c r="N44" s="397"/>
      <c r="O44" s="397"/>
      <c r="P44" s="397"/>
      <c r="Q44" s="397"/>
      <c r="R44" s="397"/>
      <c r="AO44" s="10"/>
      <c r="AP44" s="334">
        <f>O109</f>
        <v>0</v>
      </c>
      <c r="AQ44" s="334"/>
      <c r="AR44" s="18">
        <f>IFERROR($AS$37/((VLOOKUP(AP44,$V$100:$AO$179,11,0)*0.01)),0)</f>
        <v>0</v>
      </c>
      <c r="AS44" s="18">
        <f>IFERROR($AT$37/((VLOOKUP(AP44,$V$100:$AO$179,14,0)*0.01)),0)</f>
        <v>0</v>
      </c>
      <c r="AT44" s="18">
        <f>IFERROR($AU$37/((VLOOKUP(AP44,$V$100:$AO$179,12,0)*0.01)),0)</f>
        <v>0</v>
      </c>
      <c r="AU44" s="18">
        <f>IFERROR($AV$37/((VLOOKUP(AP44,$V$100:$AO$179,13,0)*0.01)),0)</f>
        <v>0</v>
      </c>
      <c r="AV44" s="18">
        <f>MAX(AR44:AU44)</f>
        <v>0</v>
      </c>
      <c r="AW44" s="18">
        <f>IFERROR(AV44*(VLOOKUP(AP44,$V$100:$AO$179,11,0)*0.01),0)</f>
        <v>0</v>
      </c>
      <c r="AX44" s="18">
        <f>IFERROR(AV44*(VLOOKUP(AP44,$V$100:$AO$179,14,0)*0.01),0)</f>
        <v>0</v>
      </c>
      <c r="AY44" s="18">
        <f>IFERROR(AV44*(VLOOKUP(AP44,$V$100:$AO$179,12,0)*0.01),0)</f>
        <v>0</v>
      </c>
      <c r="AZ44" s="18">
        <f>IFERROR(AV44*(VLOOKUP(AP44,$V$100:$AO$179,13,0)*0.01),0)</f>
        <v>0</v>
      </c>
      <c r="BA44" s="10"/>
      <c r="BB44" s="10"/>
    </row>
    <row r="45" spans="2:57" ht="20.25" customHeight="1" x14ac:dyDescent="0.25">
      <c r="B45" s="372" t="str">
        <f>IF(AQ13&gt;0,AQ13,"-")</f>
        <v>-</v>
      </c>
      <c r="C45" s="372"/>
      <c r="D45" s="100" t="str">
        <f t="shared" si="10"/>
        <v>-</v>
      </c>
      <c r="E45" s="310" t="str">
        <f t="shared" si="11"/>
        <v>-</v>
      </c>
      <c r="F45" s="310"/>
      <c r="G45" s="310"/>
      <c r="H45" s="310"/>
      <c r="I45" s="310"/>
      <c r="J45" s="66">
        <f>AV18</f>
        <v>0</v>
      </c>
      <c r="M45" s="72"/>
      <c r="N45" s="73"/>
      <c r="O45" s="382" t="s">
        <v>286</v>
      </c>
      <c r="P45" s="383"/>
      <c r="Q45" s="384"/>
      <c r="R45" s="74"/>
      <c r="U45" s="344" t="s">
        <v>101</v>
      </c>
      <c r="V45" s="346"/>
      <c r="X45" s="340" t="s">
        <v>188</v>
      </c>
      <c r="Y45" s="340"/>
      <c r="Z45" s="340"/>
      <c r="AO45" s="10"/>
      <c r="AP45" s="10"/>
      <c r="AQ45" s="10"/>
      <c r="AR45" s="10"/>
      <c r="AS45" s="10"/>
      <c r="AT45" s="10"/>
      <c r="AU45" s="10"/>
      <c r="AV45" s="10"/>
      <c r="AW45" s="48" t="e">
        <f>AS37-(SUM(AW40:AW44))</f>
        <v>#VALUE!</v>
      </c>
      <c r="AX45" s="48" t="e">
        <f>AT37-(SUM(AX40:AX44))</f>
        <v>#VALUE!</v>
      </c>
      <c r="AY45" s="48" t="e">
        <f>AU37-(SUM(AY40:AY44))</f>
        <v>#VALUE!</v>
      </c>
      <c r="AZ45" s="48" t="e">
        <f>AV37-(SUM(AZ40:AZ44))</f>
        <v>#VALUE!</v>
      </c>
      <c r="BA45" s="10"/>
      <c r="BB45" s="10"/>
    </row>
    <row r="46" spans="2:57" ht="20.25" customHeight="1" x14ac:dyDescent="0.25">
      <c r="B46" s="372" t="str">
        <f>IF(AQ14&gt;0,AQ14,"-")</f>
        <v>-</v>
      </c>
      <c r="C46" s="372"/>
      <c r="D46" s="100" t="str">
        <f t="shared" si="10"/>
        <v>-</v>
      </c>
      <c r="E46" s="310" t="str">
        <f t="shared" si="11"/>
        <v>-</v>
      </c>
      <c r="F46" s="310"/>
      <c r="G46" s="310"/>
      <c r="H46" s="310"/>
      <c r="I46" s="310"/>
      <c r="J46" s="66">
        <f>AV19</f>
        <v>0</v>
      </c>
      <c r="M46" s="351" t="s">
        <v>196</v>
      </c>
      <c r="N46" s="352"/>
      <c r="O46" s="385"/>
      <c r="P46" s="386"/>
      <c r="Q46" s="387"/>
      <c r="R46" s="26"/>
      <c r="U46" s="89" t="s">
        <v>102</v>
      </c>
      <c r="V46" s="62">
        <v>70</v>
      </c>
      <c r="X46" s="412" t="s">
        <v>249</v>
      </c>
      <c r="Y46" s="412"/>
      <c r="Z46" s="2">
        <f>IFERROR(VLOOKUP(O50,$V$87:$AE$95,10,0),0)</f>
        <v>0</v>
      </c>
      <c r="AO46" s="10"/>
      <c r="AP46" s="10"/>
      <c r="AQ46" s="10"/>
      <c r="AR46" s="10"/>
      <c r="AS46" s="10"/>
      <c r="AT46" s="10"/>
      <c r="AU46" s="10"/>
      <c r="AV46" s="10"/>
      <c r="AW46" s="10"/>
      <c r="AX46" s="10"/>
      <c r="AY46" s="10"/>
      <c r="AZ46" s="10"/>
      <c r="BA46" s="10"/>
      <c r="BB46" s="10"/>
    </row>
    <row r="47" spans="2:57" ht="20.25" customHeight="1" x14ac:dyDescent="0.25">
      <c r="B47" s="372" t="str">
        <f>IF(AQ18&gt;0,AQ18,"-")</f>
        <v>-</v>
      </c>
      <c r="C47" s="372"/>
      <c r="D47" s="100" t="str">
        <f t="shared" si="10"/>
        <v>-</v>
      </c>
      <c r="E47" s="310" t="str">
        <f t="shared" si="11"/>
        <v>-</v>
      </c>
      <c r="F47" s="310"/>
      <c r="G47" s="310"/>
      <c r="H47" s="310"/>
      <c r="I47" s="310"/>
      <c r="J47" s="66">
        <f>AV20</f>
        <v>0</v>
      </c>
      <c r="M47" s="351"/>
      <c r="N47" s="352"/>
      <c r="O47" s="398"/>
      <c r="P47" s="399"/>
      <c r="Q47" s="101"/>
      <c r="R47" s="26"/>
      <c r="U47" s="78" t="s">
        <v>104</v>
      </c>
      <c r="V47" s="2">
        <f>IFERROR((((V46-P24)*P25)/V49),0)</f>
        <v>0</v>
      </c>
      <c r="X47" s="412" t="s">
        <v>189</v>
      </c>
      <c r="Y47" s="412"/>
      <c r="Z47" s="2">
        <f>IFERROR((($V$50/$Z$46)*$V$47),0)</f>
        <v>0</v>
      </c>
      <c r="AO47" s="10"/>
      <c r="BA47" s="10"/>
      <c r="BB47" s="10"/>
    </row>
    <row r="48" spans="2:57" ht="20.25" customHeight="1" x14ac:dyDescent="0.25">
      <c r="B48" s="372" t="str">
        <f>IF(AQ19&gt;0,AQ19,"-")</f>
        <v>-</v>
      </c>
      <c r="C48" s="372"/>
      <c r="D48" s="100" t="str">
        <f t="shared" si="10"/>
        <v>-</v>
      </c>
      <c r="E48" s="310" t="str">
        <f t="shared" si="11"/>
        <v>-</v>
      </c>
      <c r="F48" s="310"/>
      <c r="G48" s="310"/>
      <c r="H48" s="310"/>
      <c r="I48" s="310"/>
      <c r="J48" s="67"/>
      <c r="M48" s="351"/>
      <c r="N48" s="352"/>
      <c r="O48" s="388" t="s">
        <v>287</v>
      </c>
      <c r="P48" s="389"/>
      <c r="Q48" s="390"/>
      <c r="R48" s="26"/>
      <c r="U48" s="78" t="s">
        <v>187</v>
      </c>
      <c r="V48" s="2">
        <f>IF(V47&lt;0,(0),IF(V47&gt;=0,(V47)))</f>
        <v>0</v>
      </c>
      <c r="X48" s="412" t="s">
        <v>187</v>
      </c>
      <c r="Y48" s="412"/>
      <c r="Z48" s="2">
        <f>IFERROR(IF(Z47&lt;0,(0),IF(Z47&gt;=0,(Z47))),0)</f>
        <v>0</v>
      </c>
    </row>
    <row r="49" spans="2:50" ht="20.25" customHeight="1" x14ac:dyDescent="0.25">
      <c r="B49" s="372" t="str">
        <f>IF(AQ20&gt;0,AQ20,"-")</f>
        <v>-</v>
      </c>
      <c r="C49" s="372"/>
      <c r="D49" s="100" t="str">
        <f t="shared" si="10"/>
        <v>-</v>
      </c>
      <c r="E49" s="310" t="str">
        <f t="shared" si="11"/>
        <v>-</v>
      </c>
      <c r="F49" s="310"/>
      <c r="G49" s="310"/>
      <c r="H49" s="310"/>
      <c r="I49" s="310"/>
      <c r="M49" s="351"/>
      <c r="N49" s="352"/>
      <c r="O49" s="385"/>
      <c r="P49" s="386"/>
      <c r="Q49" s="387"/>
      <c r="R49" s="26"/>
      <c r="U49" s="78" t="s">
        <v>103</v>
      </c>
      <c r="V49" s="2">
        <f>IFERROR(VLOOKUP($O$47,$V$56:$AA$68,5,0),0)</f>
        <v>0</v>
      </c>
      <c r="X49" s="412" t="s">
        <v>254</v>
      </c>
      <c r="Y49" s="412"/>
      <c r="Z49" s="2">
        <f>Z48*$Q$50</f>
        <v>0</v>
      </c>
    </row>
    <row r="50" spans="2:50" ht="20.25" customHeight="1" x14ac:dyDescent="0.25">
      <c r="B50" s="391" t="s">
        <v>294</v>
      </c>
      <c r="C50" s="391"/>
      <c r="D50" s="391"/>
      <c r="E50" s="391"/>
      <c r="F50" s="391"/>
      <c r="G50" s="391"/>
      <c r="H50" s="391"/>
      <c r="I50" s="391"/>
      <c r="M50" s="351"/>
      <c r="N50" s="352"/>
      <c r="O50" s="353"/>
      <c r="P50" s="355"/>
      <c r="Q50" s="33"/>
      <c r="R50" s="26"/>
      <c r="U50" s="78" t="s">
        <v>178</v>
      </c>
      <c r="V50" s="2">
        <f>IFERROR(VLOOKUP($O$47,$V$56:$AA$68,6,0),0)</f>
        <v>0</v>
      </c>
      <c r="AT50" s="340" t="s">
        <v>261</v>
      </c>
      <c r="AU50" s="340"/>
      <c r="AV50" s="340"/>
      <c r="AW50" s="340"/>
    </row>
    <row r="51" spans="2:50" ht="20.25" customHeight="1" thickBot="1" x14ac:dyDescent="0.3">
      <c r="B51" s="391"/>
      <c r="C51" s="391"/>
      <c r="D51" s="391"/>
      <c r="E51" s="391"/>
      <c r="F51" s="391"/>
      <c r="G51" s="391"/>
      <c r="H51" s="391"/>
      <c r="I51" s="391"/>
      <c r="M51" s="75"/>
      <c r="N51" s="76"/>
      <c r="O51" s="76"/>
      <c r="P51" s="76"/>
      <c r="Q51" s="76"/>
      <c r="R51" s="77"/>
      <c r="U51" s="78" t="s">
        <v>254</v>
      </c>
      <c r="V51" s="2">
        <f>V48*$Q$47</f>
        <v>0</v>
      </c>
      <c r="AT51" s="89">
        <v>0</v>
      </c>
      <c r="AU51" s="64" t="s">
        <v>267</v>
      </c>
      <c r="AV51" s="64" t="str">
        <f>CONCATENATE(AT51," - ",AU51)</f>
        <v>0 - Composto de lixo (COL)</v>
      </c>
      <c r="AW51" s="89">
        <v>15</v>
      </c>
    </row>
    <row r="52" spans="2:50" ht="20.25" customHeight="1" thickBot="1" x14ac:dyDescent="0.3">
      <c r="B52" s="391"/>
      <c r="C52" s="391"/>
      <c r="D52" s="391"/>
      <c r="E52" s="391"/>
      <c r="F52" s="391"/>
      <c r="G52" s="391"/>
      <c r="H52" s="391"/>
      <c r="I52" s="391"/>
      <c r="AT52" s="89">
        <v>1</v>
      </c>
      <c r="AU52" s="64" t="s">
        <v>267</v>
      </c>
      <c r="AV52" s="64" t="str">
        <f t="shared" ref="AV52:AV95" si="13">CONCATENATE(AT52," - ",AU52)</f>
        <v>1 - Composto de lixo (COL)</v>
      </c>
      <c r="AW52" s="89">
        <v>5</v>
      </c>
    </row>
    <row r="53" spans="2:50" ht="20.25" customHeight="1" thickBot="1" x14ac:dyDescent="0.3">
      <c r="B53" s="392"/>
      <c r="C53" s="392"/>
      <c r="D53" s="392"/>
      <c r="E53" s="392"/>
      <c r="F53" s="392"/>
      <c r="G53" s="392"/>
      <c r="H53" s="392"/>
      <c r="I53" s="392"/>
      <c r="M53" s="72"/>
      <c r="N53" s="73"/>
      <c r="O53" s="73"/>
      <c r="P53" s="73"/>
      <c r="Q53" s="73"/>
      <c r="R53" s="74"/>
      <c r="AP53" s="38"/>
      <c r="AQ53" s="38"/>
      <c r="AS53" s="38"/>
      <c r="AT53" s="89">
        <v>2</v>
      </c>
      <c r="AU53" s="64" t="s">
        <v>267</v>
      </c>
      <c r="AV53" s="64" t="str">
        <f t="shared" si="13"/>
        <v>2 - Composto de lixo (COL)</v>
      </c>
      <c r="AW53" s="89">
        <v>10</v>
      </c>
    </row>
    <row r="54" spans="2:50" ht="20.25" customHeight="1" thickBot="1" x14ac:dyDescent="0.3">
      <c r="B54" s="358" t="s">
        <v>237</v>
      </c>
      <c r="C54" s="359"/>
      <c r="D54" s="359"/>
      <c r="E54" s="359"/>
      <c r="F54" s="359"/>
      <c r="G54" s="359"/>
      <c r="H54" s="359"/>
      <c r="I54" s="360"/>
      <c r="M54" s="351" t="s">
        <v>197</v>
      </c>
      <c r="N54" s="352"/>
      <c r="O54" s="347" t="s">
        <v>288</v>
      </c>
      <c r="P54" s="348"/>
      <c r="Q54" s="349"/>
      <c r="R54" s="26"/>
      <c r="U54" s="368" t="s">
        <v>125</v>
      </c>
      <c r="V54" s="368" t="s">
        <v>76</v>
      </c>
      <c r="W54" s="368" t="s">
        <v>77</v>
      </c>
      <c r="X54" s="450" t="s">
        <v>78</v>
      </c>
      <c r="Y54" s="451"/>
      <c r="Z54" s="451"/>
      <c r="AA54" s="452"/>
      <c r="AP54" s="365"/>
      <c r="AQ54" s="365"/>
      <c r="AS54" s="365"/>
      <c r="AT54" s="89">
        <v>3</v>
      </c>
      <c r="AU54" s="64" t="s">
        <v>267</v>
      </c>
      <c r="AV54" s="64" t="str">
        <f t="shared" si="13"/>
        <v>3 - Composto de lixo (COL)</v>
      </c>
      <c r="AW54" s="89">
        <v>15</v>
      </c>
    </row>
    <row r="55" spans="2:50" ht="20.25" customHeight="1" x14ac:dyDescent="0.25">
      <c r="B55" s="372" t="str">
        <f>IF(AP40&gt;0,AP40,"-")</f>
        <v>-</v>
      </c>
      <c r="C55" s="372"/>
      <c r="D55" s="100" t="str">
        <f>IF(AV40&gt;0,AV40,"-")</f>
        <v>-</v>
      </c>
      <c r="E55" s="310" t="str">
        <f>IF(AV40&gt;0,"gramas por planta","-")</f>
        <v>-</v>
      </c>
      <c r="F55" s="310"/>
      <c r="G55" s="310"/>
      <c r="H55" s="310"/>
      <c r="I55" s="310"/>
      <c r="M55" s="351"/>
      <c r="N55" s="352"/>
      <c r="O55" s="341"/>
      <c r="P55" s="341"/>
      <c r="Q55" s="341"/>
      <c r="R55" s="26"/>
      <c r="U55" s="368"/>
      <c r="V55" s="368"/>
      <c r="W55" s="368"/>
      <c r="X55" s="86" t="s">
        <v>98</v>
      </c>
      <c r="Y55" s="86" t="s">
        <v>99</v>
      </c>
      <c r="Z55" s="86" t="s">
        <v>100</v>
      </c>
      <c r="AA55" s="86" t="s">
        <v>180</v>
      </c>
      <c r="AP55" s="365"/>
      <c r="AQ55" s="365"/>
      <c r="AS55" s="365"/>
      <c r="AT55" s="89">
        <v>4</v>
      </c>
      <c r="AU55" s="64" t="s">
        <v>267</v>
      </c>
      <c r="AV55" s="64" t="str">
        <f t="shared" si="13"/>
        <v>4 - Composto de lixo (COL)</v>
      </c>
      <c r="AW55" s="89">
        <v>20</v>
      </c>
    </row>
    <row r="56" spans="2:50" ht="20.25" customHeight="1" x14ac:dyDescent="0.25">
      <c r="B56" s="372" t="str">
        <f>IF(AP41&gt;0,AP41,"-")</f>
        <v>-</v>
      </c>
      <c r="C56" s="372"/>
      <c r="D56" s="100" t="str">
        <f>IF(AV41&gt;0,AV41,"-")</f>
        <v>-</v>
      </c>
      <c r="E56" s="310" t="str">
        <f>IF(AV41&gt;0,"gramas por planta","-")</f>
        <v>-</v>
      </c>
      <c r="F56" s="310"/>
      <c r="G56" s="310"/>
      <c r="H56" s="310"/>
      <c r="I56" s="310"/>
      <c r="M56" s="351"/>
      <c r="N56" s="352"/>
      <c r="O56" s="373" t="s">
        <v>285</v>
      </c>
      <c r="P56" s="374"/>
      <c r="Q56" s="375"/>
      <c r="R56" s="26"/>
      <c r="U56" s="369" t="s">
        <v>170</v>
      </c>
      <c r="V56" s="35" t="str">
        <f>'Adubos e corretivos'!C87</f>
        <v>ARAGUAIA Calcítico</v>
      </c>
      <c r="W56" s="35">
        <f>'Adubos e corretivos'!D87</f>
        <v>0</v>
      </c>
      <c r="X56" s="35">
        <f>'Adubos e corretivos'!E87</f>
        <v>51.8</v>
      </c>
      <c r="Y56" s="35">
        <f>'Adubos e corretivos'!F87</f>
        <v>1</v>
      </c>
      <c r="Z56" s="35">
        <f>'Adubos e corretivos'!G87</f>
        <v>90.16</v>
      </c>
      <c r="AA56" s="35">
        <f>'Adubos e corretivos'!H87</f>
        <v>52.8</v>
      </c>
      <c r="AP56" s="79"/>
      <c r="AQ56" s="79"/>
      <c r="AS56" s="79"/>
      <c r="AT56" s="89">
        <v>0</v>
      </c>
      <c r="AU56" s="64" t="s">
        <v>274</v>
      </c>
      <c r="AV56" s="64" t="str">
        <f t="shared" si="13"/>
        <v>0 - Cama de frango corte</v>
      </c>
      <c r="AW56" s="89">
        <v>3</v>
      </c>
      <c r="AX56" s="79"/>
    </row>
    <row r="57" spans="2:50" ht="20.25" customHeight="1" x14ac:dyDescent="0.25">
      <c r="B57" s="372" t="str">
        <f>IF(AP42&gt;0,AP42,"-")</f>
        <v>-</v>
      </c>
      <c r="C57" s="372"/>
      <c r="D57" s="100" t="str">
        <f>IF(AV42&gt;0,AV42,"-")</f>
        <v>-</v>
      </c>
      <c r="E57" s="310" t="str">
        <f t="shared" ref="E57:E59" si="14">IF(AV42&gt;0,"gramas por planta","-")</f>
        <v>-</v>
      </c>
      <c r="F57" s="310"/>
      <c r="G57" s="310"/>
      <c r="H57" s="310"/>
      <c r="I57" s="310"/>
      <c r="M57" s="351"/>
      <c r="N57" s="352"/>
      <c r="O57" s="376"/>
      <c r="P57" s="377"/>
      <c r="Q57" s="378"/>
      <c r="R57" s="26"/>
      <c r="U57" s="369"/>
      <c r="V57" s="35" t="str">
        <f>'Adubos e corretivos'!C88</f>
        <v>ARAGUAIA Dolomítico</v>
      </c>
      <c r="W57" s="35">
        <f>'Adubos e corretivos'!D88</f>
        <v>0</v>
      </c>
      <c r="X57" s="35">
        <f>'Adubos e corretivos'!E88</f>
        <v>28.8</v>
      </c>
      <c r="Y57" s="35">
        <f>'Adubos e corretivos'!F88</f>
        <v>17.399999999999999</v>
      </c>
      <c r="Z57" s="35">
        <f>'Adubos e corretivos'!G88</f>
        <v>89.01</v>
      </c>
      <c r="AA57" s="35">
        <f>'Adubos e corretivos'!H88</f>
        <v>46.2</v>
      </c>
      <c r="AP57" s="79"/>
      <c r="AQ57" s="341" t="s">
        <v>275</v>
      </c>
      <c r="AR57" s="341"/>
      <c r="AS57" s="79"/>
      <c r="AT57" s="89">
        <v>1</v>
      </c>
      <c r="AU57" s="64" t="s">
        <v>274</v>
      </c>
      <c r="AV57" s="64" t="str">
        <f t="shared" si="13"/>
        <v>1 - Cama de frango corte</v>
      </c>
      <c r="AW57" s="89">
        <v>1</v>
      </c>
    </row>
    <row r="58" spans="2:50" ht="20.25" customHeight="1" x14ac:dyDescent="0.25">
      <c r="B58" s="372" t="str">
        <f>IF(AP43&gt;0,AP43,"-")</f>
        <v>-</v>
      </c>
      <c r="C58" s="372"/>
      <c r="D58" s="100" t="str">
        <f>IF(AV43&gt;0,AV43,"-")</f>
        <v>-</v>
      </c>
      <c r="E58" s="310" t="str">
        <f t="shared" si="14"/>
        <v>-</v>
      </c>
      <c r="F58" s="310"/>
      <c r="G58" s="310"/>
      <c r="H58" s="310"/>
      <c r="I58" s="310"/>
      <c r="M58" s="351"/>
      <c r="N58" s="352"/>
      <c r="O58" s="376"/>
      <c r="P58" s="377"/>
      <c r="Q58" s="378"/>
      <c r="R58" s="26"/>
      <c r="U58" s="369"/>
      <c r="V58" s="35" t="str">
        <f>'Adubos e corretivos'!C89</f>
        <v>BRICCAL Calcítico</v>
      </c>
      <c r="W58" s="35">
        <f>'Adubos e corretivos'!D89</f>
        <v>0</v>
      </c>
      <c r="X58" s="35">
        <f>'Adubos e corretivos'!E89</f>
        <v>41.78</v>
      </c>
      <c r="Y58" s="35">
        <f>'Adubos e corretivos'!F89</f>
        <v>2.2200000000000002</v>
      </c>
      <c r="Z58" s="35">
        <f>'Adubos e corretivos'!G89</f>
        <v>80.239999999999995</v>
      </c>
      <c r="AA58" s="35">
        <f>'Adubos e corretivos'!H89</f>
        <v>44</v>
      </c>
      <c r="AP58" s="79"/>
      <c r="AQ58" s="341" t="str">
        <f>CONCATENATE($P$39," - ",$O$42)</f>
        <v xml:space="preserve">0 - </v>
      </c>
      <c r="AR58" s="341"/>
      <c r="AS58" s="79"/>
      <c r="AT58" s="89">
        <v>2</v>
      </c>
      <c r="AU58" s="64" t="s">
        <v>274</v>
      </c>
      <c r="AV58" s="64" t="str">
        <f t="shared" si="13"/>
        <v>2 - Cama de frango corte</v>
      </c>
      <c r="AW58" s="89">
        <v>2</v>
      </c>
    </row>
    <row r="59" spans="2:50" ht="20.25" customHeight="1" x14ac:dyDescent="0.25">
      <c r="B59" s="372" t="str">
        <f>IF(AP44&gt;0,AP44,"-")</f>
        <v>-</v>
      </c>
      <c r="C59" s="372"/>
      <c r="D59" s="100" t="str">
        <f>IF(AV44&gt;0,AV44,"-")</f>
        <v>-</v>
      </c>
      <c r="E59" s="310" t="str">
        <f t="shared" si="14"/>
        <v>-</v>
      </c>
      <c r="F59" s="310"/>
      <c r="G59" s="310"/>
      <c r="H59" s="310"/>
      <c r="I59" s="310"/>
      <c r="M59" s="351"/>
      <c r="N59" s="352"/>
      <c r="O59" s="376"/>
      <c r="P59" s="377"/>
      <c r="Q59" s="378"/>
      <c r="R59" s="26"/>
      <c r="U59" s="369"/>
      <c r="V59" s="35" t="str">
        <f>'Adubos e corretivos'!C90</f>
        <v>BRITACAL Dolomítico</v>
      </c>
      <c r="W59" s="35">
        <f>'Adubos e corretivos'!D90</f>
        <v>0</v>
      </c>
      <c r="X59" s="35">
        <f>'Adubos e corretivos'!E90</f>
        <v>28</v>
      </c>
      <c r="Y59" s="35">
        <f>'Adubos e corretivos'!F90</f>
        <v>15</v>
      </c>
      <c r="Z59" s="35">
        <f>'Adubos e corretivos'!G90</f>
        <v>80</v>
      </c>
      <c r="AA59" s="35">
        <f>'Adubos e corretivos'!H90</f>
        <v>43</v>
      </c>
      <c r="AP59" s="79"/>
      <c r="AQ59" s="338">
        <f>IFERROR(VLOOKUP(AQ58,AV51:AW95,2,0),0)</f>
        <v>0</v>
      </c>
      <c r="AR59" s="338"/>
      <c r="AS59" s="79"/>
      <c r="AT59" s="89">
        <v>3</v>
      </c>
      <c r="AU59" s="64" t="s">
        <v>274</v>
      </c>
      <c r="AV59" s="64" t="str">
        <f t="shared" si="13"/>
        <v>3 - Cama de frango corte</v>
      </c>
      <c r="AW59" s="89">
        <v>3</v>
      </c>
    </row>
    <row r="60" spans="2:50" ht="20.25" customHeight="1" x14ac:dyDescent="0.25">
      <c r="B60" s="391" t="s">
        <v>295</v>
      </c>
      <c r="C60" s="391"/>
      <c r="D60" s="391"/>
      <c r="E60" s="391"/>
      <c r="F60" s="391"/>
      <c r="G60" s="391"/>
      <c r="H60" s="391"/>
      <c r="I60" s="391"/>
      <c r="M60" s="351"/>
      <c r="N60" s="352"/>
      <c r="O60" s="376"/>
      <c r="P60" s="377"/>
      <c r="Q60" s="378"/>
      <c r="R60" s="26"/>
      <c r="U60" s="369"/>
      <c r="V60" s="35" t="str">
        <f>'Adubos e corretivos'!C91</f>
        <v>BRITACAL Filler</v>
      </c>
      <c r="W60" s="35">
        <f>'Adubos e corretivos'!D91</f>
        <v>0</v>
      </c>
      <c r="X60" s="35">
        <f>'Adubos e corretivos'!E91</f>
        <v>32</v>
      </c>
      <c r="Y60" s="35">
        <f>'Adubos e corretivos'!F91</f>
        <v>15</v>
      </c>
      <c r="Z60" s="35">
        <f>'Adubos e corretivos'!G91</f>
        <v>94</v>
      </c>
      <c r="AA60" s="35">
        <f>'Adubos e corretivos'!H91</f>
        <v>47</v>
      </c>
      <c r="AP60" s="79"/>
      <c r="AQ60" s="79"/>
      <c r="AS60" s="79"/>
      <c r="AT60" s="89">
        <v>4</v>
      </c>
      <c r="AU60" s="64" t="s">
        <v>274</v>
      </c>
      <c r="AV60" s="64" t="str">
        <f t="shared" si="13"/>
        <v>4 - Cama de frango corte</v>
      </c>
      <c r="AW60" s="89">
        <v>4</v>
      </c>
    </row>
    <row r="61" spans="2:50" ht="20.25" customHeight="1" x14ac:dyDescent="0.25">
      <c r="B61" s="391"/>
      <c r="C61" s="391"/>
      <c r="D61" s="391"/>
      <c r="E61" s="391"/>
      <c r="F61" s="391"/>
      <c r="G61" s="391"/>
      <c r="H61" s="391"/>
      <c r="I61" s="391"/>
      <c r="M61" s="351"/>
      <c r="N61" s="352"/>
      <c r="O61" s="376"/>
      <c r="P61" s="377"/>
      <c r="Q61" s="378"/>
      <c r="R61" s="26"/>
      <c r="U61" s="369"/>
      <c r="V61" s="35" t="str">
        <f>'Adubos e corretivos'!C92</f>
        <v>BRITACAL Calcítico</v>
      </c>
      <c r="W61" s="35">
        <f>'Adubos e corretivos'!D92</f>
        <v>0</v>
      </c>
      <c r="X61" s="35">
        <f>'Adubos e corretivos'!E92</f>
        <v>51.6</v>
      </c>
      <c r="Y61" s="35">
        <f>'Adubos e corretivos'!F92</f>
        <v>2</v>
      </c>
      <c r="Z61" s="35">
        <f>'Adubos e corretivos'!G92</f>
        <v>82.1</v>
      </c>
      <c r="AA61" s="35">
        <f>'Adubos e corretivos'!H92</f>
        <v>53.6</v>
      </c>
      <c r="AP61" s="79"/>
      <c r="AQ61" s="79"/>
      <c r="AS61" s="79"/>
      <c r="AT61" s="89">
        <v>0</v>
      </c>
      <c r="AU61" s="64" t="s">
        <v>148</v>
      </c>
      <c r="AV61" s="64" t="str">
        <f t="shared" si="13"/>
        <v>0 - Esterco de galinha</v>
      </c>
      <c r="AW61" s="89">
        <v>3</v>
      </c>
    </row>
    <row r="62" spans="2:50" ht="20.25" customHeight="1" x14ac:dyDescent="0.25">
      <c r="B62" s="391"/>
      <c r="C62" s="391"/>
      <c r="D62" s="391"/>
      <c r="E62" s="391"/>
      <c r="F62" s="391"/>
      <c r="G62" s="391"/>
      <c r="H62" s="391"/>
      <c r="I62" s="391"/>
      <c r="M62" s="351"/>
      <c r="N62" s="352"/>
      <c r="O62" s="376"/>
      <c r="P62" s="377"/>
      <c r="Q62" s="378"/>
      <c r="R62" s="26"/>
      <c r="U62" s="369"/>
      <c r="V62" s="35" t="str">
        <f>'Adubos e corretivos'!C93</f>
        <v>PIRECAL Dolomítico</v>
      </c>
      <c r="W62" s="35">
        <f>'Adubos e corretivos'!D93</f>
        <v>0</v>
      </c>
      <c r="X62" s="35">
        <f>'Adubos e corretivos'!E93</f>
        <v>29.7</v>
      </c>
      <c r="Y62" s="35">
        <f>'Adubos e corretivos'!F93</f>
        <v>21.6</v>
      </c>
      <c r="Z62" s="35">
        <f>'Adubos e corretivos'!G93</f>
        <v>99.3</v>
      </c>
      <c r="AA62" s="35">
        <f>'Adubos e corretivos'!H93</f>
        <v>51.3</v>
      </c>
      <c r="AT62" s="89">
        <v>1</v>
      </c>
      <c r="AU62" s="64" t="s">
        <v>148</v>
      </c>
      <c r="AV62" s="64" t="str">
        <f t="shared" si="13"/>
        <v>1 - Esterco de galinha</v>
      </c>
      <c r="AW62" s="89">
        <v>1</v>
      </c>
    </row>
    <row r="63" spans="2:50" ht="20.25" customHeight="1" thickBot="1" x14ac:dyDescent="0.3">
      <c r="B63" s="392"/>
      <c r="C63" s="392"/>
      <c r="D63" s="392"/>
      <c r="E63" s="392"/>
      <c r="F63" s="392"/>
      <c r="G63" s="392"/>
      <c r="H63" s="392"/>
      <c r="I63" s="392"/>
      <c r="M63" s="351"/>
      <c r="N63" s="352"/>
      <c r="O63" s="376"/>
      <c r="P63" s="377"/>
      <c r="Q63" s="378"/>
      <c r="R63" s="26"/>
      <c r="U63" s="369"/>
      <c r="V63" s="35" t="str">
        <f>'Adubos e corretivos'!C94</f>
        <v>ITAU Calcario Filler</v>
      </c>
      <c r="W63" s="35">
        <f>'Adubos e corretivos'!D94</f>
        <v>0</v>
      </c>
      <c r="X63" s="35">
        <f>'Adubos e corretivos'!E94</f>
        <v>40</v>
      </c>
      <c r="Y63" s="35">
        <f>'Adubos e corretivos'!F94</f>
        <v>20</v>
      </c>
      <c r="Z63" s="35">
        <f>'Adubos e corretivos'!G94</f>
        <v>96</v>
      </c>
      <c r="AA63" s="35">
        <f>'Adubos e corretivos'!H94</f>
        <v>60</v>
      </c>
      <c r="AT63" s="89">
        <v>2</v>
      </c>
      <c r="AU63" s="64" t="s">
        <v>148</v>
      </c>
      <c r="AV63" s="64" t="str">
        <f t="shared" si="13"/>
        <v>2 - Esterco de galinha</v>
      </c>
      <c r="AW63" s="89">
        <v>2</v>
      </c>
    </row>
    <row r="64" spans="2:50" ht="20.25" customHeight="1" x14ac:dyDescent="0.25">
      <c r="B64" s="306"/>
      <c r="C64" s="307"/>
      <c r="D64" s="307"/>
      <c r="E64" s="308"/>
      <c r="F64" s="306"/>
      <c r="G64" s="307"/>
      <c r="H64" s="307"/>
      <c r="I64" s="308"/>
      <c r="M64" s="351"/>
      <c r="N64" s="352"/>
      <c r="O64" s="379"/>
      <c r="P64" s="380"/>
      <c r="Q64" s="381"/>
      <c r="R64" s="26"/>
      <c r="U64" s="369"/>
      <c r="V64" s="35" t="str">
        <f>'Adubos e corretivos'!C95</f>
        <v>PIRINEUS Dolomítico</v>
      </c>
      <c r="W64" s="35">
        <f>'Adubos e corretivos'!D95</f>
        <v>0</v>
      </c>
      <c r="X64" s="35">
        <f>'Adubos e corretivos'!E95</f>
        <v>34.299999999999997</v>
      </c>
      <c r="Y64" s="35">
        <f>'Adubos e corretivos'!F95</f>
        <v>16.2</v>
      </c>
      <c r="Z64" s="35">
        <f>'Adubos e corretivos'!G95</f>
        <v>95.25</v>
      </c>
      <c r="AA64" s="35">
        <f>'Adubos e corretivos'!H95</f>
        <v>50.5</v>
      </c>
      <c r="AT64" s="89">
        <v>3</v>
      </c>
      <c r="AU64" s="64" t="s">
        <v>148</v>
      </c>
      <c r="AV64" s="64" t="str">
        <f t="shared" si="13"/>
        <v>3 - Esterco de galinha</v>
      </c>
      <c r="AW64" s="89">
        <v>3</v>
      </c>
    </row>
    <row r="65" spans="2:49" ht="20.25" customHeight="1" x14ac:dyDescent="0.25">
      <c r="B65" s="309"/>
      <c r="C65" s="310"/>
      <c r="D65" s="310"/>
      <c r="E65" s="311"/>
      <c r="F65" s="309"/>
      <c r="G65" s="310"/>
      <c r="H65" s="310"/>
      <c r="I65" s="311"/>
      <c r="M65" s="351"/>
      <c r="N65" s="352"/>
      <c r="O65" s="79"/>
      <c r="P65" s="79"/>
      <c r="Q65" s="79"/>
      <c r="R65" s="26"/>
      <c r="U65" s="369"/>
      <c r="V65" s="35" t="str">
        <f>'Adubos e corretivos'!C96</f>
        <v>PIRINEUS Calcítico</v>
      </c>
      <c r="W65" s="35">
        <f>'Adubos e corretivos'!D96</f>
        <v>0</v>
      </c>
      <c r="X65" s="35">
        <f>'Adubos e corretivos'!E96</f>
        <v>53.2</v>
      </c>
      <c r="Y65" s="35">
        <f>'Adubos e corretivos'!F96</f>
        <v>1</v>
      </c>
      <c r="Z65" s="35">
        <f>'Adubos e corretivos'!G96</f>
        <v>90.52</v>
      </c>
      <c r="AA65" s="35">
        <f>'Adubos e corretivos'!H96</f>
        <v>54.2</v>
      </c>
      <c r="AT65" s="89">
        <v>4</v>
      </c>
      <c r="AU65" s="64" t="s">
        <v>148</v>
      </c>
      <c r="AV65" s="64" t="str">
        <f t="shared" si="13"/>
        <v>4 - Esterco de galinha</v>
      </c>
      <c r="AW65" s="89">
        <v>4</v>
      </c>
    </row>
    <row r="66" spans="2:49" ht="20.25" customHeight="1" thickBot="1" x14ac:dyDescent="0.3">
      <c r="B66" s="312"/>
      <c r="C66" s="313"/>
      <c r="D66" s="313"/>
      <c r="E66" s="314"/>
      <c r="F66" s="312"/>
      <c r="G66" s="313"/>
      <c r="H66" s="313"/>
      <c r="I66" s="314"/>
      <c r="M66" s="351"/>
      <c r="N66" s="352"/>
      <c r="O66" s="403" t="s">
        <v>185</v>
      </c>
      <c r="P66" s="404"/>
      <c r="Q66" s="405"/>
      <c r="R66" s="26"/>
      <c r="U66" s="369"/>
      <c r="V66" s="35" t="str">
        <f>'Adubos e corretivos'!C97</f>
        <v>AGROSILICIO</v>
      </c>
      <c r="W66" s="35">
        <f>'Adubos e corretivos'!D97</f>
        <v>0.56000000000000005</v>
      </c>
      <c r="X66" s="35">
        <f>'Adubos e corretivos'!E97</f>
        <v>36</v>
      </c>
      <c r="Y66" s="35">
        <f>'Adubos e corretivos'!F97</f>
        <v>9</v>
      </c>
      <c r="Z66" s="35">
        <f>'Adubos e corretivos'!G97</f>
        <v>64.599999999999994</v>
      </c>
      <c r="AA66" s="35">
        <f>'Adubos e corretivos'!H97</f>
        <v>45</v>
      </c>
      <c r="AT66" s="89">
        <v>0</v>
      </c>
      <c r="AU66" s="64" t="s">
        <v>273</v>
      </c>
      <c r="AV66" s="64" t="str">
        <f t="shared" si="13"/>
        <v>0 - Esterco Bovino curtido</v>
      </c>
      <c r="AW66" s="89">
        <v>15</v>
      </c>
    </row>
    <row r="67" spans="2:49" ht="20.25" customHeight="1" x14ac:dyDescent="0.25">
      <c r="B67" s="315" t="s">
        <v>121</v>
      </c>
      <c r="C67" s="315"/>
      <c r="D67" s="315"/>
      <c r="E67" s="316"/>
      <c r="F67" s="315" t="s">
        <v>122</v>
      </c>
      <c r="G67" s="315"/>
      <c r="H67" s="315"/>
      <c r="I67" s="315"/>
      <c r="M67" s="351"/>
      <c r="N67" s="352"/>
      <c r="O67" s="406"/>
      <c r="P67" s="407"/>
      <c r="Q67" s="408"/>
      <c r="R67" s="26"/>
      <c r="U67" s="369"/>
      <c r="V67" s="35" t="str">
        <f>'Adubos e corretivos'!C98</f>
        <v>GOIAS Filler Calcítico</v>
      </c>
      <c r="W67" s="35">
        <f>'Adubos e corretivos'!D98</f>
        <v>0</v>
      </c>
      <c r="X67" s="35">
        <f>'Adubos e corretivos'!E98</f>
        <v>48</v>
      </c>
      <c r="Y67" s="35">
        <f>'Adubos e corretivos'!F98</f>
        <v>5</v>
      </c>
      <c r="Z67" s="35">
        <f>'Adubos e corretivos'!G98</f>
        <v>90.62</v>
      </c>
      <c r="AA67" s="35">
        <f>'Adubos e corretivos'!H98</f>
        <v>53</v>
      </c>
      <c r="AT67" s="89">
        <v>1</v>
      </c>
      <c r="AU67" s="64" t="s">
        <v>273</v>
      </c>
      <c r="AV67" s="64" t="str">
        <f t="shared" si="13"/>
        <v>1 - Esterco Bovino curtido</v>
      </c>
      <c r="AW67" s="89">
        <v>5</v>
      </c>
    </row>
    <row r="68" spans="2:49" ht="20.25" customHeight="1" x14ac:dyDescent="0.25">
      <c r="M68" s="351"/>
      <c r="N68" s="352"/>
      <c r="O68" s="341" t="s">
        <v>175</v>
      </c>
      <c r="P68" s="341"/>
      <c r="Q68" s="341"/>
      <c r="R68" s="26"/>
      <c r="U68" s="369"/>
      <c r="V68" s="35" t="str">
        <f>'Adubos e corretivos'!C99</f>
        <v>GOIAS Filler Dolomítico</v>
      </c>
      <c r="W68" s="35">
        <f>'Adubos e corretivos'!D99</f>
        <v>0</v>
      </c>
      <c r="X68" s="35">
        <f>'Adubos e corretivos'!E99</f>
        <v>36</v>
      </c>
      <c r="Y68" s="35">
        <f>'Adubos e corretivos'!F99</f>
        <v>15</v>
      </c>
      <c r="Z68" s="35">
        <f>'Adubos e corretivos'!G99</f>
        <v>92.54</v>
      </c>
      <c r="AA68" s="35">
        <f>'Adubos e corretivos'!H99</f>
        <v>51</v>
      </c>
      <c r="AT68" s="89">
        <v>2</v>
      </c>
      <c r="AU68" s="64" t="s">
        <v>273</v>
      </c>
      <c r="AV68" s="64" t="str">
        <f t="shared" si="13"/>
        <v>2 - Esterco Bovino curtido</v>
      </c>
      <c r="AW68" s="89">
        <v>10</v>
      </c>
    </row>
    <row r="69" spans="2:49" ht="20.25" customHeight="1" thickBot="1" x14ac:dyDescent="0.3">
      <c r="M69" s="75"/>
      <c r="N69" s="76"/>
      <c r="O69" s="76"/>
      <c r="P69" s="76"/>
      <c r="Q69" s="76"/>
      <c r="R69" s="77"/>
      <c r="AT69" s="89">
        <v>3</v>
      </c>
      <c r="AU69" s="64" t="s">
        <v>273</v>
      </c>
      <c r="AV69" s="64" t="str">
        <f t="shared" si="13"/>
        <v>3 - Esterco Bovino curtido</v>
      </c>
      <c r="AW69" s="89">
        <v>15</v>
      </c>
    </row>
    <row r="70" spans="2:49" ht="20.25" customHeight="1" thickBot="1" x14ac:dyDescent="0.3">
      <c r="AT70" s="89">
        <v>4</v>
      </c>
      <c r="AU70" s="64" t="s">
        <v>273</v>
      </c>
      <c r="AV70" s="64" t="str">
        <f t="shared" si="13"/>
        <v>4 - Esterco Bovino curtido</v>
      </c>
      <c r="AW70" s="89">
        <v>20</v>
      </c>
    </row>
    <row r="71" spans="2:49" ht="20.25" customHeight="1" x14ac:dyDescent="0.25">
      <c r="M71" s="72"/>
      <c r="N71" s="73"/>
      <c r="O71" s="73"/>
      <c r="P71" s="73"/>
      <c r="Q71" s="73"/>
      <c r="R71" s="74"/>
      <c r="U71" s="371" t="s">
        <v>125</v>
      </c>
      <c r="V71" s="371" t="s">
        <v>76</v>
      </c>
      <c r="W71" s="371" t="s">
        <v>77</v>
      </c>
      <c r="X71" s="371" t="s">
        <v>265</v>
      </c>
      <c r="Y71" s="371"/>
      <c r="Z71" s="371"/>
      <c r="AT71" s="89">
        <v>0</v>
      </c>
      <c r="AU71" s="64" t="s">
        <v>273</v>
      </c>
      <c r="AV71" s="64" t="str">
        <f t="shared" si="13"/>
        <v>0 - Esterco Bovino curtido</v>
      </c>
      <c r="AW71" s="89">
        <v>15</v>
      </c>
    </row>
    <row r="72" spans="2:49" ht="20.25" customHeight="1" x14ac:dyDescent="0.25">
      <c r="M72" s="351" t="s">
        <v>198</v>
      </c>
      <c r="N72" s="352"/>
      <c r="O72" s="400" t="s">
        <v>233</v>
      </c>
      <c r="P72" s="401"/>
      <c r="Q72" s="402"/>
      <c r="R72" s="26"/>
      <c r="U72" s="371"/>
      <c r="V72" s="371"/>
      <c r="W72" s="371"/>
      <c r="X72" s="70" t="s">
        <v>81</v>
      </c>
      <c r="Y72" s="70" t="s">
        <v>82</v>
      </c>
      <c r="Z72" s="70" t="s">
        <v>83</v>
      </c>
      <c r="AT72" s="89">
        <v>1</v>
      </c>
      <c r="AU72" s="64" t="s">
        <v>266</v>
      </c>
      <c r="AV72" s="64" t="str">
        <f t="shared" si="13"/>
        <v>1 - Esterco de equino</v>
      </c>
      <c r="AW72" s="89">
        <v>5</v>
      </c>
    </row>
    <row r="73" spans="2:49" ht="20.25" customHeight="1" x14ac:dyDescent="0.25">
      <c r="M73" s="351"/>
      <c r="N73" s="352"/>
      <c r="O73" s="400" t="s">
        <v>232</v>
      </c>
      <c r="P73" s="401"/>
      <c r="Q73" s="402"/>
      <c r="R73" s="26"/>
      <c r="U73" s="411" t="s">
        <v>141</v>
      </c>
      <c r="V73" s="37" t="str">
        <f>'Adubos e corretivos'!C104</f>
        <v>Gesso Nutrion</v>
      </c>
      <c r="W73" s="37">
        <f>'Adubos e corretivos'!D104</f>
        <v>0</v>
      </c>
      <c r="X73" s="37">
        <f>'Adubos e corretivos'!E104</f>
        <v>15</v>
      </c>
      <c r="Y73" s="37">
        <f>'Adubos e corretivos'!F104</f>
        <v>0</v>
      </c>
      <c r="Z73" s="37">
        <f>'Adubos e corretivos'!G104</f>
        <v>20</v>
      </c>
      <c r="AT73" s="89">
        <v>2</v>
      </c>
      <c r="AU73" s="64" t="s">
        <v>266</v>
      </c>
      <c r="AV73" s="64" t="str">
        <f t="shared" si="13"/>
        <v>2 - Esterco de equino</v>
      </c>
      <c r="AW73" s="89">
        <v>10</v>
      </c>
    </row>
    <row r="74" spans="2:49" ht="20.25" customHeight="1" x14ac:dyDescent="0.25">
      <c r="M74" s="351"/>
      <c r="N74" s="352"/>
      <c r="O74" s="341"/>
      <c r="P74" s="341"/>
      <c r="Q74" s="33"/>
      <c r="R74" s="26"/>
      <c r="U74" s="411"/>
      <c r="V74" s="37" t="str">
        <f>'Adubos e corretivos'!C105</f>
        <v>Gesso Votorantim</v>
      </c>
      <c r="W74" s="37">
        <f>'Adubos e corretivos'!D105</f>
        <v>0</v>
      </c>
      <c r="X74" s="37">
        <f>'Adubos e corretivos'!E105</f>
        <v>16</v>
      </c>
      <c r="Y74" s="37">
        <f>'Adubos e corretivos'!F105</f>
        <v>0</v>
      </c>
      <c r="Z74" s="37">
        <f>'Adubos e corretivos'!G105</f>
        <v>20</v>
      </c>
      <c r="AT74" s="89">
        <v>3</v>
      </c>
      <c r="AU74" s="64" t="s">
        <v>266</v>
      </c>
      <c r="AV74" s="64" t="str">
        <f t="shared" si="13"/>
        <v>3 - Esterco de equino</v>
      </c>
      <c r="AW74" s="89">
        <v>15</v>
      </c>
    </row>
    <row r="75" spans="2:49" ht="20.25" customHeight="1" x14ac:dyDescent="0.25">
      <c r="M75" s="351"/>
      <c r="N75" s="352"/>
      <c r="O75" s="341"/>
      <c r="P75" s="341"/>
      <c r="Q75" s="33"/>
      <c r="R75" s="26"/>
      <c r="U75" s="411"/>
      <c r="V75" s="37" t="str">
        <f>'Adubos e corretivos'!C106</f>
        <v>Gesso Agronelli</v>
      </c>
      <c r="W75" s="37">
        <f>'Adubos e corretivos'!D106</f>
        <v>0.76</v>
      </c>
      <c r="X75" s="37">
        <f>'Adubos e corretivos'!E106</f>
        <v>14</v>
      </c>
      <c r="Y75" s="37">
        <f>'Adubos e corretivos'!F106</f>
        <v>0</v>
      </c>
      <c r="Z75" s="37">
        <f>'Adubos e corretivos'!G106</f>
        <v>17</v>
      </c>
      <c r="AT75" s="89">
        <v>4</v>
      </c>
      <c r="AU75" s="64" t="s">
        <v>266</v>
      </c>
      <c r="AV75" s="64" t="str">
        <f t="shared" si="13"/>
        <v>4 - Esterco de equino</v>
      </c>
      <c r="AW75" s="89">
        <v>20</v>
      </c>
    </row>
    <row r="76" spans="2:49" ht="20.25" customHeight="1" x14ac:dyDescent="0.25">
      <c r="M76" s="351"/>
      <c r="N76" s="352"/>
      <c r="O76" s="341"/>
      <c r="P76" s="341"/>
      <c r="Q76" s="33"/>
      <c r="R76" s="26"/>
      <c r="U76" s="411"/>
      <c r="V76" s="37" t="str">
        <f>'Adubos e corretivos'!C107</f>
        <v>Siligesso Agronelli</v>
      </c>
      <c r="W76" s="37">
        <f>'Adubos e corretivos'!D107</f>
        <v>0</v>
      </c>
      <c r="X76" s="37">
        <f>'Adubos e corretivos'!E107</f>
        <v>9.9</v>
      </c>
      <c r="Y76" s="37">
        <f>'Adubos e corretivos'!F107</f>
        <v>0</v>
      </c>
      <c r="Z76" s="37">
        <f>'Adubos e corretivos'!G107</f>
        <v>20.3</v>
      </c>
      <c r="AT76" s="89">
        <v>0</v>
      </c>
      <c r="AU76" s="64" t="s">
        <v>273</v>
      </c>
      <c r="AV76" s="64" t="str">
        <f t="shared" si="13"/>
        <v>0 - Esterco Bovino curtido</v>
      </c>
      <c r="AW76" s="89">
        <v>3</v>
      </c>
    </row>
    <row r="77" spans="2:49" ht="20.25" customHeight="1" x14ac:dyDescent="0.25">
      <c r="M77" s="351"/>
      <c r="N77" s="352"/>
      <c r="O77" s="79"/>
      <c r="P77" s="79"/>
      <c r="Q77" s="79"/>
      <c r="R77" s="26"/>
      <c r="U77" s="411"/>
      <c r="V77" s="37" t="str">
        <f>'Adubos e corretivos'!C108</f>
        <v>Nutrigesso Nutrion</v>
      </c>
      <c r="W77" s="37">
        <f>'Adubos e corretivos'!D108</f>
        <v>0</v>
      </c>
      <c r="X77" s="37">
        <f>'Adubos e corretivos'!E108</f>
        <v>13</v>
      </c>
      <c r="Y77" s="37">
        <f>'Adubos e corretivos'!F108</f>
        <v>0</v>
      </c>
      <c r="Z77" s="37">
        <f>'Adubos e corretivos'!G108</f>
        <v>16</v>
      </c>
      <c r="AT77" s="89">
        <v>1</v>
      </c>
      <c r="AU77" s="64" t="s">
        <v>268</v>
      </c>
      <c r="AV77" s="64" t="str">
        <f t="shared" si="13"/>
        <v>1 - Esterco de suínos</v>
      </c>
      <c r="AW77" s="89">
        <v>1</v>
      </c>
    </row>
    <row r="78" spans="2:49" ht="20.25" customHeight="1" x14ac:dyDescent="0.25">
      <c r="M78" s="351"/>
      <c r="N78" s="352"/>
      <c r="O78" s="352" t="s">
        <v>245</v>
      </c>
      <c r="P78" s="352"/>
      <c r="Q78" s="352"/>
      <c r="R78" s="26"/>
      <c r="U78" s="411"/>
      <c r="V78" s="37">
        <f>'Adubos e corretivos'!C109</f>
        <v>0</v>
      </c>
      <c r="W78" s="37">
        <f>'Adubos e corretivos'!D109</f>
        <v>0</v>
      </c>
      <c r="X78" s="37">
        <f>'Adubos e corretivos'!E109</f>
        <v>0</v>
      </c>
      <c r="Y78" s="37">
        <f>'Adubos e corretivos'!F109</f>
        <v>0</v>
      </c>
      <c r="Z78" s="37">
        <f>'Adubos e corretivos'!G109</f>
        <v>0</v>
      </c>
      <c r="AT78" s="89">
        <v>2</v>
      </c>
      <c r="AU78" s="64" t="s">
        <v>268</v>
      </c>
      <c r="AV78" s="64" t="str">
        <f t="shared" si="13"/>
        <v>2 - Esterco de suínos</v>
      </c>
      <c r="AW78" s="89">
        <v>2</v>
      </c>
    </row>
    <row r="79" spans="2:49" ht="20.25" customHeight="1" x14ac:dyDescent="0.25">
      <c r="M79" s="351"/>
      <c r="N79" s="352"/>
      <c r="O79" s="79"/>
      <c r="P79" s="79"/>
      <c r="Q79" s="79"/>
      <c r="R79" s="26"/>
      <c r="U79" s="411"/>
      <c r="V79" s="37">
        <f>'Adubos e corretivos'!C110</f>
        <v>0</v>
      </c>
      <c r="W79" s="37">
        <f>'Adubos e corretivos'!D110</f>
        <v>0</v>
      </c>
      <c r="X79" s="37">
        <f>'Adubos e corretivos'!E110</f>
        <v>0</v>
      </c>
      <c r="Y79" s="37">
        <f>'Adubos e corretivos'!F110</f>
        <v>0</v>
      </c>
      <c r="Z79" s="37">
        <f>'Adubos e corretivos'!G110</f>
        <v>0</v>
      </c>
      <c r="AT79" s="89">
        <v>3</v>
      </c>
      <c r="AU79" s="64" t="s">
        <v>268</v>
      </c>
      <c r="AV79" s="64" t="str">
        <f t="shared" si="13"/>
        <v>3 - Esterco de suínos</v>
      </c>
      <c r="AW79" s="89">
        <v>3</v>
      </c>
    </row>
    <row r="80" spans="2:49" ht="20.25" customHeight="1" x14ac:dyDescent="0.25">
      <c r="M80" s="351"/>
      <c r="N80" s="352"/>
      <c r="O80" s="400" t="s">
        <v>234</v>
      </c>
      <c r="P80" s="401"/>
      <c r="Q80" s="402"/>
      <c r="R80" s="26"/>
      <c r="U80" s="411"/>
      <c r="V80" s="37">
        <f>'Adubos e corretivos'!C111</f>
        <v>0</v>
      </c>
      <c r="W80" s="37">
        <f>'Adubos e corretivos'!D111</f>
        <v>0</v>
      </c>
      <c r="X80" s="37">
        <f>'Adubos e corretivos'!E111</f>
        <v>0</v>
      </c>
      <c r="Y80" s="37">
        <f>'Adubos e corretivos'!F111</f>
        <v>0</v>
      </c>
      <c r="Z80" s="37">
        <f>'Adubos e corretivos'!G111</f>
        <v>0</v>
      </c>
      <c r="AT80" s="89">
        <v>4</v>
      </c>
      <c r="AU80" s="64" t="s">
        <v>268</v>
      </c>
      <c r="AV80" s="64" t="str">
        <f t="shared" si="13"/>
        <v>4 - Esterco de suínos</v>
      </c>
      <c r="AW80" s="89">
        <v>4</v>
      </c>
    </row>
    <row r="81" spans="13:49" ht="20.25" customHeight="1" x14ac:dyDescent="0.25">
      <c r="M81" s="351"/>
      <c r="N81" s="352"/>
      <c r="O81" s="400" t="s">
        <v>232</v>
      </c>
      <c r="P81" s="401"/>
      <c r="Q81" s="402"/>
      <c r="R81" s="26"/>
      <c r="U81" s="411"/>
      <c r="V81" s="37">
        <f>'Adubos e corretivos'!C112</f>
        <v>0</v>
      </c>
      <c r="W81" s="37">
        <f>'Adubos e corretivos'!D112</f>
        <v>0</v>
      </c>
      <c r="X81" s="37">
        <f>'Adubos e corretivos'!E112</f>
        <v>0</v>
      </c>
      <c r="Y81" s="37">
        <f>'Adubos e corretivos'!F112</f>
        <v>0</v>
      </c>
      <c r="Z81" s="37">
        <f>'Adubos e corretivos'!G112</f>
        <v>0</v>
      </c>
      <c r="AT81" s="89">
        <v>0</v>
      </c>
      <c r="AU81" s="64" t="s">
        <v>269</v>
      </c>
      <c r="AV81" s="64" t="str">
        <f t="shared" si="13"/>
        <v>0 - Esterco de ovinos</v>
      </c>
      <c r="AW81" s="89">
        <v>3</v>
      </c>
    </row>
    <row r="82" spans="13:49" ht="20.25" customHeight="1" x14ac:dyDescent="0.25">
      <c r="M82" s="351"/>
      <c r="N82" s="352"/>
      <c r="O82" s="341"/>
      <c r="P82" s="341"/>
      <c r="Q82" s="33"/>
      <c r="R82" s="26"/>
      <c r="U82" s="411"/>
      <c r="V82" s="37">
        <f>'Adubos e corretivos'!C113</f>
        <v>0</v>
      </c>
      <c r="W82" s="37">
        <f>'Adubos e corretivos'!D113</f>
        <v>0</v>
      </c>
      <c r="X82" s="37">
        <f>'Adubos e corretivos'!E113</f>
        <v>0</v>
      </c>
      <c r="Y82" s="37">
        <f>'Adubos e corretivos'!F113</f>
        <v>0</v>
      </c>
      <c r="Z82" s="37">
        <f>'Adubos e corretivos'!G113</f>
        <v>0</v>
      </c>
      <c r="AT82" s="89">
        <v>1</v>
      </c>
      <c r="AU82" s="64" t="s">
        <v>269</v>
      </c>
      <c r="AV82" s="64" t="str">
        <f t="shared" si="13"/>
        <v>1 - Esterco de ovinos</v>
      </c>
      <c r="AW82" s="89">
        <v>1</v>
      </c>
    </row>
    <row r="83" spans="13:49" ht="20.25" customHeight="1" x14ac:dyDescent="0.25">
      <c r="M83" s="351"/>
      <c r="N83" s="352"/>
      <c r="O83" s="341"/>
      <c r="P83" s="341"/>
      <c r="Q83" s="33"/>
      <c r="R83" s="26"/>
      <c r="AT83" s="89">
        <v>2</v>
      </c>
      <c r="AU83" s="64" t="s">
        <v>269</v>
      </c>
      <c r="AV83" s="64" t="str">
        <f t="shared" si="13"/>
        <v>2 - Esterco de ovinos</v>
      </c>
      <c r="AW83" s="89">
        <v>2</v>
      </c>
    </row>
    <row r="84" spans="13:49" ht="20.25" customHeight="1" x14ac:dyDescent="0.25">
      <c r="M84" s="351"/>
      <c r="N84" s="352"/>
      <c r="O84" s="341"/>
      <c r="P84" s="341"/>
      <c r="Q84" s="33"/>
      <c r="R84" s="26"/>
      <c r="AT84" s="89">
        <v>3</v>
      </c>
      <c r="AU84" s="64" t="s">
        <v>269</v>
      </c>
      <c r="AV84" s="64" t="str">
        <f t="shared" si="13"/>
        <v>3 - Esterco de ovinos</v>
      </c>
      <c r="AW84" s="89">
        <v>3</v>
      </c>
    </row>
    <row r="85" spans="13:49" ht="20.25" customHeight="1" x14ac:dyDescent="0.25">
      <c r="M85" s="351"/>
      <c r="N85" s="352"/>
      <c r="O85" s="79"/>
      <c r="P85" s="79"/>
      <c r="Q85" s="79"/>
      <c r="R85" s="26"/>
      <c r="U85" s="370" t="s">
        <v>125</v>
      </c>
      <c r="V85" s="370" t="s">
        <v>76</v>
      </c>
      <c r="W85" s="370" t="s">
        <v>77</v>
      </c>
      <c r="X85" s="447" t="s">
        <v>78</v>
      </c>
      <c r="Y85" s="448"/>
      <c r="Z85" s="448"/>
      <c r="AA85" s="448"/>
      <c r="AB85" s="448"/>
      <c r="AC85" s="448"/>
      <c r="AD85" s="448"/>
      <c r="AE85" s="449"/>
      <c r="AT85" s="89">
        <v>4</v>
      </c>
      <c r="AU85" s="64" t="s">
        <v>269</v>
      </c>
      <c r="AV85" s="64" t="str">
        <f t="shared" si="13"/>
        <v>4 - Esterco de ovinos</v>
      </c>
      <c r="AW85" s="89">
        <v>4</v>
      </c>
    </row>
    <row r="86" spans="13:49" ht="20.25" customHeight="1" x14ac:dyDescent="0.25">
      <c r="M86" s="351"/>
      <c r="N86" s="352"/>
      <c r="O86" s="352" t="s">
        <v>245</v>
      </c>
      <c r="P86" s="352"/>
      <c r="Q86" s="352"/>
      <c r="R86" s="26"/>
      <c r="U86" s="370"/>
      <c r="V86" s="370"/>
      <c r="W86" s="370"/>
      <c r="X86" s="87" t="s">
        <v>106</v>
      </c>
      <c r="Y86" s="87" t="s">
        <v>79</v>
      </c>
      <c r="Z86" s="87" t="s">
        <v>66</v>
      </c>
      <c r="AA86" s="87" t="s">
        <v>80</v>
      </c>
      <c r="AB86" s="87" t="s">
        <v>67</v>
      </c>
      <c r="AC86" s="87" t="s">
        <v>176</v>
      </c>
      <c r="AD86" s="87" t="s">
        <v>177</v>
      </c>
      <c r="AE86" s="87" t="s">
        <v>190</v>
      </c>
      <c r="AT86" s="89">
        <v>0</v>
      </c>
      <c r="AU86" s="64" t="s">
        <v>270</v>
      </c>
      <c r="AV86" s="64" t="str">
        <f t="shared" si="13"/>
        <v>0 - Lodo de esgosto</v>
      </c>
      <c r="AW86" s="89">
        <v>3</v>
      </c>
    </row>
    <row r="87" spans="13:49" ht="20.25" customHeight="1" x14ac:dyDescent="0.25">
      <c r="M87" s="351"/>
      <c r="N87" s="352"/>
      <c r="O87" s="79"/>
      <c r="P87" s="79"/>
      <c r="Q87" s="79"/>
      <c r="R87" s="26"/>
      <c r="U87" s="410" t="s">
        <v>179</v>
      </c>
      <c r="V87" s="40" t="str">
        <f>V160</f>
        <v>Micaxisto (61) 3233-9368</v>
      </c>
      <c r="W87" s="40">
        <f>W160</f>
        <v>0.12</v>
      </c>
      <c r="X87" s="40">
        <f>AL160</f>
        <v>0</v>
      </c>
      <c r="Y87" s="40">
        <f t="shared" ref="Y87:AB95" si="15">Y160</f>
        <v>4.4999999999999998E-2</v>
      </c>
      <c r="Z87" s="40">
        <f t="shared" si="15"/>
        <v>0.1</v>
      </c>
      <c r="AA87" s="40">
        <f t="shared" si="15"/>
        <v>4.32</v>
      </c>
      <c r="AB87" s="40">
        <f t="shared" si="15"/>
        <v>5.2</v>
      </c>
      <c r="AC87" s="41">
        <f>AC160*0.602</f>
        <v>0.75776223776223772</v>
      </c>
      <c r="AD87" s="41">
        <f>AD160*0.715</f>
        <v>0.83139534883720934</v>
      </c>
      <c r="AE87" s="41">
        <f t="shared" ref="AE87:AE95" si="16">AB87+AC87+AD87</f>
        <v>6.7891575865994476</v>
      </c>
      <c r="AT87" s="89">
        <v>1</v>
      </c>
      <c r="AU87" s="64" t="s">
        <v>270</v>
      </c>
      <c r="AV87" s="64" t="str">
        <f t="shared" si="13"/>
        <v>1 - Lodo de esgosto</v>
      </c>
      <c r="AW87" s="89">
        <v>1</v>
      </c>
    </row>
    <row r="88" spans="13:49" ht="20.25" customHeight="1" x14ac:dyDescent="0.25">
      <c r="M88" s="351"/>
      <c r="N88" s="352"/>
      <c r="O88" s="400" t="s">
        <v>235</v>
      </c>
      <c r="P88" s="401"/>
      <c r="Q88" s="402"/>
      <c r="R88" s="26"/>
      <c r="U88" s="410"/>
      <c r="V88" s="40" t="str">
        <f t="shared" ref="V88:W95" si="17">V161</f>
        <v xml:space="preserve"> Remax Mistel (61) 99414-1975</v>
      </c>
      <c r="W88" s="40">
        <f t="shared" si="17"/>
        <v>0</v>
      </c>
      <c r="X88" s="40">
        <f t="shared" ref="X88:X95" si="18">AL161</f>
        <v>43.8</v>
      </c>
      <c r="Y88" s="40">
        <f t="shared" si="15"/>
        <v>4.4999999999999998E-2</v>
      </c>
      <c r="Z88" s="40">
        <f t="shared" si="15"/>
        <v>0.1</v>
      </c>
      <c r="AA88" s="40">
        <f t="shared" si="15"/>
        <v>2.1949999999999998</v>
      </c>
      <c r="AB88" s="40">
        <f t="shared" si="15"/>
        <v>2.6</v>
      </c>
      <c r="AC88" s="41">
        <f t="shared" ref="AC88:AC95" si="19">AC161*0.602</f>
        <v>11.282237762237763</v>
      </c>
      <c r="AD88" s="41">
        <f t="shared" ref="AD88:AD95" si="20">AD161*0.715</f>
        <v>8.8959302325581397</v>
      </c>
      <c r="AE88" s="41">
        <f t="shared" si="16"/>
        <v>22.778167994795901</v>
      </c>
      <c r="AT88" s="89">
        <v>2</v>
      </c>
      <c r="AU88" s="64" t="s">
        <v>270</v>
      </c>
      <c r="AV88" s="64" t="str">
        <f t="shared" si="13"/>
        <v>2 - Lodo de esgosto</v>
      </c>
      <c r="AW88" s="89">
        <v>2</v>
      </c>
    </row>
    <row r="89" spans="13:49" ht="20.25" customHeight="1" x14ac:dyDescent="0.25">
      <c r="M89" s="351"/>
      <c r="N89" s="352"/>
      <c r="O89" s="400" t="s">
        <v>232</v>
      </c>
      <c r="P89" s="401"/>
      <c r="Q89" s="402"/>
      <c r="R89" s="26"/>
      <c r="U89" s="410"/>
      <c r="V89" s="40" t="str">
        <f t="shared" si="17"/>
        <v xml:space="preserve">Pó de brita Fmx (62) 3924 8565 </v>
      </c>
      <c r="W89" s="40">
        <f t="shared" si="17"/>
        <v>0</v>
      </c>
      <c r="X89" s="40">
        <f t="shared" si="18"/>
        <v>0</v>
      </c>
      <c r="Y89" s="40">
        <f t="shared" si="15"/>
        <v>0</v>
      </c>
      <c r="Z89" s="40">
        <f t="shared" si="15"/>
        <v>0</v>
      </c>
      <c r="AA89" s="40">
        <f t="shared" si="15"/>
        <v>4.99</v>
      </c>
      <c r="AB89" s="40">
        <f t="shared" si="15"/>
        <v>6</v>
      </c>
      <c r="AC89" s="41">
        <f t="shared" si="19"/>
        <v>2.5258741258741257</v>
      </c>
      <c r="AD89" s="41">
        <f t="shared" si="20"/>
        <v>0.59385382059800662</v>
      </c>
      <c r="AE89" s="41">
        <f t="shared" si="16"/>
        <v>9.1197279464721319</v>
      </c>
      <c r="AT89" s="89">
        <v>3</v>
      </c>
      <c r="AU89" s="64" t="s">
        <v>270</v>
      </c>
      <c r="AV89" s="64" t="str">
        <f t="shared" si="13"/>
        <v>3 - Lodo de esgosto</v>
      </c>
      <c r="AW89" s="89">
        <v>3</v>
      </c>
    </row>
    <row r="90" spans="13:49" ht="20.25" customHeight="1" x14ac:dyDescent="0.25">
      <c r="M90" s="351"/>
      <c r="N90" s="352"/>
      <c r="O90" s="341"/>
      <c r="P90" s="341"/>
      <c r="Q90" s="33"/>
      <c r="R90" s="26"/>
      <c r="U90" s="410"/>
      <c r="V90" s="40" t="str">
        <f t="shared" si="17"/>
        <v xml:space="preserve">Biotita Xisto (61) 3233-9368 </v>
      </c>
      <c r="W90" s="40">
        <f t="shared" si="17"/>
        <v>0</v>
      </c>
      <c r="X90" s="40">
        <f t="shared" si="18"/>
        <v>57.8</v>
      </c>
      <c r="Y90" s="40">
        <f t="shared" si="15"/>
        <v>8.7999999999999995E-2</v>
      </c>
      <c r="Z90" s="40">
        <f t="shared" si="15"/>
        <v>0.2</v>
      </c>
      <c r="AA90" s="40">
        <f t="shared" si="15"/>
        <v>2.83</v>
      </c>
      <c r="AB90" s="40">
        <f t="shared" si="15"/>
        <v>3.4</v>
      </c>
      <c r="AC90" s="41">
        <f t="shared" si="19"/>
        <v>1.5155244755244754</v>
      </c>
      <c r="AD90" s="41">
        <f t="shared" si="20"/>
        <v>5.4634551495016606</v>
      </c>
      <c r="AE90" s="41">
        <f t="shared" si="16"/>
        <v>10.378979625026137</v>
      </c>
      <c r="AT90" s="89">
        <v>4</v>
      </c>
      <c r="AU90" s="64" t="s">
        <v>270</v>
      </c>
      <c r="AV90" s="64" t="str">
        <f t="shared" si="13"/>
        <v>4 - Lodo de esgosto</v>
      </c>
      <c r="AW90" s="89">
        <v>4</v>
      </c>
    </row>
    <row r="91" spans="13:49" ht="20.25" customHeight="1" x14ac:dyDescent="0.25">
      <c r="M91" s="351"/>
      <c r="N91" s="352"/>
      <c r="O91" s="341"/>
      <c r="P91" s="341"/>
      <c r="Q91" s="33"/>
      <c r="R91" s="26"/>
      <c r="U91" s="410"/>
      <c r="V91" s="40" t="str">
        <f t="shared" si="17"/>
        <v>Kamafugito</v>
      </c>
      <c r="W91" s="40">
        <f t="shared" si="17"/>
        <v>0</v>
      </c>
      <c r="X91" s="40">
        <f t="shared" si="18"/>
        <v>0</v>
      </c>
      <c r="Y91" s="40">
        <f t="shared" si="15"/>
        <v>1.5069999999999999</v>
      </c>
      <c r="Z91" s="40">
        <f t="shared" si="15"/>
        <v>3.5</v>
      </c>
      <c r="AA91" s="40">
        <f t="shared" si="15"/>
        <v>3.3250000000000002</v>
      </c>
      <c r="AB91" s="40">
        <f t="shared" si="15"/>
        <v>4</v>
      </c>
      <c r="AC91" s="41">
        <f t="shared" si="19"/>
        <v>1.7217199999999999</v>
      </c>
      <c r="AD91" s="41">
        <f t="shared" si="20"/>
        <v>0</v>
      </c>
      <c r="AE91" s="41">
        <f t="shared" si="16"/>
        <v>5.7217199999999995</v>
      </c>
      <c r="AT91" s="89">
        <v>0</v>
      </c>
      <c r="AU91" s="64" t="s">
        <v>271</v>
      </c>
      <c r="AV91" s="64" t="str">
        <f t="shared" si="13"/>
        <v>0 - Compostos orgânicos</v>
      </c>
      <c r="AW91" s="89">
        <v>3</v>
      </c>
    </row>
    <row r="92" spans="13:49" ht="20.25" customHeight="1" x14ac:dyDescent="0.25">
      <c r="M92" s="351"/>
      <c r="N92" s="352"/>
      <c r="O92" s="341"/>
      <c r="P92" s="341"/>
      <c r="Q92" s="33"/>
      <c r="R92" s="26"/>
      <c r="U92" s="410"/>
      <c r="V92" s="40">
        <f t="shared" si="17"/>
        <v>0</v>
      </c>
      <c r="W92" s="40">
        <f t="shared" si="17"/>
        <v>0</v>
      </c>
      <c r="X92" s="40">
        <f t="shared" si="18"/>
        <v>0</v>
      </c>
      <c r="Y92" s="40">
        <f t="shared" si="15"/>
        <v>0</v>
      </c>
      <c r="Z92" s="40">
        <f t="shared" si="15"/>
        <v>0</v>
      </c>
      <c r="AA92" s="40">
        <f t="shared" si="15"/>
        <v>0</v>
      </c>
      <c r="AB92" s="40">
        <f t="shared" si="15"/>
        <v>0</v>
      </c>
      <c r="AC92" s="41">
        <f t="shared" si="19"/>
        <v>0</v>
      </c>
      <c r="AD92" s="41">
        <f t="shared" si="20"/>
        <v>0</v>
      </c>
      <c r="AE92" s="41">
        <f t="shared" si="16"/>
        <v>0</v>
      </c>
      <c r="AT92" s="89">
        <v>1</v>
      </c>
      <c r="AU92" s="64" t="s">
        <v>271</v>
      </c>
      <c r="AV92" s="64" t="str">
        <f t="shared" si="13"/>
        <v>1 - Compostos orgânicos</v>
      </c>
      <c r="AW92" s="89">
        <v>1</v>
      </c>
    </row>
    <row r="93" spans="13:49" ht="20.25" customHeight="1" x14ac:dyDescent="0.25">
      <c r="M93" s="80"/>
      <c r="N93" s="79"/>
      <c r="O93" s="79"/>
      <c r="P93" s="79"/>
      <c r="Q93" s="79"/>
      <c r="R93" s="26"/>
      <c r="U93" s="410"/>
      <c r="V93" s="40">
        <f t="shared" si="17"/>
        <v>0</v>
      </c>
      <c r="W93" s="40">
        <f t="shared" si="17"/>
        <v>0</v>
      </c>
      <c r="X93" s="40">
        <f t="shared" si="18"/>
        <v>0</v>
      </c>
      <c r="Y93" s="40">
        <f t="shared" si="15"/>
        <v>0</v>
      </c>
      <c r="Z93" s="40">
        <f t="shared" si="15"/>
        <v>0</v>
      </c>
      <c r="AA93" s="40">
        <f t="shared" si="15"/>
        <v>0</v>
      </c>
      <c r="AB93" s="40">
        <f t="shared" si="15"/>
        <v>0</v>
      </c>
      <c r="AC93" s="41">
        <f t="shared" si="19"/>
        <v>0</v>
      </c>
      <c r="AD93" s="41">
        <f t="shared" si="20"/>
        <v>0</v>
      </c>
      <c r="AE93" s="41">
        <f t="shared" si="16"/>
        <v>0</v>
      </c>
      <c r="AT93" s="89">
        <v>2</v>
      </c>
      <c r="AU93" s="64" t="s">
        <v>271</v>
      </c>
      <c r="AV93" s="64" t="str">
        <f t="shared" si="13"/>
        <v>2 - Compostos orgânicos</v>
      </c>
      <c r="AW93" s="89">
        <v>2</v>
      </c>
    </row>
    <row r="94" spans="13:49" ht="20.25" customHeight="1" x14ac:dyDescent="0.25">
      <c r="M94" s="80"/>
      <c r="N94" s="79"/>
      <c r="O94" s="352" t="s">
        <v>245</v>
      </c>
      <c r="P94" s="352"/>
      <c r="Q94" s="352"/>
      <c r="R94" s="26"/>
      <c r="U94" s="410"/>
      <c r="V94" s="40">
        <f t="shared" si="17"/>
        <v>0</v>
      </c>
      <c r="W94" s="40">
        <f t="shared" si="17"/>
        <v>0</v>
      </c>
      <c r="X94" s="40">
        <f t="shared" si="18"/>
        <v>0</v>
      </c>
      <c r="Y94" s="40">
        <f t="shared" si="15"/>
        <v>0</v>
      </c>
      <c r="Z94" s="40">
        <f t="shared" si="15"/>
        <v>0</v>
      </c>
      <c r="AA94" s="40">
        <f t="shared" si="15"/>
        <v>0</v>
      </c>
      <c r="AB94" s="40">
        <f t="shared" si="15"/>
        <v>0</v>
      </c>
      <c r="AC94" s="41">
        <f t="shared" si="19"/>
        <v>0</v>
      </c>
      <c r="AD94" s="41">
        <f t="shared" si="20"/>
        <v>0</v>
      </c>
      <c r="AE94" s="41">
        <f t="shared" si="16"/>
        <v>0</v>
      </c>
      <c r="AT94" s="89">
        <v>3</v>
      </c>
      <c r="AU94" s="64" t="s">
        <v>271</v>
      </c>
      <c r="AV94" s="64" t="str">
        <f t="shared" si="13"/>
        <v>3 - Compostos orgânicos</v>
      </c>
      <c r="AW94" s="89">
        <v>3</v>
      </c>
    </row>
    <row r="95" spans="13:49" ht="20.25" customHeight="1" thickBot="1" x14ac:dyDescent="0.3">
      <c r="M95" s="75"/>
      <c r="N95" s="76"/>
      <c r="O95" s="76"/>
      <c r="P95" s="76"/>
      <c r="Q95" s="76"/>
      <c r="R95" s="77"/>
      <c r="U95" s="410"/>
      <c r="V95" s="40">
        <f t="shared" si="17"/>
        <v>0</v>
      </c>
      <c r="W95" s="40">
        <f t="shared" si="17"/>
        <v>0</v>
      </c>
      <c r="X95" s="40">
        <f t="shared" si="18"/>
        <v>0</v>
      </c>
      <c r="Y95" s="40">
        <f t="shared" si="15"/>
        <v>0</v>
      </c>
      <c r="Z95" s="40">
        <f t="shared" si="15"/>
        <v>0</v>
      </c>
      <c r="AA95" s="40">
        <f t="shared" si="15"/>
        <v>0</v>
      </c>
      <c r="AB95" s="40">
        <f t="shared" si="15"/>
        <v>0</v>
      </c>
      <c r="AC95" s="41">
        <f t="shared" si="19"/>
        <v>0</v>
      </c>
      <c r="AD95" s="41">
        <f t="shared" si="20"/>
        <v>0</v>
      </c>
      <c r="AE95" s="41">
        <f t="shared" si="16"/>
        <v>0</v>
      </c>
      <c r="AT95" s="89">
        <v>4</v>
      </c>
      <c r="AU95" s="64" t="s">
        <v>271</v>
      </c>
      <c r="AV95" s="64" t="str">
        <f t="shared" si="13"/>
        <v>4 - Compostos orgânicos</v>
      </c>
      <c r="AW95" s="89">
        <v>4</v>
      </c>
    </row>
    <row r="96" spans="13:49" ht="20.25" customHeight="1" thickBot="1" x14ac:dyDescent="0.3"/>
    <row r="97" spans="1:41" ht="20.25" customHeight="1" x14ac:dyDescent="0.25">
      <c r="A97" s="59"/>
      <c r="M97" s="72"/>
      <c r="N97" s="73"/>
      <c r="O97" s="73"/>
      <c r="P97" s="73"/>
      <c r="Q97" s="73"/>
      <c r="R97" s="74"/>
    </row>
    <row r="98" spans="1:41" ht="20.25" customHeight="1" x14ac:dyDescent="0.25">
      <c r="A98" s="69"/>
      <c r="M98" s="351" t="s">
        <v>250</v>
      </c>
      <c r="N98" s="361"/>
      <c r="O98" s="44" t="s">
        <v>33</v>
      </c>
      <c r="P98" s="44" t="s">
        <v>205</v>
      </c>
      <c r="Q98" s="44" t="s">
        <v>206</v>
      </c>
      <c r="R98" s="26"/>
      <c r="U98" s="409" t="s">
        <v>125</v>
      </c>
      <c r="V98" s="409" t="s">
        <v>76</v>
      </c>
      <c r="W98" s="409" t="s">
        <v>77</v>
      </c>
      <c r="X98" s="444" t="s">
        <v>78</v>
      </c>
      <c r="Y98" s="445"/>
      <c r="Z98" s="445"/>
      <c r="AA98" s="445"/>
      <c r="AB98" s="445"/>
      <c r="AC98" s="445"/>
      <c r="AD98" s="445"/>
      <c r="AE98" s="445"/>
      <c r="AF98" s="445"/>
      <c r="AG98" s="445"/>
      <c r="AH98" s="445"/>
      <c r="AI98" s="445"/>
      <c r="AJ98" s="445"/>
      <c r="AK98" s="445"/>
      <c r="AL98" s="445"/>
      <c r="AM98" s="445"/>
      <c r="AN98" s="445"/>
      <c r="AO98" s="446"/>
    </row>
    <row r="99" spans="1:41" ht="20.25" customHeight="1" x14ac:dyDescent="0.25">
      <c r="A99" s="69"/>
      <c r="M99" s="351" t="s">
        <v>243</v>
      </c>
      <c r="N99" s="361"/>
      <c r="O99" s="45">
        <f>$AC$30</f>
        <v>50</v>
      </c>
      <c r="P99" s="45">
        <f>$AC$31</f>
        <v>10</v>
      </c>
      <c r="Q99" s="45">
        <f>$AC$32</f>
        <v>10</v>
      </c>
      <c r="R99" s="26"/>
      <c r="U99" s="409"/>
      <c r="V99" s="409"/>
      <c r="W99" s="409"/>
      <c r="X99" s="82" t="s">
        <v>33</v>
      </c>
      <c r="Y99" s="82" t="s">
        <v>79</v>
      </c>
      <c r="Z99" s="82" t="s">
        <v>66</v>
      </c>
      <c r="AA99" s="82" t="s">
        <v>80</v>
      </c>
      <c r="AB99" s="82" t="s">
        <v>67</v>
      </c>
      <c r="AC99" s="82" t="s">
        <v>81</v>
      </c>
      <c r="AD99" s="82" t="s">
        <v>82</v>
      </c>
      <c r="AE99" s="82" t="s">
        <v>83</v>
      </c>
      <c r="AF99" s="82" t="s">
        <v>84</v>
      </c>
      <c r="AG99" s="82" t="s">
        <v>85</v>
      </c>
      <c r="AH99" s="82" t="s">
        <v>86</v>
      </c>
      <c r="AI99" s="82" t="s">
        <v>87</v>
      </c>
      <c r="AJ99" s="82" t="s">
        <v>88</v>
      </c>
      <c r="AK99" s="82" t="s">
        <v>89</v>
      </c>
      <c r="AL99" s="82" t="s">
        <v>106</v>
      </c>
      <c r="AM99" s="82" t="s">
        <v>90</v>
      </c>
      <c r="AN99" s="82" t="s">
        <v>91</v>
      </c>
      <c r="AO99" s="82" t="s">
        <v>92</v>
      </c>
    </row>
    <row r="100" spans="1:41" ht="20.25" customHeight="1" x14ac:dyDescent="0.25">
      <c r="A100" s="79"/>
      <c r="M100" s="351" t="s">
        <v>251</v>
      </c>
      <c r="N100" s="361"/>
      <c r="O100" s="2">
        <f>AS21</f>
        <v>50</v>
      </c>
      <c r="P100" s="2">
        <f>AT21</f>
        <v>10</v>
      </c>
      <c r="Q100" s="2">
        <f>AU21</f>
        <v>10</v>
      </c>
      <c r="R100" s="26"/>
      <c r="U100" s="292" t="s">
        <v>209</v>
      </c>
      <c r="V100" s="46" t="str">
        <f>'Adubos e corretivos'!C3</f>
        <v>Uréia</v>
      </c>
      <c r="W100" s="46">
        <f>'Adubos e corretivos'!D3</f>
        <v>2.8</v>
      </c>
      <c r="X100" s="46">
        <f>'Adubos e corretivos'!E3</f>
        <v>45</v>
      </c>
      <c r="Y100" s="46">
        <f>'Adubos e corretivos'!F3</f>
        <v>0</v>
      </c>
      <c r="Z100" s="46">
        <f>'Adubos e corretivos'!G3</f>
        <v>0</v>
      </c>
      <c r="AA100" s="46">
        <f>'Adubos e corretivos'!H3</f>
        <v>0</v>
      </c>
      <c r="AB100" s="46">
        <f>'Adubos e corretivos'!I3</f>
        <v>0</v>
      </c>
      <c r="AC100" s="46">
        <f>'Adubos e corretivos'!J3</f>
        <v>0</v>
      </c>
      <c r="AD100" s="46">
        <f>'Adubos e corretivos'!K3</f>
        <v>0</v>
      </c>
      <c r="AE100" s="46">
        <f>'Adubos e corretivos'!L3</f>
        <v>0</v>
      </c>
      <c r="AF100" s="46">
        <f>'Adubos e corretivos'!M3</f>
        <v>0</v>
      </c>
      <c r="AG100" s="46">
        <f>'Adubos e corretivos'!N3</f>
        <v>0</v>
      </c>
      <c r="AH100" s="46">
        <f>'Adubos e corretivos'!O3</f>
        <v>0</v>
      </c>
      <c r="AI100" s="46">
        <f>'Adubos e corretivos'!P3</f>
        <v>0</v>
      </c>
      <c r="AJ100" s="46">
        <f>'Adubos e corretivos'!Q3</f>
        <v>0</v>
      </c>
      <c r="AK100" s="46">
        <f>'Adubos e corretivos'!R3</f>
        <v>0</v>
      </c>
      <c r="AL100" s="46">
        <f>'Adubos e corretivos'!S3</f>
        <v>0</v>
      </c>
      <c r="AM100" s="46">
        <f>'Adubos e corretivos'!T3</f>
        <v>45</v>
      </c>
      <c r="AN100" s="46">
        <f>'Adubos e corretivos'!U3</f>
        <v>0</v>
      </c>
      <c r="AO100" s="46">
        <f>'Adubos e corretivos'!V3</f>
        <v>0</v>
      </c>
    </row>
    <row r="101" spans="1:41" ht="20.25" customHeight="1" thickBot="1" x14ac:dyDescent="0.3">
      <c r="A101" s="79"/>
      <c r="B101" s="43"/>
      <c r="C101" s="43"/>
      <c r="M101" s="75"/>
      <c r="N101" s="76"/>
      <c r="O101" s="76"/>
      <c r="P101" s="76"/>
      <c r="Q101" s="76"/>
      <c r="R101" s="77"/>
      <c r="U101" s="292"/>
      <c r="V101" s="46" t="str">
        <f>'Adubos e corretivos'!C4</f>
        <v>Sulfato de amônio</v>
      </c>
      <c r="W101" s="46">
        <f>'Adubos e corretivos'!D4</f>
        <v>1.72</v>
      </c>
      <c r="X101" s="46">
        <f>'Adubos e corretivos'!E4</f>
        <v>20</v>
      </c>
      <c r="Y101" s="46">
        <f>'Adubos e corretivos'!F4</f>
        <v>0</v>
      </c>
      <c r="Z101" s="46">
        <f>'Adubos e corretivos'!G4</f>
        <v>0</v>
      </c>
      <c r="AA101" s="46">
        <f>'Adubos e corretivos'!H4</f>
        <v>0</v>
      </c>
      <c r="AB101" s="46">
        <f>'Adubos e corretivos'!I4</f>
        <v>0</v>
      </c>
      <c r="AC101" s="46">
        <f>'Adubos e corretivos'!J4</f>
        <v>0</v>
      </c>
      <c r="AD101" s="46">
        <f>'Adubos e corretivos'!K4</f>
        <v>0</v>
      </c>
      <c r="AE101" s="46">
        <f>'Adubos e corretivos'!L4</f>
        <v>24</v>
      </c>
      <c r="AF101" s="46">
        <f>'Adubos e corretivos'!M4</f>
        <v>0</v>
      </c>
      <c r="AG101" s="46">
        <f>'Adubos e corretivos'!N4</f>
        <v>0</v>
      </c>
      <c r="AH101" s="46">
        <f>'Adubos e corretivos'!O4</f>
        <v>0</v>
      </c>
      <c r="AI101" s="46">
        <f>'Adubos e corretivos'!P4</f>
        <v>0</v>
      </c>
      <c r="AJ101" s="46">
        <f>'Adubos e corretivos'!Q4</f>
        <v>0</v>
      </c>
      <c r="AK101" s="46">
        <f>'Adubos e corretivos'!R4</f>
        <v>0</v>
      </c>
      <c r="AL101" s="46">
        <f>'Adubos e corretivos'!S4</f>
        <v>0</v>
      </c>
      <c r="AM101" s="46">
        <f>'Adubos e corretivos'!T4</f>
        <v>20</v>
      </c>
      <c r="AN101" s="46">
        <f>'Adubos e corretivos'!U4</f>
        <v>0</v>
      </c>
      <c r="AO101" s="46">
        <f>'Adubos e corretivos'!V4</f>
        <v>0</v>
      </c>
    </row>
    <row r="102" spans="1:41" ht="20.25" customHeight="1" thickBot="1" x14ac:dyDescent="0.3">
      <c r="A102" s="79"/>
      <c r="U102" s="292"/>
      <c r="V102" s="46" t="str">
        <f>'Adubos e corretivos'!C5</f>
        <v>Nitrato de Amônio</v>
      </c>
      <c r="W102" s="46">
        <f>'Adubos e corretivos'!D5</f>
        <v>0</v>
      </c>
      <c r="X102" s="46">
        <f>'Adubos e corretivos'!E5</f>
        <v>29</v>
      </c>
      <c r="Y102" s="46">
        <f>'Adubos e corretivos'!F5</f>
        <v>0</v>
      </c>
      <c r="Z102" s="46">
        <f>'Adubos e corretivos'!G5</f>
        <v>0</v>
      </c>
      <c r="AA102" s="46">
        <f>'Adubos e corretivos'!H5</f>
        <v>0</v>
      </c>
      <c r="AB102" s="46">
        <f>'Adubos e corretivos'!I5</f>
        <v>0</v>
      </c>
      <c r="AC102" s="46">
        <f>'Adubos e corretivos'!J5</f>
        <v>0</v>
      </c>
      <c r="AD102" s="46">
        <f>'Adubos e corretivos'!K5</f>
        <v>1</v>
      </c>
      <c r="AE102" s="46">
        <f>'Adubos e corretivos'!L5</f>
        <v>1</v>
      </c>
      <c r="AF102" s="46">
        <f>'Adubos e corretivos'!M5</f>
        <v>0</v>
      </c>
      <c r="AG102" s="46">
        <f>'Adubos e corretivos'!N5</f>
        <v>0</v>
      </c>
      <c r="AH102" s="46">
        <f>'Adubos e corretivos'!O5</f>
        <v>1</v>
      </c>
      <c r="AI102" s="46">
        <f>'Adubos e corretivos'!P5</f>
        <v>0</v>
      </c>
      <c r="AJ102" s="46">
        <f>'Adubos e corretivos'!Q5</f>
        <v>0</v>
      </c>
      <c r="AK102" s="46">
        <f>'Adubos e corretivos'!R5</f>
        <v>0</v>
      </c>
      <c r="AL102" s="46">
        <f>'Adubos e corretivos'!S5</f>
        <v>0</v>
      </c>
      <c r="AM102" s="46">
        <f>'Adubos e corretivos'!T5</f>
        <v>14.5</v>
      </c>
      <c r="AN102" s="46">
        <f>'Adubos e corretivos'!U5</f>
        <v>14.5</v>
      </c>
      <c r="AO102" s="46">
        <f>'Adubos e corretivos'!V5</f>
        <v>1.5</v>
      </c>
    </row>
    <row r="103" spans="1:41" ht="20.25" customHeight="1" x14ac:dyDescent="0.25">
      <c r="M103" s="72"/>
      <c r="N103" s="73"/>
      <c r="O103" s="73"/>
      <c r="P103" s="73"/>
      <c r="Q103" s="73"/>
      <c r="R103" s="74"/>
      <c r="U103" s="292"/>
      <c r="V103" s="46" t="str">
        <f>'Adubos e corretivos'!C6</f>
        <v>Nitrato de cálcio</v>
      </c>
      <c r="W103" s="46">
        <f>'Adubos e corretivos'!D6</f>
        <v>2.56</v>
      </c>
      <c r="X103" s="46">
        <f>'Adubos e corretivos'!E6</f>
        <v>15</v>
      </c>
      <c r="Y103" s="46">
        <f>'Adubos e corretivos'!F6</f>
        <v>0</v>
      </c>
      <c r="Z103" s="46">
        <f>'Adubos e corretivos'!G6</f>
        <v>0</v>
      </c>
      <c r="AA103" s="46">
        <f>'Adubos e corretivos'!H6</f>
        <v>0</v>
      </c>
      <c r="AB103" s="46">
        <f>'Adubos e corretivos'!I6</f>
        <v>0</v>
      </c>
      <c r="AC103" s="46">
        <f>'Adubos e corretivos'!J6</f>
        <v>19</v>
      </c>
      <c r="AD103" s="46">
        <f>'Adubos e corretivos'!K6</f>
        <v>0</v>
      </c>
      <c r="AE103" s="46">
        <f>'Adubos e corretivos'!L6</f>
        <v>0</v>
      </c>
      <c r="AF103" s="46">
        <f>'Adubos e corretivos'!M6</f>
        <v>0</v>
      </c>
      <c r="AG103" s="46">
        <f>'Adubos e corretivos'!N6</f>
        <v>0</v>
      </c>
      <c r="AH103" s="46">
        <f>'Adubos e corretivos'!O6</f>
        <v>0</v>
      </c>
      <c r="AI103" s="46">
        <f>'Adubos e corretivos'!P6</f>
        <v>0</v>
      </c>
      <c r="AJ103" s="46">
        <f>'Adubos e corretivos'!Q6</f>
        <v>0</v>
      </c>
      <c r="AK103" s="46">
        <f>'Adubos e corretivos'!R6</f>
        <v>0</v>
      </c>
      <c r="AL103" s="46">
        <f>'Adubos e corretivos'!S6</f>
        <v>0</v>
      </c>
      <c r="AM103" s="46">
        <f>'Adubos e corretivos'!T6</f>
        <v>1</v>
      </c>
      <c r="AN103" s="46">
        <f>'Adubos e corretivos'!U6</f>
        <v>14</v>
      </c>
      <c r="AO103" s="46">
        <f>'Adubos e corretivos'!V6</f>
        <v>1.18</v>
      </c>
    </row>
    <row r="104" spans="1:41" ht="20.25" customHeight="1" x14ac:dyDescent="0.25">
      <c r="M104" s="351" t="s">
        <v>246</v>
      </c>
      <c r="N104" s="361"/>
      <c r="O104" s="416" t="s">
        <v>236</v>
      </c>
      <c r="P104" s="416"/>
      <c r="Q104" s="416"/>
      <c r="R104" s="26"/>
      <c r="U104" s="292"/>
      <c r="V104" s="46" t="str">
        <f>'Adubos e corretivos'!C7</f>
        <v>Nitrato de magnésio</v>
      </c>
      <c r="W104" s="46">
        <f>'Adubos e corretivos'!D7</f>
        <v>4.5999999999999996</v>
      </c>
      <c r="X104" s="46">
        <f>'Adubos e corretivos'!E7</f>
        <v>11</v>
      </c>
      <c r="Y104" s="46">
        <f>'Adubos e corretivos'!F7</f>
        <v>0</v>
      </c>
      <c r="Z104" s="46">
        <f>'Adubos e corretivos'!G7</f>
        <v>0</v>
      </c>
      <c r="AA104" s="46">
        <f>'Adubos e corretivos'!H7</f>
        <v>0</v>
      </c>
      <c r="AB104" s="46">
        <f>'Adubos e corretivos'!I7</f>
        <v>0</v>
      </c>
      <c r="AC104" s="46">
        <f>'Adubos e corretivos'!J7</f>
        <v>0</v>
      </c>
      <c r="AD104" s="46">
        <f>'Adubos e corretivos'!K7</f>
        <v>9.5</v>
      </c>
      <c r="AE104" s="46">
        <f>'Adubos e corretivos'!L7</f>
        <v>0</v>
      </c>
      <c r="AF104" s="46">
        <f>'Adubos e corretivos'!M7</f>
        <v>0</v>
      </c>
      <c r="AG104" s="46">
        <f>'Adubos e corretivos'!N7</f>
        <v>0</v>
      </c>
      <c r="AH104" s="46">
        <f>'Adubos e corretivos'!O7</f>
        <v>0</v>
      </c>
      <c r="AI104" s="46">
        <f>'Adubos e corretivos'!P7</f>
        <v>0</v>
      </c>
      <c r="AJ104" s="46">
        <f>'Adubos e corretivos'!Q7</f>
        <v>0</v>
      </c>
      <c r="AK104" s="46">
        <f>'Adubos e corretivos'!R7</f>
        <v>0</v>
      </c>
      <c r="AL104" s="46">
        <f>'Adubos e corretivos'!S7</f>
        <v>0</v>
      </c>
      <c r="AM104" s="46">
        <f>'Adubos e corretivos'!T7</f>
        <v>0</v>
      </c>
      <c r="AN104" s="46">
        <f>'Adubos e corretivos'!U7</f>
        <v>11</v>
      </c>
      <c r="AO104" s="46">
        <f>'Adubos e corretivos'!V7</f>
        <v>0.9</v>
      </c>
    </row>
    <row r="105" spans="1:41" ht="20.25" customHeight="1" x14ac:dyDescent="0.25">
      <c r="M105" s="351"/>
      <c r="N105" s="361"/>
      <c r="O105" s="341"/>
      <c r="P105" s="341"/>
      <c r="Q105" s="341"/>
      <c r="R105" s="26"/>
      <c r="U105" s="292"/>
      <c r="V105" s="46" t="str">
        <f>'Adubos e corretivos'!C8</f>
        <v>Nitrato de potássio</v>
      </c>
      <c r="W105" s="46">
        <f>'Adubos e corretivos'!D8</f>
        <v>5.92</v>
      </c>
      <c r="X105" s="46">
        <f>'Adubos e corretivos'!E8</f>
        <v>12</v>
      </c>
      <c r="Y105" s="46">
        <f>'Adubos e corretivos'!F8</f>
        <v>0</v>
      </c>
      <c r="Z105" s="46">
        <f>'Adubos e corretivos'!G8</f>
        <v>0</v>
      </c>
      <c r="AA105" s="46">
        <f>'Adubos e corretivos'!H8</f>
        <v>38</v>
      </c>
      <c r="AB105" s="46">
        <f>'Adubos e corretivos'!I8</f>
        <v>0</v>
      </c>
      <c r="AC105" s="46">
        <f>'Adubos e corretivos'!J8</f>
        <v>0</v>
      </c>
      <c r="AD105" s="46">
        <f>'Adubos e corretivos'!K8</f>
        <v>0</v>
      </c>
      <c r="AE105" s="46">
        <f>'Adubos e corretivos'!L8</f>
        <v>0</v>
      </c>
      <c r="AF105" s="46">
        <f>'Adubos e corretivos'!M8</f>
        <v>0</v>
      </c>
      <c r="AG105" s="46">
        <f>'Adubos e corretivos'!N8</f>
        <v>0</v>
      </c>
      <c r="AH105" s="46">
        <f>'Adubos e corretivos'!O8</f>
        <v>0</v>
      </c>
      <c r="AI105" s="46">
        <f>'Adubos e corretivos'!P8</f>
        <v>0</v>
      </c>
      <c r="AJ105" s="46">
        <f>'Adubos e corretivos'!Q8</f>
        <v>0</v>
      </c>
      <c r="AK105" s="46">
        <f>'Adubos e corretivos'!R8</f>
        <v>0</v>
      </c>
      <c r="AL105" s="46">
        <f>'Adubos e corretivos'!S8</f>
        <v>0</v>
      </c>
      <c r="AM105" s="46">
        <f>'Adubos e corretivos'!T8</f>
        <v>0</v>
      </c>
      <c r="AN105" s="46">
        <f>'Adubos e corretivos'!U8</f>
        <v>12</v>
      </c>
      <c r="AO105" s="46">
        <f>'Adubos e corretivos'!V8</f>
        <v>1.28</v>
      </c>
    </row>
    <row r="106" spans="1:41" ht="20.25" customHeight="1" x14ac:dyDescent="0.25">
      <c r="M106" s="351"/>
      <c r="N106" s="361"/>
      <c r="O106" s="341"/>
      <c r="P106" s="341"/>
      <c r="Q106" s="341"/>
      <c r="R106" s="26"/>
      <c r="U106" s="292"/>
      <c r="V106" s="46" t="str">
        <f>'Adubos e corretivos'!C9</f>
        <v>Superfosfato simples</v>
      </c>
      <c r="W106" s="46">
        <f>'Adubos e corretivos'!D9</f>
        <v>1.68</v>
      </c>
      <c r="X106" s="46">
        <f>'Adubos e corretivos'!E9</f>
        <v>0</v>
      </c>
      <c r="Y106" s="46">
        <f>'Adubos e corretivos'!F9</f>
        <v>7.86</v>
      </c>
      <c r="Z106" s="46">
        <f>'Adubos e corretivos'!G9</f>
        <v>18</v>
      </c>
      <c r="AA106" s="46">
        <f>'Adubos e corretivos'!H9</f>
        <v>0</v>
      </c>
      <c r="AB106" s="46">
        <f>'Adubos e corretivos'!I9</f>
        <v>0</v>
      </c>
      <c r="AC106" s="46">
        <f>'Adubos e corretivos'!J9</f>
        <v>0</v>
      </c>
      <c r="AD106" s="46">
        <f>'Adubos e corretivos'!K9</f>
        <v>0</v>
      </c>
      <c r="AE106" s="46">
        <f>'Adubos e corretivos'!L9</f>
        <v>0</v>
      </c>
      <c r="AF106" s="46">
        <f>'Adubos e corretivos'!M9</f>
        <v>0</v>
      </c>
      <c r="AG106" s="46">
        <f>'Adubos e corretivos'!N9</f>
        <v>0</v>
      </c>
      <c r="AH106" s="46">
        <f>'Adubos e corretivos'!O9</f>
        <v>0</v>
      </c>
      <c r="AI106" s="46">
        <f>'Adubos e corretivos'!P9</f>
        <v>0</v>
      </c>
      <c r="AJ106" s="46">
        <f>'Adubos e corretivos'!Q9</f>
        <v>0</v>
      </c>
      <c r="AK106" s="46">
        <f>'Adubos e corretivos'!R9</f>
        <v>0</v>
      </c>
      <c r="AL106" s="46">
        <f>'Adubos e corretivos'!S9</f>
        <v>0</v>
      </c>
      <c r="AM106" s="46">
        <f>'Adubos e corretivos'!T9</f>
        <v>0</v>
      </c>
      <c r="AN106" s="46">
        <f>'Adubos e corretivos'!U9</f>
        <v>0</v>
      </c>
      <c r="AO106" s="46">
        <f>'Adubos e corretivos'!V9</f>
        <v>0</v>
      </c>
    </row>
    <row r="107" spans="1:41" ht="20.25" customHeight="1" x14ac:dyDescent="0.25">
      <c r="M107" s="351"/>
      <c r="N107" s="361"/>
      <c r="O107" s="341"/>
      <c r="P107" s="341"/>
      <c r="Q107" s="341"/>
      <c r="R107" s="26"/>
      <c r="U107" s="292"/>
      <c r="V107" s="46" t="str">
        <f>'Adubos e corretivos'!C10</f>
        <v>Superfosfato triplo</v>
      </c>
      <c r="W107" s="46">
        <f>'Adubos e corretivos'!D10</f>
        <v>3.8</v>
      </c>
      <c r="X107" s="46">
        <f>'Adubos e corretivos'!E10</f>
        <v>0</v>
      </c>
      <c r="Y107" s="46">
        <f>'Adubos e corretivos'!F10</f>
        <v>17.91</v>
      </c>
      <c r="Z107" s="46">
        <f>'Adubos e corretivos'!G10</f>
        <v>41</v>
      </c>
      <c r="AA107" s="46">
        <f>'Adubos e corretivos'!H10</f>
        <v>0</v>
      </c>
      <c r="AB107" s="46">
        <f>'Adubos e corretivos'!I10</f>
        <v>0</v>
      </c>
      <c r="AC107" s="46">
        <f>'Adubos e corretivos'!J10</f>
        <v>0</v>
      </c>
      <c r="AD107" s="46">
        <f>'Adubos e corretivos'!K10</f>
        <v>0</v>
      </c>
      <c r="AE107" s="46">
        <f>'Adubos e corretivos'!L10</f>
        <v>0</v>
      </c>
      <c r="AF107" s="46">
        <f>'Adubos e corretivos'!M10</f>
        <v>0</v>
      </c>
      <c r="AG107" s="46">
        <f>'Adubos e corretivos'!N10</f>
        <v>0</v>
      </c>
      <c r="AH107" s="46">
        <f>'Adubos e corretivos'!O10</f>
        <v>0</v>
      </c>
      <c r="AI107" s="46">
        <f>'Adubos e corretivos'!P10</f>
        <v>0</v>
      </c>
      <c r="AJ107" s="46">
        <f>'Adubos e corretivos'!Q10</f>
        <v>0</v>
      </c>
      <c r="AK107" s="46">
        <f>'Adubos e corretivos'!R10</f>
        <v>0</v>
      </c>
      <c r="AL107" s="46">
        <f>'Adubos e corretivos'!S10</f>
        <v>0</v>
      </c>
      <c r="AM107" s="46">
        <f>'Adubos e corretivos'!T10</f>
        <v>0</v>
      </c>
      <c r="AN107" s="46">
        <f>'Adubos e corretivos'!U10</f>
        <v>0</v>
      </c>
      <c r="AO107" s="46">
        <f>'Adubos e corretivos'!V10</f>
        <v>0</v>
      </c>
    </row>
    <row r="108" spans="1:41" ht="20.25" customHeight="1" x14ac:dyDescent="0.25">
      <c r="M108" s="351"/>
      <c r="N108" s="361"/>
      <c r="O108" s="341"/>
      <c r="P108" s="341"/>
      <c r="Q108" s="341"/>
      <c r="R108" s="26"/>
      <c r="U108" s="292"/>
      <c r="V108" s="46" t="str">
        <f>'Adubos e corretivos'!C11</f>
        <v>Cloreto de potássio</v>
      </c>
      <c r="W108" s="46">
        <f>'Adubos e corretivos'!D11</f>
        <v>3.48</v>
      </c>
      <c r="X108" s="46">
        <f>'Adubos e corretivos'!E11</f>
        <v>0</v>
      </c>
      <c r="Y108" s="46">
        <f>'Adubos e corretivos'!F11</f>
        <v>0</v>
      </c>
      <c r="Z108" s="46">
        <f>'Adubos e corretivos'!G11</f>
        <v>0</v>
      </c>
      <c r="AA108" s="46">
        <f>'Adubos e corretivos'!H11</f>
        <v>50</v>
      </c>
      <c r="AB108" s="46">
        <f>'Adubos e corretivos'!I11</f>
        <v>60</v>
      </c>
      <c r="AC108" s="46">
        <f>'Adubos e corretivos'!J11</f>
        <v>0</v>
      </c>
      <c r="AD108" s="46">
        <f>'Adubos e corretivos'!K11</f>
        <v>0</v>
      </c>
      <c r="AE108" s="46">
        <f>'Adubos e corretivos'!L11</f>
        <v>0</v>
      </c>
      <c r="AF108" s="46">
        <f>'Adubos e corretivos'!M11</f>
        <v>0</v>
      </c>
      <c r="AG108" s="46">
        <f>'Adubos e corretivos'!N11</f>
        <v>0</v>
      </c>
      <c r="AH108" s="46">
        <f>'Adubos e corretivos'!O11</f>
        <v>0</v>
      </c>
      <c r="AI108" s="46">
        <f>'Adubos e corretivos'!P11</f>
        <v>0</v>
      </c>
      <c r="AJ108" s="46">
        <f>'Adubos e corretivos'!Q11</f>
        <v>0</v>
      </c>
      <c r="AK108" s="46">
        <f>'Adubos e corretivos'!R11</f>
        <v>0</v>
      </c>
      <c r="AL108" s="46">
        <f>'Adubos e corretivos'!S11</f>
        <v>0</v>
      </c>
      <c r="AM108" s="46">
        <f>'Adubos e corretivos'!T11</f>
        <v>0</v>
      </c>
      <c r="AN108" s="46">
        <f>'Adubos e corretivos'!U11</f>
        <v>0</v>
      </c>
      <c r="AO108" s="46">
        <f>'Adubos e corretivos'!V11</f>
        <v>1.7</v>
      </c>
    </row>
    <row r="109" spans="1:41" ht="20.25" customHeight="1" x14ac:dyDescent="0.25">
      <c r="M109" s="351"/>
      <c r="N109" s="361"/>
      <c r="O109" s="341"/>
      <c r="P109" s="341"/>
      <c r="Q109" s="341"/>
      <c r="R109" s="26"/>
      <c r="U109" s="292"/>
      <c r="V109" s="46" t="str">
        <f>'Adubos e corretivos'!C12</f>
        <v>Sulfato de potássio</v>
      </c>
      <c r="W109" s="46">
        <f>'Adubos e corretivos'!D12</f>
        <v>5.32</v>
      </c>
      <c r="X109" s="46">
        <f>'Adubos e corretivos'!E12</f>
        <v>0</v>
      </c>
      <c r="Y109" s="46">
        <f>'Adubos e corretivos'!F12</f>
        <v>0</v>
      </c>
      <c r="Z109" s="46">
        <f>'Adubos e corretivos'!G12</f>
        <v>0</v>
      </c>
      <c r="AA109" s="46">
        <f>'Adubos e corretivos'!H12</f>
        <v>43</v>
      </c>
      <c r="AB109" s="46">
        <f>'Adubos e corretivos'!I12</f>
        <v>52</v>
      </c>
      <c r="AC109" s="46">
        <f>'Adubos e corretivos'!J12</f>
        <v>0</v>
      </c>
      <c r="AD109" s="46">
        <f>'Adubos e corretivos'!K12</f>
        <v>0</v>
      </c>
      <c r="AE109" s="46">
        <f>'Adubos e corretivos'!L12</f>
        <v>17</v>
      </c>
      <c r="AF109" s="46">
        <f>'Adubos e corretivos'!M12</f>
        <v>0</v>
      </c>
      <c r="AG109" s="46">
        <f>'Adubos e corretivos'!N12</f>
        <v>0</v>
      </c>
      <c r="AH109" s="46">
        <f>'Adubos e corretivos'!O12</f>
        <v>0</v>
      </c>
      <c r="AI109" s="46">
        <f>'Adubos e corretivos'!P12</f>
        <v>0</v>
      </c>
      <c r="AJ109" s="46">
        <f>'Adubos e corretivos'!Q12</f>
        <v>0</v>
      </c>
      <c r="AK109" s="46">
        <f>'Adubos e corretivos'!R12</f>
        <v>0</v>
      </c>
      <c r="AL109" s="46">
        <f>'Adubos e corretivos'!S12</f>
        <v>0</v>
      </c>
      <c r="AM109" s="46">
        <f>'Adubos e corretivos'!T12</f>
        <v>0</v>
      </c>
      <c r="AN109" s="46">
        <f>'Adubos e corretivos'!U12</f>
        <v>0</v>
      </c>
      <c r="AO109" s="46">
        <f>'Adubos e corretivos'!V12</f>
        <v>1.2</v>
      </c>
    </row>
    <row r="110" spans="1:41" ht="20.25" customHeight="1" thickBot="1" x14ac:dyDescent="0.3">
      <c r="M110" s="75"/>
      <c r="N110" s="76"/>
      <c r="O110" s="76"/>
      <c r="P110" s="76"/>
      <c r="Q110" s="76"/>
      <c r="R110" s="77"/>
      <c r="U110" s="292"/>
      <c r="V110" s="46" t="str">
        <f>'Adubos e corretivos'!C13</f>
        <v>DRIPSOL Alface</v>
      </c>
      <c r="W110" s="46">
        <f>'Adubos e corretivos'!D13</f>
        <v>9</v>
      </c>
      <c r="X110" s="46">
        <f>'Adubos e corretivos'!E13</f>
        <v>0</v>
      </c>
      <c r="Y110" s="46">
        <f>'Adubos e corretivos'!F13</f>
        <v>0</v>
      </c>
      <c r="Z110" s="46">
        <f>'Adubos e corretivos'!G13</f>
        <v>0</v>
      </c>
      <c r="AA110" s="46">
        <f>'Adubos e corretivos'!H13</f>
        <v>43</v>
      </c>
      <c r="AB110" s="46">
        <f>'Adubos e corretivos'!I13</f>
        <v>52</v>
      </c>
      <c r="AC110" s="46">
        <f>'Adubos e corretivos'!J13</f>
        <v>0</v>
      </c>
      <c r="AD110" s="46">
        <f>'Adubos e corretivos'!K13</f>
        <v>0</v>
      </c>
      <c r="AE110" s="46">
        <f>'Adubos e corretivos'!L13</f>
        <v>0</v>
      </c>
      <c r="AF110" s="46">
        <f>'Adubos e corretivos'!M13</f>
        <v>0</v>
      </c>
      <c r="AG110" s="46">
        <f>'Adubos e corretivos'!N13</f>
        <v>0</v>
      </c>
      <c r="AH110" s="46">
        <f>'Adubos e corretivos'!O13</f>
        <v>0</v>
      </c>
      <c r="AI110" s="46">
        <f>'Adubos e corretivos'!P13</f>
        <v>0</v>
      </c>
      <c r="AJ110" s="46">
        <f>'Adubos e corretivos'!Q13</f>
        <v>0</v>
      </c>
      <c r="AK110" s="46">
        <f>'Adubos e corretivos'!R13</f>
        <v>0</v>
      </c>
      <c r="AL110" s="46">
        <f>'Adubos e corretivos'!S13</f>
        <v>0</v>
      </c>
      <c r="AM110" s="46">
        <f>'Adubos e corretivos'!T13</f>
        <v>0</v>
      </c>
      <c r="AN110" s="46">
        <f>'Adubos e corretivos'!U13</f>
        <v>0</v>
      </c>
      <c r="AO110" s="46">
        <f>'Adubos e corretivos'!V13</f>
        <v>0</v>
      </c>
    </row>
    <row r="111" spans="1:41" ht="20.25" customHeight="1" thickBot="1" x14ac:dyDescent="0.3">
      <c r="U111" s="292"/>
      <c r="V111" s="46" t="str">
        <f>'Adubos e corretivos'!C14</f>
        <v>MAP</v>
      </c>
      <c r="W111" s="46">
        <f>'Adubos e corretivos'!D14</f>
        <v>5.52</v>
      </c>
      <c r="X111" s="46">
        <f>'Adubos e corretivos'!E14</f>
        <v>12</v>
      </c>
      <c r="Y111" s="46">
        <f>'Adubos e corretivos'!F14</f>
        <v>27</v>
      </c>
      <c r="Z111" s="46">
        <f>'Adubos e corretivos'!G14</f>
        <v>62</v>
      </c>
      <c r="AA111" s="46">
        <f>'Adubos e corretivos'!H14</f>
        <v>0</v>
      </c>
      <c r="AB111" s="46">
        <f>'Adubos e corretivos'!I14</f>
        <v>0</v>
      </c>
      <c r="AC111" s="46">
        <f>'Adubos e corretivos'!J14</f>
        <v>0</v>
      </c>
      <c r="AD111" s="46">
        <f>'Adubos e corretivos'!K14</f>
        <v>0</v>
      </c>
      <c r="AE111" s="46">
        <f>'Adubos e corretivos'!L14</f>
        <v>0</v>
      </c>
      <c r="AF111" s="46">
        <f>'Adubos e corretivos'!M14</f>
        <v>0</v>
      </c>
      <c r="AG111" s="46">
        <f>'Adubos e corretivos'!N14</f>
        <v>0</v>
      </c>
      <c r="AH111" s="46">
        <f>'Adubos e corretivos'!O14</f>
        <v>0</v>
      </c>
      <c r="AI111" s="46">
        <f>'Adubos e corretivos'!P14</f>
        <v>0</v>
      </c>
      <c r="AJ111" s="46">
        <f>'Adubos e corretivos'!Q14</f>
        <v>0</v>
      </c>
      <c r="AK111" s="46">
        <f>'Adubos e corretivos'!R14</f>
        <v>0</v>
      </c>
      <c r="AL111" s="46">
        <f>'Adubos e corretivos'!S14</f>
        <v>0</v>
      </c>
      <c r="AM111" s="46">
        <f>'Adubos e corretivos'!T14</f>
        <v>12</v>
      </c>
      <c r="AN111" s="46">
        <f>'Adubos e corretivos'!U14</f>
        <v>0</v>
      </c>
      <c r="AO111" s="46">
        <f>'Adubos e corretivos'!V14</f>
        <v>0.95</v>
      </c>
    </row>
    <row r="112" spans="1:41" ht="20.25" customHeight="1" x14ac:dyDescent="0.25">
      <c r="M112" s="72"/>
      <c r="N112" s="73"/>
      <c r="O112" s="73"/>
      <c r="P112" s="73"/>
      <c r="Q112" s="73"/>
      <c r="R112" s="74"/>
      <c r="U112" s="292"/>
      <c r="V112" s="46" t="str">
        <f>'Adubos e corretivos'!C15</f>
        <v>MKP</v>
      </c>
      <c r="W112" s="46">
        <f>'Adubos e corretivos'!D15</f>
        <v>8.92</v>
      </c>
      <c r="X112" s="46">
        <f>'Adubos e corretivos'!E15</f>
        <v>0</v>
      </c>
      <c r="Y112" s="46">
        <f>'Adubos e corretivos'!F15</f>
        <v>23</v>
      </c>
      <c r="Z112" s="46">
        <f>'Adubos e corretivos'!G15</f>
        <v>53</v>
      </c>
      <c r="AA112" s="46">
        <f>'Adubos e corretivos'!H15</f>
        <v>28</v>
      </c>
      <c r="AB112" s="46">
        <f>'Adubos e corretivos'!I15</f>
        <v>34</v>
      </c>
      <c r="AC112" s="46">
        <f>'Adubos e corretivos'!J15</f>
        <v>0</v>
      </c>
      <c r="AD112" s="46">
        <f>'Adubos e corretivos'!K15</f>
        <v>0</v>
      </c>
      <c r="AE112" s="46">
        <f>'Adubos e corretivos'!L15</f>
        <v>0</v>
      </c>
      <c r="AF112" s="46">
        <f>'Adubos e corretivos'!M15</f>
        <v>0</v>
      </c>
      <c r="AG112" s="46">
        <f>'Adubos e corretivos'!N15</f>
        <v>0</v>
      </c>
      <c r="AH112" s="46">
        <f>'Adubos e corretivos'!O15</f>
        <v>0</v>
      </c>
      <c r="AI112" s="46">
        <f>'Adubos e corretivos'!P15</f>
        <v>0</v>
      </c>
      <c r="AJ112" s="46">
        <f>'Adubos e corretivos'!Q15</f>
        <v>0</v>
      </c>
      <c r="AK112" s="46">
        <f>'Adubos e corretivos'!R15</f>
        <v>0</v>
      </c>
      <c r="AL112" s="46">
        <f>'Adubos e corretivos'!S15</f>
        <v>0</v>
      </c>
      <c r="AM112" s="46">
        <f>'Adubos e corretivos'!T15</f>
        <v>0</v>
      </c>
      <c r="AN112" s="46">
        <f>'Adubos e corretivos'!U15</f>
        <v>0</v>
      </c>
      <c r="AO112" s="46">
        <f>'Adubos e corretivos'!V15</f>
        <v>0.7</v>
      </c>
    </row>
    <row r="113" spans="3:41" ht="20.25" customHeight="1" x14ac:dyDescent="0.25">
      <c r="M113" s="80" t="s">
        <v>250</v>
      </c>
      <c r="N113" s="44" t="s">
        <v>84</v>
      </c>
      <c r="O113" s="44" t="s">
        <v>87</v>
      </c>
      <c r="P113" s="44" t="s">
        <v>85</v>
      </c>
      <c r="Q113" s="44" t="s">
        <v>86</v>
      </c>
      <c r="R113" s="26"/>
      <c r="U113" s="292"/>
      <c r="V113" s="46">
        <f>'Adubos e corretivos'!C16</f>
        <v>0</v>
      </c>
      <c r="W113" s="46">
        <f>'Adubos e corretivos'!D16</f>
        <v>0</v>
      </c>
      <c r="X113" s="46">
        <f>'Adubos e corretivos'!E16</f>
        <v>0</v>
      </c>
      <c r="Y113" s="46">
        <f>'Adubos e corretivos'!F16</f>
        <v>0</v>
      </c>
      <c r="Z113" s="46">
        <f>'Adubos e corretivos'!G16</f>
        <v>0</v>
      </c>
      <c r="AA113" s="46">
        <f>'Adubos e corretivos'!H16</f>
        <v>0</v>
      </c>
      <c r="AB113" s="46">
        <f>'Adubos e corretivos'!I16</f>
        <v>0</v>
      </c>
      <c r="AC113" s="46">
        <f>'Adubos e corretivos'!J16</f>
        <v>0</v>
      </c>
      <c r="AD113" s="46">
        <f>'Adubos e corretivos'!K16</f>
        <v>0</v>
      </c>
      <c r="AE113" s="46">
        <f>'Adubos e corretivos'!L16</f>
        <v>0</v>
      </c>
      <c r="AF113" s="46">
        <f>'Adubos e corretivos'!M16</f>
        <v>0</v>
      </c>
      <c r="AG113" s="46">
        <f>'Adubos e corretivos'!N16</f>
        <v>0</v>
      </c>
      <c r="AH113" s="46">
        <f>'Adubos e corretivos'!O16</f>
        <v>0</v>
      </c>
      <c r="AI113" s="46">
        <f>'Adubos e corretivos'!P16</f>
        <v>0</v>
      </c>
      <c r="AJ113" s="46">
        <f>'Adubos e corretivos'!Q16</f>
        <v>0</v>
      </c>
      <c r="AK113" s="46">
        <f>'Adubos e corretivos'!R16</f>
        <v>0</v>
      </c>
      <c r="AL113" s="46">
        <f>'Adubos e corretivos'!S16</f>
        <v>0</v>
      </c>
      <c r="AM113" s="46">
        <f>'Adubos e corretivos'!T16</f>
        <v>0</v>
      </c>
      <c r="AN113" s="46">
        <f>'Adubos e corretivos'!U16</f>
        <v>0</v>
      </c>
      <c r="AO113" s="46">
        <f>'Adubos e corretivos'!V16</f>
        <v>0</v>
      </c>
    </row>
    <row r="114" spans="3:41" ht="20.25" customHeight="1" x14ac:dyDescent="0.25">
      <c r="M114" s="80" t="s">
        <v>243</v>
      </c>
      <c r="N114" s="45" t="e">
        <f>AS26</f>
        <v>#VALUE!</v>
      </c>
      <c r="O114" s="45" t="e">
        <f>AT26</f>
        <v>#VALUE!</v>
      </c>
      <c r="P114" s="45" t="e">
        <f>AU26</f>
        <v>#VALUE!</v>
      </c>
      <c r="Q114" s="45" t="e">
        <f>AV26</f>
        <v>#VALUE!</v>
      </c>
      <c r="R114" s="26"/>
      <c r="U114" s="292"/>
      <c r="V114" s="46">
        <f>'Adubos e corretivos'!C17</f>
        <v>0</v>
      </c>
      <c r="W114" s="46">
        <f>'Adubos e corretivos'!D17</f>
        <v>0</v>
      </c>
      <c r="X114" s="46">
        <f>'Adubos e corretivos'!E17</f>
        <v>0</v>
      </c>
      <c r="Y114" s="46">
        <f>'Adubos e corretivos'!F17</f>
        <v>0</v>
      </c>
      <c r="Z114" s="46">
        <f>'Adubos e corretivos'!G17</f>
        <v>0</v>
      </c>
      <c r="AA114" s="46">
        <f>'Adubos e corretivos'!H17</f>
        <v>0</v>
      </c>
      <c r="AB114" s="46">
        <f>'Adubos e corretivos'!I17</f>
        <v>0</v>
      </c>
      <c r="AC114" s="46">
        <f>'Adubos e corretivos'!J17</f>
        <v>0</v>
      </c>
      <c r="AD114" s="46">
        <f>'Adubos e corretivos'!K17</f>
        <v>0</v>
      </c>
      <c r="AE114" s="46">
        <f>'Adubos e corretivos'!L17</f>
        <v>0</v>
      </c>
      <c r="AF114" s="46">
        <f>'Adubos e corretivos'!M17</f>
        <v>0</v>
      </c>
      <c r="AG114" s="46">
        <f>'Adubos e corretivos'!N17</f>
        <v>0</v>
      </c>
      <c r="AH114" s="46">
        <f>'Adubos e corretivos'!O17</f>
        <v>0</v>
      </c>
      <c r="AI114" s="46">
        <f>'Adubos e corretivos'!P17</f>
        <v>0</v>
      </c>
      <c r="AJ114" s="46">
        <f>'Adubos e corretivos'!Q17</f>
        <v>0</v>
      </c>
      <c r="AK114" s="46">
        <f>'Adubos e corretivos'!R17</f>
        <v>0</v>
      </c>
      <c r="AL114" s="46">
        <f>'Adubos e corretivos'!S17</f>
        <v>0</v>
      </c>
      <c r="AM114" s="46">
        <f>'Adubos e corretivos'!T17</f>
        <v>0</v>
      </c>
      <c r="AN114" s="46">
        <f>'Adubos e corretivos'!U17</f>
        <v>0</v>
      </c>
      <c r="AO114" s="46">
        <f>'Adubos e corretivos'!V17</f>
        <v>0</v>
      </c>
    </row>
    <row r="115" spans="3:41" ht="20.25" customHeight="1" x14ac:dyDescent="0.25">
      <c r="M115" s="80" t="s">
        <v>251</v>
      </c>
      <c r="N115" s="2" t="e">
        <f>AW45</f>
        <v>#VALUE!</v>
      </c>
      <c r="O115" s="2" t="e">
        <f>AX45</f>
        <v>#VALUE!</v>
      </c>
      <c r="P115" s="2" t="e">
        <f>AY45</f>
        <v>#VALUE!</v>
      </c>
      <c r="Q115" s="2" t="e">
        <f>AZ45</f>
        <v>#VALUE!</v>
      </c>
      <c r="R115" s="26"/>
      <c r="U115" s="293" t="s">
        <v>208</v>
      </c>
      <c r="V115" s="46" t="str">
        <f>'Adubos e corretivos'!C18</f>
        <v>Hortimax Plantio 03-18-05</v>
      </c>
      <c r="W115" s="46">
        <f>'Adubos e corretivos'!D18</f>
        <v>1.88</v>
      </c>
      <c r="X115" s="46">
        <f>'Adubos e corretivos'!E18</f>
        <v>3</v>
      </c>
      <c r="Y115" s="46">
        <f>'Adubos e corretivos'!F18</f>
        <v>7.87</v>
      </c>
      <c r="Z115" s="46">
        <f>'Adubos e corretivos'!G18</f>
        <v>18</v>
      </c>
      <c r="AA115" s="46">
        <f>'Adubos e corretivos'!H18</f>
        <v>4.2</v>
      </c>
      <c r="AB115" s="46">
        <f>'Adubos e corretivos'!I18</f>
        <v>5</v>
      </c>
      <c r="AC115" s="46">
        <f>'Adubos e corretivos'!J18</f>
        <v>0</v>
      </c>
      <c r="AD115" s="46">
        <f>'Adubos e corretivos'!K18</f>
        <v>0</v>
      </c>
      <c r="AE115" s="46">
        <f>'Adubos e corretivos'!L18</f>
        <v>0</v>
      </c>
      <c r="AF115" s="46">
        <f>'Adubos e corretivos'!M18</f>
        <v>0</v>
      </c>
      <c r="AG115" s="46">
        <f>'Adubos e corretivos'!N18</f>
        <v>0</v>
      </c>
      <c r="AH115" s="46">
        <f>'Adubos e corretivos'!O18</f>
        <v>0</v>
      </c>
      <c r="AI115" s="46">
        <f>'Adubos e corretivos'!P18</f>
        <v>0</v>
      </c>
      <c r="AJ115" s="46">
        <f>'Adubos e corretivos'!Q18</f>
        <v>0</v>
      </c>
      <c r="AK115" s="46">
        <f>'Adubos e corretivos'!R18</f>
        <v>0</v>
      </c>
      <c r="AL115" s="46">
        <f>'Adubos e corretivos'!S18</f>
        <v>0</v>
      </c>
      <c r="AM115" s="46">
        <f>'Adubos e corretivos'!T18</f>
        <v>0</v>
      </c>
      <c r="AN115" s="46">
        <f>'Adubos e corretivos'!U18</f>
        <v>0</v>
      </c>
      <c r="AO115" s="46">
        <f>'Adubos e corretivos'!V18</f>
        <v>0</v>
      </c>
    </row>
    <row r="116" spans="3:41" ht="20.25" customHeight="1" thickBot="1" x14ac:dyDescent="0.3">
      <c r="C116" s="79"/>
      <c r="D116" s="38"/>
      <c r="M116" s="75"/>
      <c r="N116" s="76"/>
      <c r="O116" s="76"/>
      <c r="P116" s="76"/>
      <c r="Q116" s="76"/>
      <c r="R116" s="77"/>
      <c r="U116" s="293"/>
      <c r="V116" s="46" t="str">
        <f>'Adubos e corretivos'!C19</f>
        <v>Formulado 04-14-08</v>
      </c>
      <c r="W116" s="46">
        <f>'Adubos e corretivos'!D19</f>
        <v>1.86</v>
      </c>
      <c r="X116" s="46">
        <f>'Adubos e corretivos'!E19</f>
        <v>4</v>
      </c>
      <c r="Y116" s="46">
        <f>'Adubos e corretivos'!F19</f>
        <v>6.15</v>
      </c>
      <c r="Z116" s="46">
        <f>'Adubos e corretivos'!G19</f>
        <v>14</v>
      </c>
      <c r="AA116" s="46">
        <f>'Adubos e corretivos'!H19</f>
        <v>6.65</v>
      </c>
      <c r="AB116" s="46">
        <f>'Adubos e corretivos'!I19</f>
        <v>8</v>
      </c>
      <c r="AC116" s="46">
        <f>'Adubos e corretivos'!J19</f>
        <v>0</v>
      </c>
      <c r="AD116" s="46">
        <f>'Adubos e corretivos'!K19</f>
        <v>0</v>
      </c>
      <c r="AE116" s="46">
        <f>'Adubos e corretivos'!L19</f>
        <v>0</v>
      </c>
      <c r="AF116" s="46">
        <f>'Adubos e corretivos'!M19</f>
        <v>0</v>
      </c>
      <c r="AG116" s="46">
        <f>'Adubos e corretivos'!N19</f>
        <v>0</v>
      </c>
      <c r="AH116" s="46">
        <f>'Adubos e corretivos'!O19</f>
        <v>0</v>
      </c>
      <c r="AI116" s="46">
        <f>'Adubos e corretivos'!P19</f>
        <v>0</v>
      </c>
      <c r="AJ116" s="46">
        <f>'Adubos e corretivos'!Q19</f>
        <v>0</v>
      </c>
      <c r="AK116" s="46">
        <f>'Adubos e corretivos'!R19</f>
        <v>0</v>
      </c>
      <c r="AL116" s="46">
        <f>'Adubos e corretivos'!S19</f>
        <v>0</v>
      </c>
      <c r="AM116" s="46">
        <f>'Adubos e corretivos'!T19</f>
        <v>0</v>
      </c>
      <c r="AN116" s="46">
        <f>'Adubos e corretivos'!U19</f>
        <v>0</v>
      </c>
      <c r="AO116" s="46">
        <f>'Adubos e corretivos'!V19</f>
        <v>0</v>
      </c>
    </row>
    <row r="117" spans="3:41" ht="20.25" customHeight="1" x14ac:dyDescent="0.25">
      <c r="C117" s="79"/>
      <c r="U117" s="293"/>
      <c r="V117" s="46" t="str">
        <f>'Adubos e corretivos'!C20</f>
        <v>Formulado 04-30-16</v>
      </c>
      <c r="W117" s="46">
        <f>'Adubos e corretivos'!D20</f>
        <v>2.52</v>
      </c>
      <c r="X117" s="46">
        <f>'Adubos e corretivos'!E20</f>
        <v>4</v>
      </c>
      <c r="Y117" s="46">
        <f>'Adubos e corretivos'!F20</f>
        <v>13.1</v>
      </c>
      <c r="Z117" s="46">
        <f>'Adubos e corretivos'!G20</f>
        <v>30</v>
      </c>
      <c r="AA117" s="46">
        <f>'Adubos e corretivos'!H20</f>
        <v>13.3</v>
      </c>
      <c r="AB117" s="46">
        <f>'Adubos e corretivos'!I20</f>
        <v>16</v>
      </c>
      <c r="AC117" s="46">
        <f>'Adubos e corretivos'!J20</f>
        <v>0</v>
      </c>
      <c r="AD117" s="46">
        <f>'Adubos e corretivos'!K20</f>
        <v>0</v>
      </c>
      <c r="AE117" s="46">
        <f>'Adubos e corretivos'!L20</f>
        <v>0</v>
      </c>
      <c r="AF117" s="46">
        <f>'Adubos e corretivos'!M20</f>
        <v>0</v>
      </c>
      <c r="AG117" s="46">
        <f>'Adubos e corretivos'!N20</f>
        <v>0</v>
      </c>
      <c r="AH117" s="46">
        <f>'Adubos e corretivos'!O20</f>
        <v>0</v>
      </c>
      <c r="AI117" s="46">
        <f>'Adubos e corretivos'!P20</f>
        <v>0</v>
      </c>
      <c r="AJ117" s="46">
        <f>'Adubos e corretivos'!Q20</f>
        <v>0</v>
      </c>
      <c r="AK117" s="46">
        <f>'Adubos e corretivos'!R20</f>
        <v>0</v>
      </c>
      <c r="AL117" s="46">
        <f>'Adubos e corretivos'!S20</f>
        <v>0</v>
      </c>
      <c r="AM117" s="46">
        <f>'Adubos e corretivos'!T20</f>
        <v>0</v>
      </c>
      <c r="AN117" s="46">
        <f>'Adubos e corretivos'!U20</f>
        <v>0</v>
      </c>
      <c r="AO117" s="46">
        <f>'Adubos e corretivos'!V20</f>
        <v>0</v>
      </c>
    </row>
    <row r="118" spans="3:41" ht="20.25" customHeight="1" x14ac:dyDescent="0.25">
      <c r="C118" s="79"/>
      <c r="U118" s="293"/>
      <c r="V118" s="46" t="str">
        <f>'Adubos e corretivos'!C21</f>
        <v>Formulado 05-25-15</v>
      </c>
      <c r="W118" s="46">
        <f>'Adubos e corretivos'!D21</f>
        <v>2</v>
      </c>
      <c r="X118" s="46">
        <f>'Adubos e corretivos'!E21</f>
        <v>5</v>
      </c>
      <c r="Y118" s="46">
        <f>'Adubos e corretivos'!F21</f>
        <v>10.95</v>
      </c>
      <c r="Z118" s="46">
        <f>'Adubos e corretivos'!G21</f>
        <v>25</v>
      </c>
      <c r="AA118" s="46">
        <f>'Adubos e corretivos'!H21</f>
        <v>12.45</v>
      </c>
      <c r="AB118" s="46">
        <f>'Adubos e corretivos'!I21</f>
        <v>15</v>
      </c>
      <c r="AC118" s="46">
        <f>'Adubos e corretivos'!J21</f>
        <v>0</v>
      </c>
      <c r="AD118" s="46">
        <f>'Adubos e corretivos'!K21</f>
        <v>0</v>
      </c>
      <c r="AE118" s="46">
        <f>'Adubos e corretivos'!L21</f>
        <v>0</v>
      </c>
      <c r="AF118" s="46">
        <f>'Adubos e corretivos'!M21</f>
        <v>0</v>
      </c>
      <c r="AG118" s="46">
        <f>'Adubos e corretivos'!N21</f>
        <v>0</v>
      </c>
      <c r="AH118" s="46">
        <f>'Adubos e corretivos'!O21</f>
        <v>0</v>
      </c>
      <c r="AI118" s="46">
        <f>'Adubos e corretivos'!P21</f>
        <v>0</v>
      </c>
      <c r="AJ118" s="46">
        <f>'Adubos e corretivos'!Q21</f>
        <v>0</v>
      </c>
      <c r="AK118" s="46">
        <f>'Adubos e corretivos'!R21</f>
        <v>0</v>
      </c>
      <c r="AL118" s="46">
        <f>'Adubos e corretivos'!S21</f>
        <v>0</v>
      </c>
      <c r="AM118" s="46">
        <f>'Adubos e corretivos'!T21</f>
        <v>0</v>
      </c>
      <c r="AN118" s="46">
        <f>'Adubos e corretivos'!U21</f>
        <v>0</v>
      </c>
      <c r="AO118" s="46">
        <f>'Adubos e corretivos'!V21</f>
        <v>0</v>
      </c>
    </row>
    <row r="119" spans="3:41" ht="20.25" customHeight="1" x14ac:dyDescent="0.25">
      <c r="C119" s="79"/>
      <c r="U119" s="293"/>
      <c r="V119" s="46" t="str">
        <f>'Adubos e corretivos'!C22</f>
        <v>Yara Formulado 04-30-10</v>
      </c>
      <c r="W119" s="46">
        <f>'Adubos e corretivos'!D22</f>
        <v>2.44</v>
      </c>
      <c r="X119" s="46">
        <f>'Adubos e corretivos'!E22</f>
        <v>4</v>
      </c>
      <c r="Y119" s="46">
        <f>'Adubos e corretivos'!F22</f>
        <v>13.1</v>
      </c>
      <c r="Z119" s="46">
        <f>'Adubos e corretivos'!G22</f>
        <v>30</v>
      </c>
      <c r="AA119" s="46">
        <f>'Adubos e corretivos'!H22</f>
        <v>8.3000000000000007</v>
      </c>
      <c r="AB119" s="46">
        <f>'Adubos e corretivos'!I22</f>
        <v>10</v>
      </c>
      <c r="AC119" s="46">
        <f>'Adubos e corretivos'!J22</f>
        <v>0</v>
      </c>
      <c r="AD119" s="46">
        <f>'Adubos e corretivos'!K22</f>
        <v>0</v>
      </c>
      <c r="AE119" s="46">
        <f>'Adubos e corretivos'!L22</f>
        <v>0</v>
      </c>
      <c r="AF119" s="46">
        <f>'Adubos e corretivos'!M22</f>
        <v>0</v>
      </c>
      <c r="AG119" s="46">
        <f>'Adubos e corretivos'!N22</f>
        <v>0</v>
      </c>
      <c r="AH119" s="46">
        <f>'Adubos e corretivos'!O22</f>
        <v>0</v>
      </c>
      <c r="AI119" s="46">
        <f>'Adubos e corretivos'!P22</f>
        <v>0</v>
      </c>
      <c r="AJ119" s="46">
        <f>'Adubos e corretivos'!Q22</f>
        <v>0</v>
      </c>
      <c r="AK119" s="46">
        <f>'Adubos e corretivos'!R22</f>
        <v>0</v>
      </c>
      <c r="AL119" s="46">
        <f>'Adubos e corretivos'!S22</f>
        <v>0</v>
      </c>
      <c r="AM119" s="46">
        <f>'Adubos e corretivos'!T22</f>
        <v>0</v>
      </c>
      <c r="AN119" s="46">
        <f>'Adubos e corretivos'!U22</f>
        <v>0</v>
      </c>
      <c r="AO119" s="46">
        <f>'Adubos e corretivos'!V22</f>
        <v>0</v>
      </c>
    </row>
    <row r="120" spans="3:41" ht="20.25" customHeight="1" x14ac:dyDescent="0.25">
      <c r="C120" s="79"/>
      <c r="U120" s="293"/>
      <c r="V120" s="46" t="str">
        <f>'Adubos e corretivos'!C23</f>
        <v>Formulado 00-18-00 (Timac)</v>
      </c>
      <c r="W120" s="46">
        <f>'Adubos e corretivos'!D23</f>
        <v>0</v>
      </c>
      <c r="X120" s="46">
        <f>'Adubos e corretivos'!E23</f>
        <v>0</v>
      </c>
      <c r="Y120" s="46">
        <f>'Adubos e corretivos'!F23</f>
        <v>7.87</v>
      </c>
      <c r="Z120" s="46">
        <f>'Adubos e corretivos'!G23</f>
        <v>18</v>
      </c>
      <c r="AA120" s="46">
        <f>'Adubos e corretivos'!H23</f>
        <v>0</v>
      </c>
      <c r="AB120" s="46">
        <f>'Adubos e corretivos'!I23</f>
        <v>0</v>
      </c>
      <c r="AC120" s="46">
        <f>'Adubos e corretivos'!J23</f>
        <v>0</v>
      </c>
      <c r="AD120" s="46">
        <f>'Adubos e corretivos'!K23</f>
        <v>0</v>
      </c>
      <c r="AE120" s="46">
        <f>'Adubos e corretivos'!L23</f>
        <v>0</v>
      </c>
      <c r="AF120" s="46">
        <f>'Adubos e corretivos'!M23</f>
        <v>0</v>
      </c>
      <c r="AG120" s="46">
        <f>'Adubos e corretivos'!N23</f>
        <v>0</v>
      </c>
      <c r="AH120" s="46">
        <f>'Adubos e corretivos'!O23</f>
        <v>0</v>
      </c>
      <c r="AI120" s="46">
        <f>'Adubos e corretivos'!P23</f>
        <v>0</v>
      </c>
      <c r="AJ120" s="46">
        <f>'Adubos e corretivos'!Q23</f>
        <v>0</v>
      </c>
      <c r="AK120" s="46">
        <f>'Adubos e corretivos'!R23</f>
        <v>0</v>
      </c>
      <c r="AL120" s="46">
        <f>'Adubos e corretivos'!S23</f>
        <v>0</v>
      </c>
      <c r="AM120" s="46">
        <f>'Adubos e corretivos'!T23</f>
        <v>0</v>
      </c>
      <c r="AN120" s="46">
        <f>'Adubos e corretivos'!U23</f>
        <v>0</v>
      </c>
      <c r="AO120" s="46">
        <f>'Adubos e corretivos'!V23</f>
        <v>0</v>
      </c>
    </row>
    <row r="121" spans="3:41" ht="20.25" customHeight="1" x14ac:dyDescent="0.25">
      <c r="C121" s="79"/>
      <c r="U121" s="293"/>
      <c r="V121" s="46" t="str">
        <f>'Adubos e corretivos'!C24</f>
        <v>Baseduo Formulado 08-24-08</v>
      </c>
      <c r="W121" s="46">
        <f>'Adubos e corretivos'!D24</f>
        <v>4.2</v>
      </c>
      <c r="X121" s="46">
        <f>'Adubos e corretivos'!E24</f>
        <v>8</v>
      </c>
      <c r="Y121" s="46">
        <f>'Adubos e corretivos'!F24</f>
        <v>10.5</v>
      </c>
      <c r="Z121" s="46">
        <f>'Adubos e corretivos'!G24</f>
        <v>24</v>
      </c>
      <c r="AA121" s="46">
        <f>'Adubos e corretivos'!H24</f>
        <v>6.65</v>
      </c>
      <c r="AB121" s="46">
        <f>'Adubos e corretivos'!I24</f>
        <v>8</v>
      </c>
      <c r="AC121" s="46">
        <f>'Adubos e corretivos'!J24</f>
        <v>0</v>
      </c>
      <c r="AD121" s="46">
        <f>'Adubos e corretivos'!K24</f>
        <v>0</v>
      </c>
      <c r="AE121" s="46">
        <f>'Adubos e corretivos'!L24</f>
        <v>0</v>
      </c>
      <c r="AF121" s="46">
        <f>'Adubos e corretivos'!M24</f>
        <v>0</v>
      </c>
      <c r="AG121" s="46">
        <f>'Adubos e corretivos'!N24</f>
        <v>0</v>
      </c>
      <c r="AH121" s="46">
        <f>'Adubos e corretivos'!O24</f>
        <v>0</v>
      </c>
      <c r="AI121" s="46">
        <f>'Adubos e corretivos'!P24</f>
        <v>0</v>
      </c>
      <c r="AJ121" s="46">
        <f>'Adubos e corretivos'!Q24</f>
        <v>0</v>
      </c>
      <c r="AK121" s="46">
        <f>'Adubos e corretivos'!R24</f>
        <v>0</v>
      </c>
      <c r="AL121" s="46">
        <f>'Adubos e corretivos'!S24</f>
        <v>0</v>
      </c>
      <c r="AM121" s="46">
        <f>'Adubos e corretivos'!T24</f>
        <v>0</v>
      </c>
      <c r="AN121" s="46">
        <f>'Adubos e corretivos'!U24</f>
        <v>0</v>
      </c>
      <c r="AO121" s="46">
        <f>'Adubos e corretivos'!V24</f>
        <v>0</v>
      </c>
    </row>
    <row r="122" spans="3:41" ht="20.25" customHeight="1" x14ac:dyDescent="0.25">
      <c r="C122" s="79"/>
      <c r="D122" s="79"/>
      <c r="U122" s="293"/>
      <c r="V122" s="46" t="str">
        <f>'Adubos e corretivos'!C25</f>
        <v>Timac Formulado 04-26-10</v>
      </c>
      <c r="W122" s="46">
        <f>'Adubos e corretivos'!D25</f>
        <v>2.52</v>
      </c>
      <c r="X122" s="46">
        <f>'Adubos e corretivos'!E25</f>
        <v>4</v>
      </c>
      <c r="Y122" s="46">
        <f>'Adubos e corretivos'!F25</f>
        <v>11.35</v>
      </c>
      <c r="Z122" s="46">
        <f>'Adubos e corretivos'!G25</f>
        <v>26</v>
      </c>
      <c r="AA122" s="46">
        <f>'Adubos e corretivos'!H25</f>
        <v>8.3000000000000007</v>
      </c>
      <c r="AB122" s="46">
        <f>'Adubos e corretivos'!I25</f>
        <v>10</v>
      </c>
      <c r="AC122" s="46">
        <f>'Adubos e corretivos'!J25</f>
        <v>0</v>
      </c>
      <c r="AD122" s="46">
        <f>'Adubos e corretivos'!K25</f>
        <v>0</v>
      </c>
      <c r="AE122" s="46">
        <f>'Adubos e corretivos'!L25</f>
        <v>0</v>
      </c>
      <c r="AF122" s="46">
        <f>'Adubos e corretivos'!M25</f>
        <v>0</v>
      </c>
      <c r="AG122" s="46">
        <f>'Adubos e corretivos'!N25</f>
        <v>0</v>
      </c>
      <c r="AH122" s="46">
        <f>'Adubos e corretivos'!O25</f>
        <v>0</v>
      </c>
      <c r="AI122" s="46">
        <f>'Adubos e corretivos'!P25</f>
        <v>0</v>
      </c>
      <c r="AJ122" s="46">
        <f>'Adubos e corretivos'!Q25</f>
        <v>0</v>
      </c>
      <c r="AK122" s="46">
        <f>'Adubos e corretivos'!R25</f>
        <v>0</v>
      </c>
      <c r="AL122" s="46">
        <f>'Adubos e corretivos'!S25</f>
        <v>0</v>
      </c>
      <c r="AM122" s="46">
        <f>'Adubos e corretivos'!T25</f>
        <v>0</v>
      </c>
      <c r="AN122" s="46">
        <f>'Adubos e corretivos'!U25</f>
        <v>0</v>
      </c>
      <c r="AO122" s="46">
        <f>'Adubos e corretivos'!V25</f>
        <v>0</v>
      </c>
    </row>
    <row r="123" spans="3:41" ht="20.25" customHeight="1" x14ac:dyDescent="0.25">
      <c r="C123" s="79"/>
      <c r="D123" s="79"/>
      <c r="U123" s="293"/>
      <c r="V123" s="46">
        <f>'Adubos e corretivos'!C26</f>
        <v>0</v>
      </c>
      <c r="W123" s="46">
        <f>'Adubos e corretivos'!D26</f>
        <v>0</v>
      </c>
      <c r="X123" s="46">
        <f>'Adubos e corretivos'!E26</f>
        <v>0</v>
      </c>
      <c r="Y123" s="46">
        <f>'Adubos e corretivos'!F26</f>
        <v>0</v>
      </c>
      <c r="Z123" s="46">
        <f>'Adubos e corretivos'!G26</f>
        <v>0</v>
      </c>
      <c r="AA123" s="46">
        <f>'Adubos e corretivos'!H26</f>
        <v>0</v>
      </c>
      <c r="AB123" s="46">
        <f>'Adubos e corretivos'!I26</f>
        <v>0</v>
      </c>
      <c r="AC123" s="46">
        <f>'Adubos e corretivos'!J26</f>
        <v>0</v>
      </c>
      <c r="AD123" s="46">
        <f>'Adubos e corretivos'!K26</f>
        <v>0</v>
      </c>
      <c r="AE123" s="46">
        <f>'Adubos e corretivos'!L26</f>
        <v>0</v>
      </c>
      <c r="AF123" s="46">
        <f>'Adubos e corretivos'!M26</f>
        <v>0</v>
      </c>
      <c r="AG123" s="46">
        <f>'Adubos e corretivos'!N26</f>
        <v>0</v>
      </c>
      <c r="AH123" s="46">
        <f>'Adubos e corretivos'!O26</f>
        <v>0</v>
      </c>
      <c r="AI123" s="46">
        <f>'Adubos e corretivos'!P26</f>
        <v>0</v>
      </c>
      <c r="AJ123" s="46">
        <f>'Adubos e corretivos'!Q26</f>
        <v>0</v>
      </c>
      <c r="AK123" s="46">
        <f>'Adubos e corretivos'!R26</f>
        <v>0</v>
      </c>
      <c r="AL123" s="46">
        <f>'Adubos e corretivos'!S26</f>
        <v>0</v>
      </c>
      <c r="AM123" s="46">
        <f>'Adubos e corretivos'!T26</f>
        <v>0</v>
      </c>
      <c r="AN123" s="46">
        <f>'Adubos e corretivos'!U26</f>
        <v>0</v>
      </c>
      <c r="AO123" s="46">
        <f>'Adubos e corretivos'!V26</f>
        <v>0</v>
      </c>
    </row>
    <row r="124" spans="3:41" ht="20.25" customHeight="1" x14ac:dyDescent="0.25">
      <c r="C124" s="79"/>
      <c r="D124" s="79"/>
      <c r="U124" s="293"/>
      <c r="V124" s="46" t="str">
        <f>'Adubos e corretivos'!C27</f>
        <v>Timac Formulado 12-03-24</v>
      </c>
      <c r="W124" s="46">
        <f>'Adubos e corretivos'!D27</f>
        <v>2.72</v>
      </c>
      <c r="X124" s="46">
        <f>'Adubos e corretivos'!E27</f>
        <v>12</v>
      </c>
      <c r="Y124" s="46">
        <f>'Adubos e corretivos'!F27</f>
        <v>1.31</v>
      </c>
      <c r="Z124" s="46">
        <f>'Adubos e corretivos'!G27</f>
        <v>3</v>
      </c>
      <c r="AA124" s="46">
        <f>'Adubos e corretivos'!H27</f>
        <v>20</v>
      </c>
      <c r="AB124" s="46">
        <f>'Adubos e corretivos'!I27</f>
        <v>24</v>
      </c>
      <c r="AC124" s="46">
        <f>'Adubos e corretivos'!J27</f>
        <v>0</v>
      </c>
      <c r="AD124" s="46">
        <f>'Adubos e corretivos'!K27</f>
        <v>0</v>
      </c>
      <c r="AE124" s="46">
        <f>'Adubos e corretivos'!L27</f>
        <v>0</v>
      </c>
      <c r="AF124" s="46">
        <f>'Adubos e corretivos'!M27</f>
        <v>0</v>
      </c>
      <c r="AG124" s="46">
        <f>'Adubos e corretivos'!N27</f>
        <v>0</v>
      </c>
      <c r="AH124" s="46">
        <f>'Adubos e corretivos'!O27</f>
        <v>0</v>
      </c>
      <c r="AI124" s="46">
        <f>'Adubos e corretivos'!P27</f>
        <v>0</v>
      </c>
      <c r="AJ124" s="46">
        <f>'Adubos e corretivos'!Q27</f>
        <v>0</v>
      </c>
      <c r="AK124" s="46">
        <f>'Adubos e corretivos'!R27</f>
        <v>0</v>
      </c>
      <c r="AL124" s="46">
        <f>'Adubos e corretivos'!S27</f>
        <v>0</v>
      </c>
      <c r="AM124" s="46">
        <f>'Adubos e corretivos'!T27</f>
        <v>0</v>
      </c>
      <c r="AN124" s="46">
        <f>'Adubos e corretivos'!U27</f>
        <v>0</v>
      </c>
      <c r="AO124" s="46">
        <f>'Adubos e corretivos'!V27</f>
        <v>0</v>
      </c>
    </row>
    <row r="125" spans="3:41" ht="20.25" customHeight="1" x14ac:dyDescent="0.25">
      <c r="U125" s="293"/>
      <c r="V125" s="46" t="str">
        <f>'Adubos e corretivos'!C28</f>
        <v>Hortimax Cobertura 13-3-25</v>
      </c>
      <c r="W125" s="46">
        <f>'Adubos e corretivos'!D28</f>
        <v>2.2799999999999998</v>
      </c>
      <c r="X125" s="46">
        <f>'Adubos e corretivos'!E28</f>
        <v>13</v>
      </c>
      <c r="Y125" s="46">
        <f>'Adubos e corretivos'!F28</f>
        <v>1.31</v>
      </c>
      <c r="Z125" s="46">
        <f>'Adubos e corretivos'!G28</f>
        <v>3</v>
      </c>
      <c r="AA125" s="46">
        <f>'Adubos e corretivos'!H28</f>
        <v>20.8</v>
      </c>
      <c r="AB125" s="46">
        <f>'Adubos e corretivos'!I28</f>
        <v>25</v>
      </c>
      <c r="AC125" s="46">
        <f>'Adubos e corretivos'!J28</f>
        <v>0</v>
      </c>
      <c r="AD125" s="46">
        <f>'Adubos e corretivos'!K28</f>
        <v>0</v>
      </c>
      <c r="AE125" s="46">
        <f>'Adubos e corretivos'!L28</f>
        <v>0</v>
      </c>
      <c r="AF125" s="46">
        <f>'Adubos e corretivos'!M28</f>
        <v>0</v>
      </c>
      <c r="AG125" s="46">
        <f>'Adubos e corretivos'!N28</f>
        <v>0</v>
      </c>
      <c r="AH125" s="46">
        <f>'Adubos e corretivos'!O28</f>
        <v>0</v>
      </c>
      <c r="AI125" s="46">
        <f>'Adubos e corretivos'!P28</f>
        <v>0</v>
      </c>
      <c r="AJ125" s="46">
        <f>'Adubos e corretivos'!Q28</f>
        <v>0</v>
      </c>
      <c r="AK125" s="46">
        <f>'Adubos e corretivos'!R28</f>
        <v>0</v>
      </c>
      <c r="AL125" s="46">
        <f>'Adubos e corretivos'!S28</f>
        <v>0</v>
      </c>
      <c r="AM125" s="46">
        <f>'Adubos e corretivos'!T28</f>
        <v>0</v>
      </c>
      <c r="AN125" s="46">
        <f>'Adubos e corretivos'!U28</f>
        <v>0</v>
      </c>
      <c r="AO125" s="46">
        <f>'Adubos e corretivos'!V28</f>
        <v>0</v>
      </c>
    </row>
    <row r="126" spans="3:41" ht="20.25" customHeight="1" x14ac:dyDescent="0.25">
      <c r="U126" s="293"/>
      <c r="V126" s="46" t="str">
        <f>'Adubos e corretivos'!C29</f>
        <v>Formulado 10-10-10</v>
      </c>
      <c r="W126" s="46">
        <f>'Adubos e corretivos'!D29</f>
        <v>2</v>
      </c>
      <c r="X126" s="46">
        <f>'Adubos e corretivos'!E29</f>
        <v>10</v>
      </c>
      <c r="Y126" s="46">
        <f>'Adubos e corretivos'!F29</f>
        <v>4.4000000000000004</v>
      </c>
      <c r="Z126" s="46">
        <f>'Adubos e corretivos'!G29</f>
        <v>10</v>
      </c>
      <c r="AA126" s="46">
        <f>'Adubos e corretivos'!H29</f>
        <v>8.3000000000000007</v>
      </c>
      <c r="AB126" s="46">
        <f>'Adubos e corretivos'!I29</f>
        <v>10</v>
      </c>
      <c r="AC126" s="46">
        <f>'Adubos e corretivos'!J29</f>
        <v>0</v>
      </c>
      <c r="AD126" s="46">
        <f>'Adubos e corretivos'!K29</f>
        <v>0</v>
      </c>
      <c r="AE126" s="46">
        <f>'Adubos e corretivos'!L29</f>
        <v>0</v>
      </c>
      <c r="AF126" s="46">
        <f>'Adubos e corretivos'!M29</f>
        <v>0</v>
      </c>
      <c r="AG126" s="46">
        <f>'Adubos e corretivos'!N29</f>
        <v>0</v>
      </c>
      <c r="AH126" s="46">
        <f>'Adubos e corretivos'!O29</f>
        <v>0</v>
      </c>
      <c r="AI126" s="46">
        <f>'Adubos e corretivos'!P29</f>
        <v>0</v>
      </c>
      <c r="AJ126" s="46">
        <f>'Adubos e corretivos'!Q29</f>
        <v>0</v>
      </c>
      <c r="AK126" s="46">
        <f>'Adubos e corretivos'!R29</f>
        <v>0</v>
      </c>
      <c r="AL126" s="46">
        <f>'Adubos e corretivos'!S29</f>
        <v>0</v>
      </c>
      <c r="AM126" s="46">
        <f>'Adubos e corretivos'!T29</f>
        <v>0</v>
      </c>
      <c r="AN126" s="46">
        <f>'Adubos e corretivos'!U29</f>
        <v>0</v>
      </c>
      <c r="AO126" s="46">
        <f>'Adubos e corretivos'!V29</f>
        <v>0</v>
      </c>
    </row>
    <row r="127" spans="3:41" ht="20.25" customHeight="1" x14ac:dyDescent="0.25">
      <c r="U127" s="293"/>
      <c r="V127" s="46" t="str">
        <f>'Adubos e corretivos'!C30</f>
        <v>Formulado 20-00-20</v>
      </c>
      <c r="W127" s="46">
        <f>'Adubos e corretivos'!D30</f>
        <v>2.2799999999999998</v>
      </c>
      <c r="X127" s="46">
        <f>'Adubos e corretivos'!E30</f>
        <v>20</v>
      </c>
      <c r="Y127" s="46">
        <f>'Adubos e corretivos'!F30</f>
        <v>0</v>
      </c>
      <c r="Z127" s="46">
        <f>'Adubos e corretivos'!G30</f>
        <v>0</v>
      </c>
      <c r="AA127" s="46">
        <f>'Adubos e corretivos'!H30</f>
        <v>16.600000000000001</v>
      </c>
      <c r="AB127" s="46">
        <f>'Adubos e corretivos'!I30</f>
        <v>20</v>
      </c>
      <c r="AC127" s="46">
        <f>'Adubos e corretivos'!J30</f>
        <v>0</v>
      </c>
      <c r="AD127" s="46">
        <f>'Adubos e corretivos'!K30</f>
        <v>0</v>
      </c>
      <c r="AE127" s="46">
        <f>'Adubos e corretivos'!L30</f>
        <v>0</v>
      </c>
      <c r="AF127" s="46">
        <f>'Adubos e corretivos'!M30</f>
        <v>0</v>
      </c>
      <c r="AG127" s="46">
        <f>'Adubos e corretivos'!N30</f>
        <v>0</v>
      </c>
      <c r="AH127" s="46">
        <f>'Adubos e corretivos'!O30</f>
        <v>0</v>
      </c>
      <c r="AI127" s="46">
        <f>'Adubos e corretivos'!P30</f>
        <v>0</v>
      </c>
      <c r="AJ127" s="46">
        <f>'Adubos e corretivos'!Q30</f>
        <v>0</v>
      </c>
      <c r="AK127" s="46">
        <f>'Adubos e corretivos'!R30</f>
        <v>0</v>
      </c>
      <c r="AL127" s="46">
        <f>'Adubos e corretivos'!S30</f>
        <v>0</v>
      </c>
      <c r="AM127" s="46">
        <f>'Adubos e corretivos'!T30</f>
        <v>0</v>
      </c>
      <c r="AN127" s="46">
        <f>'Adubos e corretivos'!U30</f>
        <v>0</v>
      </c>
      <c r="AO127" s="46">
        <f>'Adubos e corretivos'!V30</f>
        <v>0</v>
      </c>
    </row>
    <row r="128" spans="3:41" ht="20.25" customHeight="1" x14ac:dyDescent="0.25">
      <c r="U128" s="293"/>
      <c r="V128" s="46" t="str">
        <f>'Adubos e corretivos'!C31</f>
        <v>Ncalcio Formulado 07-00-30</v>
      </c>
      <c r="W128" s="46">
        <f>'Adubos e corretivos'!D31</f>
        <v>3.36</v>
      </c>
      <c r="X128" s="46">
        <f>'Adubos e corretivos'!E31</f>
        <v>7</v>
      </c>
      <c r="Y128" s="46">
        <f>'Adubos e corretivos'!F31</f>
        <v>0</v>
      </c>
      <c r="Z128" s="46">
        <f>'Adubos e corretivos'!G31</f>
        <v>0</v>
      </c>
      <c r="AA128" s="46">
        <f>'Adubos e corretivos'!H31</f>
        <v>24.89</v>
      </c>
      <c r="AB128" s="46">
        <f>'Adubos e corretivos'!I31</f>
        <v>30</v>
      </c>
      <c r="AC128" s="46">
        <f>'Adubos e corretivos'!J31</f>
        <v>12</v>
      </c>
      <c r="AD128" s="46">
        <f>'Adubos e corretivos'!K31</f>
        <v>0</v>
      </c>
      <c r="AE128" s="46">
        <f>'Adubos e corretivos'!L31</f>
        <v>0</v>
      </c>
      <c r="AF128" s="46">
        <f>'Adubos e corretivos'!M31</f>
        <v>0</v>
      </c>
      <c r="AG128" s="46">
        <f>'Adubos e corretivos'!N31</f>
        <v>0</v>
      </c>
      <c r="AH128" s="46">
        <f>'Adubos e corretivos'!O31</f>
        <v>0</v>
      </c>
      <c r="AI128" s="46">
        <f>'Adubos e corretivos'!P31</f>
        <v>0</v>
      </c>
      <c r="AJ128" s="46">
        <f>'Adubos e corretivos'!Q31</f>
        <v>0</v>
      </c>
      <c r="AK128" s="46">
        <f>'Adubos e corretivos'!R31</f>
        <v>0</v>
      </c>
      <c r="AL128" s="46">
        <f>'Adubos e corretivos'!S31</f>
        <v>0</v>
      </c>
      <c r="AM128" s="46">
        <f>'Adubos e corretivos'!T31</f>
        <v>0</v>
      </c>
      <c r="AN128" s="46">
        <f>'Adubos e corretivos'!U31</f>
        <v>0</v>
      </c>
      <c r="AO128" s="46">
        <f>'Adubos e corretivos'!V31</f>
        <v>0</v>
      </c>
    </row>
    <row r="129" spans="21:41" ht="20.25" customHeight="1" x14ac:dyDescent="0.25">
      <c r="U129" s="293"/>
      <c r="V129" s="46">
        <f>'Adubos e corretivos'!C32</f>
        <v>0</v>
      </c>
      <c r="W129" s="46">
        <f>'Adubos e corretivos'!D32</f>
        <v>0</v>
      </c>
      <c r="X129" s="46">
        <f>'Adubos e corretivos'!E32</f>
        <v>0</v>
      </c>
      <c r="Y129" s="46">
        <f>'Adubos e corretivos'!F32</f>
        <v>0</v>
      </c>
      <c r="Z129" s="46">
        <f>'Adubos e corretivos'!G32</f>
        <v>0</v>
      </c>
      <c r="AA129" s="46">
        <f>'Adubos e corretivos'!H32</f>
        <v>0</v>
      </c>
      <c r="AB129" s="46">
        <f>'Adubos e corretivos'!I32</f>
        <v>0</v>
      </c>
      <c r="AC129" s="46">
        <f>'Adubos e corretivos'!J32</f>
        <v>0</v>
      </c>
      <c r="AD129" s="46">
        <f>'Adubos e corretivos'!K32</f>
        <v>0</v>
      </c>
      <c r="AE129" s="46">
        <f>'Adubos e corretivos'!L32</f>
        <v>0</v>
      </c>
      <c r="AF129" s="46">
        <f>'Adubos e corretivos'!M32</f>
        <v>0</v>
      </c>
      <c r="AG129" s="46">
        <f>'Adubos e corretivos'!N32</f>
        <v>0</v>
      </c>
      <c r="AH129" s="46">
        <f>'Adubos e corretivos'!O32</f>
        <v>0</v>
      </c>
      <c r="AI129" s="46">
        <f>'Adubos e corretivos'!P32</f>
        <v>0</v>
      </c>
      <c r="AJ129" s="46">
        <f>'Adubos e corretivos'!Q32</f>
        <v>0</v>
      </c>
      <c r="AK129" s="46">
        <f>'Adubos e corretivos'!R32</f>
        <v>0</v>
      </c>
      <c r="AL129" s="46">
        <f>'Adubos e corretivos'!S32</f>
        <v>0</v>
      </c>
      <c r="AM129" s="46">
        <f>'Adubos e corretivos'!T32</f>
        <v>0</v>
      </c>
      <c r="AN129" s="46">
        <f>'Adubos e corretivos'!U32</f>
        <v>0</v>
      </c>
      <c r="AO129" s="46">
        <f>'Adubos e corretivos'!V32</f>
        <v>0</v>
      </c>
    </row>
    <row r="130" spans="21:41" ht="20.25" customHeight="1" x14ac:dyDescent="0.25">
      <c r="U130" s="293"/>
      <c r="V130" s="46">
        <f>'Adubos e corretivos'!C33</f>
        <v>0</v>
      </c>
      <c r="W130" s="46">
        <f>'Adubos e corretivos'!D33</f>
        <v>0</v>
      </c>
      <c r="X130" s="46">
        <f>'Adubos e corretivos'!E33</f>
        <v>0</v>
      </c>
      <c r="Y130" s="46">
        <f>'Adubos e corretivos'!F33</f>
        <v>0</v>
      </c>
      <c r="Z130" s="46">
        <f>'Adubos e corretivos'!G33</f>
        <v>0</v>
      </c>
      <c r="AA130" s="46">
        <f>'Adubos e corretivos'!H33</f>
        <v>0</v>
      </c>
      <c r="AB130" s="46">
        <f>'Adubos e corretivos'!I33</f>
        <v>0</v>
      </c>
      <c r="AC130" s="46">
        <f>'Adubos e corretivos'!J33</f>
        <v>0</v>
      </c>
      <c r="AD130" s="46">
        <f>'Adubos e corretivos'!K33</f>
        <v>0</v>
      </c>
      <c r="AE130" s="46">
        <f>'Adubos e corretivos'!L33</f>
        <v>0</v>
      </c>
      <c r="AF130" s="46">
        <f>'Adubos e corretivos'!M33</f>
        <v>0</v>
      </c>
      <c r="AG130" s="46">
        <f>'Adubos e corretivos'!N33</f>
        <v>0</v>
      </c>
      <c r="AH130" s="46">
        <f>'Adubos e corretivos'!O33</f>
        <v>0</v>
      </c>
      <c r="AI130" s="46">
        <f>'Adubos e corretivos'!P33</f>
        <v>0</v>
      </c>
      <c r="AJ130" s="46">
        <f>'Adubos e corretivos'!Q33</f>
        <v>0</v>
      </c>
      <c r="AK130" s="46">
        <f>'Adubos e corretivos'!R33</f>
        <v>0</v>
      </c>
      <c r="AL130" s="46">
        <f>'Adubos e corretivos'!S33</f>
        <v>0</v>
      </c>
      <c r="AM130" s="46">
        <f>'Adubos e corretivos'!T33</f>
        <v>0</v>
      </c>
      <c r="AN130" s="46">
        <f>'Adubos e corretivos'!U33</f>
        <v>0</v>
      </c>
      <c r="AO130" s="46">
        <f>'Adubos e corretivos'!V33</f>
        <v>0</v>
      </c>
    </row>
    <row r="131" spans="21:41" ht="20.25" customHeight="1" x14ac:dyDescent="0.25">
      <c r="U131" s="294" t="s">
        <v>261</v>
      </c>
      <c r="V131" s="46" t="str">
        <f>'Adubos e corretivos'!C34</f>
        <v>Esterco de galinha</v>
      </c>
      <c r="W131" s="46">
        <f>'Adubos e corretivos'!D34</f>
        <v>0</v>
      </c>
      <c r="X131" s="46">
        <f>'Adubos e corretivos'!E34</f>
        <v>3</v>
      </c>
      <c r="Y131" s="46">
        <f>'Adubos e corretivos'!F34</f>
        <v>1.31</v>
      </c>
      <c r="Z131" s="46">
        <f>'Adubos e corretivos'!G34</f>
        <v>3</v>
      </c>
      <c r="AA131" s="46">
        <f>'Adubos e corretivos'!H34</f>
        <v>1.665</v>
      </c>
      <c r="AB131" s="46">
        <f>'Adubos e corretivos'!I34</f>
        <v>2</v>
      </c>
      <c r="AC131" s="46">
        <f>'Adubos e corretivos'!J34</f>
        <v>0</v>
      </c>
      <c r="AD131" s="46">
        <f>'Adubos e corretivos'!K34</f>
        <v>0</v>
      </c>
      <c r="AE131" s="46">
        <f>'Adubos e corretivos'!L34</f>
        <v>0</v>
      </c>
      <c r="AF131" s="46">
        <f>'Adubos e corretivos'!M34</f>
        <v>0</v>
      </c>
      <c r="AG131" s="46">
        <f>'Adubos e corretivos'!N34</f>
        <v>0</v>
      </c>
      <c r="AH131" s="46">
        <f>'Adubos e corretivos'!O34</f>
        <v>0</v>
      </c>
      <c r="AI131" s="46">
        <f>'Adubos e corretivos'!P34</f>
        <v>0</v>
      </c>
      <c r="AJ131" s="46">
        <f>'Adubos e corretivos'!Q34</f>
        <v>0</v>
      </c>
      <c r="AK131" s="46">
        <f>'Adubos e corretivos'!R34</f>
        <v>0</v>
      </c>
      <c r="AL131" s="46">
        <f>'Adubos e corretivos'!S34</f>
        <v>0</v>
      </c>
      <c r="AM131" s="46">
        <f>'Adubos e corretivos'!T34</f>
        <v>0</v>
      </c>
      <c r="AN131" s="46">
        <f>'Adubos e corretivos'!U34</f>
        <v>0</v>
      </c>
      <c r="AO131" s="46">
        <f>'Adubos e corretivos'!V34</f>
        <v>0</v>
      </c>
    </row>
    <row r="132" spans="21:41" ht="20.25" customHeight="1" x14ac:dyDescent="0.25">
      <c r="U132" s="294"/>
      <c r="V132" s="46" t="str">
        <f>'Adubos e corretivos'!C35</f>
        <v>Esterco de gado</v>
      </c>
      <c r="W132" s="46">
        <f>'Adubos e corretivos'!D35</f>
        <v>0</v>
      </c>
      <c r="X132" s="46">
        <f>'Adubos e corretivos'!E35</f>
        <v>1</v>
      </c>
      <c r="Y132" s="46">
        <f>'Adubos e corretivos'!F35</f>
        <v>0.4366666666666667</v>
      </c>
      <c r="Z132" s="46">
        <f>'Adubos e corretivos'!G35</f>
        <v>1</v>
      </c>
      <c r="AA132" s="46">
        <f>'Adubos e corretivos'!H35</f>
        <v>0.55500000000000005</v>
      </c>
      <c r="AB132" s="46">
        <f>'Adubos e corretivos'!I35</f>
        <v>0.7</v>
      </c>
      <c r="AC132" s="46">
        <f>'Adubos e corretivos'!J35</f>
        <v>0</v>
      </c>
      <c r="AD132" s="46">
        <f>'Adubos e corretivos'!K35</f>
        <v>0</v>
      </c>
      <c r="AE132" s="46">
        <f>'Adubos e corretivos'!L35</f>
        <v>0</v>
      </c>
      <c r="AF132" s="46">
        <f>'Adubos e corretivos'!M35</f>
        <v>0</v>
      </c>
      <c r="AG132" s="46">
        <f>'Adubos e corretivos'!N35</f>
        <v>0</v>
      </c>
      <c r="AH132" s="46">
        <f>'Adubos e corretivos'!O35</f>
        <v>0</v>
      </c>
      <c r="AI132" s="46">
        <f>'Adubos e corretivos'!P35</f>
        <v>0</v>
      </c>
      <c r="AJ132" s="46">
        <f>'Adubos e corretivos'!Q35</f>
        <v>0</v>
      </c>
      <c r="AK132" s="46">
        <f>'Adubos e corretivos'!R35</f>
        <v>0</v>
      </c>
      <c r="AL132" s="46">
        <f>'Adubos e corretivos'!S35</f>
        <v>0</v>
      </c>
      <c r="AM132" s="46">
        <f>'Adubos e corretivos'!T35</f>
        <v>0</v>
      </c>
      <c r="AN132" s="46">
        <f>'Adubos e corretivos'!U35</f>
        <v>0</v>
      </c>
      <c r="AO132" s="46">
        <f>'Adubos e corretivos'!V35</f>
        <v>0</v>
      </c>
    </row>
    <row r="133" spans="21:41" ht="20.25" customHeight="1" x14ac:dyDescent="0.25">
      <c r="U133" s="294"/>
      <c r="V133" s="46" t="str">
        <f>'Adubos e corretivos'!C36</f>
        <v>Minhofertil (61 3361-6634)</v>
      </c>
      <c r="W133" s="46">
        <f>'Adubos e corretivos'!D36</f>
        <v>0</v>
      </c>
      <c r="X133" s="46">
        <f>'Adubos e corretivos'!E36</f>
        <v>1</v>
      </c>
      <c r="Y133" s="46">
        <f>'Adubos e corretivos'!F36</f>
        <v>0</v>
      </c>
      <c r="Z133" s="46">
        <f>'Adubos e corretivos'!G36</f>
        <v>0</v>
      </c>
      <c r="AA133" s="46">
        <f>'Adubos e corretivos'!H36</f>
        <v>0</v>
      </c>
      <c r="AB133" s="46">
        <f>'Adubos e corretivos'!I36</f>
        <v>0</v>
      </c>
      <c r="AC133" s="46">
        <f>'Adubos e corretivos'!J36</f>
        <v>0</v>
      </c>
      <c r="AD133" s="46">
        <f>'Adubos e corretivos'!K36</f>
        <v>0</v>
      </c>
      <c r="AE133" s="46">
        <f>'Adubos e corretivos'!L36</f>
        <v>0</v>
      </c>
      <c r="AF133" s="46">
        <f>'Adubos e corretivos'!M36</f>
        <v>0</v>
      </c>
      <c r="AG133" s="46">
        <f>'Adubos e corretivos'!N36</f>
        <v>0</v>
      </c>
      <c r="AH133" s="46">
        <f>'Adubos e corretivos'!O36</f>
        <v>0</v>
      </c>
      <c r="AI133" s="46">
        <f>'Adubos e corretivos'!P36</f>
        <v>0</v>
      </c>
      <c r="AJ133" s="46">
        <f>'Adubos e corretivos'!Q36</f>
        <v>0</v>
      </c>
      <c r="AK133" s="46">
        <f>'Adubos e corretivos'!R36</f>
        <v>0</v>
      </c>
      <c r="AL133" s="46">
        <f>'Adubos e corretivos'!S36</f>
        <v>0</v>
      </c>
      <c r="AM133" s="46">
        <f>'Adubos e corretivos'!T36</f>
        <v>0</v>
      </c>
      <c r="AN133" s="46">
        <f>'Adubos e corretivos'!U36</f>
        <v>0</v>
      </c>
      <c r="AO133" s="46">
        <f>'Adubos e corretivos'!V36</f>
        <v>0</v>
      </c>
    </row>
    <row r="134" spans="21:41" ht="20.25" customHeight="1" x14ac:dyDescent="0.25">
      <c r="U134" s="294"/>
      <c r="V134" s="46" t="str">
        <f>'Adubos e corretivos'!C37</f>
        <v>Composto ORGANICS (062 3247-3100)</v>
      </c>
      <c r="W134" s="46">
        <f>'Adubos e corretivos'!D37</f>
        <v>0</v>
      </c>
      <c r="X134" s="46">
        <f>'Adubos e corretivos'!E37</f>
        <v>3</v>
      </c>
      <c r="Y134" s="46">
        <f>'Adubos e corretivos'!F37</f>
        <v>2.63</v>
      </c>
      <c r="Z134" s="46">
        <f>'Adubos e corretivos'!G37</f>
        <v>6</v>
      </c>
      <c r="AA134" s="46">
        <f>'Adubos e corretivos'!H37</f>
        <v>3.32</v>
      </c>
      <c r="AB134" s="46">
        <f>'Adubos e corretivos'!I37</f>
        <v>4</v>
      </c>
      <c r="AC134" s="46">
        <f>'Adubos e corretivos'!J37</f>
        <v>0</v>
      </c>
      <c r="AD134" s="46">
        <f>'Adubos e corretivos'!K37</f>
        <v>0</v>
      </c>
      <c r="AE134" s="46">
        <f>'Adubos e corretivos'!L37</f>
        <v>0</v>
      </c>
      <c r="AF134" s="46">
        <f>'Adubos e corretivos'!M37</f>
        <v>0</v>
      </c>
      <c r="AG134" s="46">
        <f>'Adubos e corretivos'!N37</f>
        <v>0</v>
      </c>
      <c r="AH134" s="46">
        <f>'Adubos e corretivos'!O37</f>
        <v>0</v>
      </c>
      <c r="AI134" s="46">
        <f>'Adubos e corretivos'!P37</f>
        <v>0</v>
      </c>
      <c r="AJ134" s="46">
        <f>'Adubos e corretivos'!Q37</f>
        <v>0</v>
      </c>
      <c r="AK134" s="46">
        <f>'Adubos e corretivos'!R37</f>
        <v>0</v>
      </c>
      <c r="AL134" s="46">
        <f>'Adubos e corretivos'!S37</f>
        <v>0</v>
      </c>
      <c r="AM134" s="46">
        <f>'Adubos e corretivos'!T37</f>
        <v>0</v>
      </c>
      <c r="AN134" s="46">
        <f>'Adubos e corretivos'!U37</f>
        <v>0</v>
      </c>
      <c r="AO134" s="46">
        <f>'Adubos e corretivos'!V37</f>
        <v>0</v>
      </c>
    </row>
    <row r="135" spans="21:41" ht="20.25" customHeight="1" x14ac:dyDescent="0.25">
      <c r="U135" s="294"/>
      <c r="V135" s="46" t="str">
        <f>'Adubos e corretivos'!C38</f>
        <v>Composto Bioforte BONASA (061 9 9967-0863)</v>
      </c>
      <c r="W135" s="46">
        <f>'Adubos e corretivos'!D38</f>
        <v>0</v>
      </c>
      <c r="X135" s="46">
        <f>'Adubos e corretivos'!E38</f>
        <v>1.7</v>
      </c>
      <c r="Y135" s="46">
        <f>'Adubos e corretivos'!F38</f>
        <v>0.77800000000000002</v>
      </c>
      <c r="Z135" s="46">
        <f>'Adubos e corretivos'!G38</f>
        <v>1.8</v>
      </c>
      <c r="AA135" s="46">
        <f>'Adubos e corretivos'!H38</f>
        <v>0.93</v>
      </c>
      <c r="AB135" s="46">
        <f>'Adubos e corretivos'!I38</f>
        <v>1.1000000000000001</v>
      </c>
      <c r="AC135" s="46">
        <f>'Adubos e corretivos'!J38</f>
        <v>3.5</v>
      </c>
      <c r="AD135" s="46">
        <f>'Adubos e corretivos'!K38</f>
        <v>0.69</v>
      </c>
      <c r="AE135" s="46">
        <f>'Adubos e corretivos'!L38</f>
        <v>0.54</v>
      </c>
      <c r="AF135" s="46">
        <f>'Adubos e corretivos'!M38</f>
        <v>2.05E-5</v>
      </c>
      <c r="AG135" s="46">
        <f>'Adubos e corretivos'!N38</f>
        <v>4.2999999999999999E-4</v>
      </c>
      <c r="AH135" s="46">
        <f>'Adubos e corretivos'!O38</f>
        <v>0</v>
      </c>
      <c r="AI135" s="46">
        <f>'Adubos e corretivos'!P38</f>
        <v>4.6900000000000002E-4</v>
      </c>
      <c r="AJ135" s="46">
        <f>'Adubos e corretivos'!Q38</f>
        <v>0</v>
      </c>
      <c r="AK135" s="46">
        <f>'Adubos e corretivos'!R38</f>
        <v>5.9700000000000001E-5</v>
      </c>
      <c r="AL135" s="46">
        <f>'Adubos e corretivos'!S38</f>
        <v>0</v>
      </c>
      <c r="AM135" s="46">
        <f>'Adubos e corretivos'!T38</f>
        <v>0</v>
      </c>
      <c r="AN135" s="46">
        <f>'Adubos e corretivos'!U38</f>
        <v>0</v>
      </c>
      <c r="AO135" s="46">
        <f>'Adubos e corretivos'!V38</f>
        <v>0</v>
      </c>
    </row>
    <row r="136" spans="21:41" ht="20.25" customHeight="1" x14ac:dyDescent="0.25">
      <c r="U136" s="294"/>
      <c r="V136" s="46" t="str">
        <f>'Adubos e corretivos'!C39</f>
        <v>Composto Bioensima BONASA (061 9 9967-0863)</v>
      </c>
      <c r="W136" s="46">
        <f>'Adubos e corretivos'!D39</f>
        <v>0</v>
      </c>
      <c r="X136" s="46">
        <f>'Adubos e corretivos'!E39</f>
        <v>2.57</v>
      </c>
      <c r="Y136" s="46">
        <f>'Adubos e corretivos'!F39</f>
        <v>0.55500000000000005</v>
      </c>
      <c r="Z136" s="46">
        <f>'Adubos e corretivos'!G39</f>
        <v>1.3</v>
      </c>
      <c r="AA136" s="46">
        <f>'Adubos e corretivos'!H39</f>
        <v>1.25</v>
      </c>
      <c r="AB136" s="46">
        <f>'Adubos e corretivos'!I39</f>
        <v>1.5</v>
      </c>
      <c r="AC136" s="46">
        <f>'Adubos e corretivos'!J39</f>
        <v>4.3</v>
      </c>
      <c r="AD136" s="46">
        <f>'Adubos e corretivos'!K39</f>
        <v>0.6</v>
      </c>
      <c r="AE136" s="46">
        <f>'Adubos e corretivos'!L39</f>
        <v>0.6</v>
      </c>
      <c r="AF136" s="46">
        <f>'Adubos e corretivos'!M39</f>
        <v>9.2E-6</v>
      </c>
      <c r="AG136" s="46">
        <f>'Adubos e corretivos'!N39</f>
        <v>3.9199999999999999E-4</v>
      </c>
      <c r="AH136" s="46">
        <f>'Adubos e corretivos'!O39</f>
        <v>0</v>
      </c>
      <c r="AI136" s="46">
        <f>'Adubos e corretivos'!P39</f>
        <v>4.55E-4</v>
      </c>
      <c r="AJ136" s="46">
        <f>'Adubos e corretivos'!Q39</f>
        <v>0</v>
      </c>
      <c r="AK136" s="46">
        <f>'Adubos e corretivos'!R39</f>
        <v>7.7200000000000006E-5</v>
      </c>
      <c r="AL136" s="46">
        <f>'Adubos e corretivos'!S39</f>
        <v>0</v>
      </c>
      <c r="AM136" s="46">
        <f>'Adubos e corretivos'!T39</f>
        <v>0</v>
      </c>
      <c r="AN136" s="46">
        <f>'Adubos e corretivos'!U39</f>
        <v>0</v>
      </c>
      <c r="AO136" s="46">
        <f>'Adubos e corretivos'!V39</f>
        <v>0</v>
      </c>
    </row>
    <row r="137" spans="21:41" ht="20.25" customHeight="1" x14ac:dyDescent="0.25">
      <c r="U137" s="294"/>
      <c r="V137" s="46" t="str">
        <f>'Adubos e corretivos'!C40</f>
        <v>Composto Biojá BONASA (061 9 9967-0863)</v>
      </c>
      <c r="W137" s="46">
        <f>'Adubos e corretivos'!D40</f>
        <v>0</v>
      </c>
      <c r="X137" s="46">
        <f>'Adubos e corretivos'!E40</f>
        <v>1.8</v>
      </c>
      <c r="Y137" s="46">
        <f>'Adubos e corretivos'!F40</f>
        <v>0.62</v>
      </c>
      <c r="Z137" s="46">
        <f>'Adubos e corretivos'!G40</f>
        <v>1.4</v>
      </c>
      <c r="AA137" s="46">
        <f>'Adubos e corretivos'!H40</f>
        <v>1.34</v>
      </c>
      <c r="AB137" s="46">
        <f>'Adubos e corretivos'!I40</f>
        <v>1.6</v>
      </c>
      <c r="AC137" s="46">
        <f>'Adubos e corretivos'!J40</f>
        <v>2.4500000000000002</v>
      </c>
      <c r="AD137" s="46">
        <f>'Adubos e corretivos'!K40</f>
        <v>0.5</v>
      </c>
      <c r="AE137" s="46">
        <f>'Adubos e corretivos'!L40</f>
        <v>0.42</v>
      </c>
      <c r="AF137" s="46">
        <f>'Adubos e corretivos'!M40</f>
        <v>3.7400000000000001E-5</v>
      </c>
      <c r="AG137" s="46">
        <f>'Adubos e corretivos'!N40</f>
        <v>2.5399999999999999E-4</v>
      </c>
      <c r="AH137" s="46">
        <f>'Adubos e corretivos'!O40</f>
        <v>0</v>
      </c>
      <c r="AI137" s="46">
        <f>'Adubos e corretivos'!P40</f>
        <v>4.6500000000000003E-4</v>
      </c>
      <c r="AJ137" s="46">
        <f>'Adubos e corretivos'!Q40</f>
        <v>0</v>
      </c>
      <c r="AK137" s="46">
        <f>'Adubos e corretivos'!R40</f>
        <v>3.339E-3</v>
      </c>
      <c r="AL137" s="46">
        <f>'Adubos e corretivos'!S40</f>
        <v>0</v>
      </c>
      <c r="AM137" s="46">
        <f>'Adubos e corretivos'!T40</f>
        <v>0</v>
      </c>
      <c r="AN137" s="46">
        <f>'Adubos e corretivos'!U40</f>
        <v>0</v>
      </c>
      <c r="AO137" s="46">
        <f>'Adubos e corretivos'!V40</f>
        <v>0</v>
      </c>
    </row>
    <row r="138" spans="21:41" ht="20.25" customHeight="1" x14ac:dyDescent="0.25">
      <c r="U138" s="294"/>
      <c r="V138" s="46" t="str">
        <f>'Adubos e corretivos'!C41</f>
        <v>Bokashi ORGANICS (062 3247-3100)</v>
      </c>
      <c r="W138" s="46">
        <f>'Adubos e corretivos'!D41</f>
        <v>0</v>
      </c>
      <c r="X138" s="46">
        <f>'Adubos e corretivos'!E41</f>
        <v>3</v>
      </c>
      <c r="Y138" s="46">
        <f>'Adubos e corretivos'!F41</f>
        <v>2.19</v>
      </c>
      <c r="Z138" s="46">
        <f>'Adubos e corretivos'!G41</f>
        <v>5</v>
      </c>
      <c r="AA138" s="46">
        <f>'Adubos e corretivos'!H41</f>
        <v>3.32</v>
      </c>
      <c r="AB138" s="46">
        <f>'Adubos e corretivos'!I41</f>
        <v>4</v>
      </c>
      <c r="AC138" s="46">
        <f>'Adubos e corretivos'!J41</f>
        <v>0</v>
      </c>
      <c r="AD138" s="46">
        <f>'Adubos e corretivos'!K41</f>
        <v>0</v>
      </c>
      <c r="AE138" s="46">
        <f>'Adubos e corretivos'!L41</f>
        <v>0</v>
      </c>
      <c r="AF138" s="46">
        <f>'Adubos e corretivos'!M41</f>
        <v>0</v>
      </c>
      <c r="AG138" s="46">
        <f>'Adubos e corretivos'!N41</f>
        <v>0</v>
      </c>
      <c r="AH138" s="46">
        <f>'Adubos e corretivos'!O41</f>
        <v>0</v>
      </c>
      <c r="AI138" s="46">
        <f>'Adubos e corretivos'!P41</f>
        <v>0</v>
      </c>
      <c r="AJ138" s="46">
        <f>'Adubos e corretivos'!Q41</f>
        <v>0</v>
      </c>
      <c r="AK138" s="46">
        <f>'Adubos e corretivos'!R41</f>
        <v>0</v>
      </c>
      <c r="AL138" s="46">
        <f>'Adubos e corretivos'!S41</f>
        <v>0</v>
      </c>
      <c r="AM138" s="46">
        <f>'Adubos e corretivos'!T41</f>
        <v>0</v>
      </c>
      <c r="AN138" s="46">
        <f>'Adubos e corretivos'!U41</f>
        <v>0</v>
      </c>
      <c r="AO138" s="46">
        <f>'Adubos e corretivos'!V41</f>
        <v>0</v>
      </c>
    </row>
    <row r="139" spans="21:41" ht="20.25" customHeight="1" x14ac:dyDescent="0.25">
      <c r="U139" s="294"/>
      <c r="V139" s="46" t="str">
        <f>'Adubos e corretivos'!C42</f>
        <v>Bokashi Carlos (061 9 9681-3730)</v>
      </c>
      <c r="W139" s="46">
        <f>'Adubos e corretivos'!D42</f>
        <v>0</v>
      </c>
      <c r="X139" s="46">
        <f>'Adubos e corretivos'!E42</f>
        <v>3</v>
      </c>
      <c r="Y139" s="46">
        <f>'Adubos e corretivos'!F42</f>
        <v>2.63</v>
      </c>
      <c r="Z139" s="46">
        <f>'Adubos e corretivos'!G42</f>
        <v>6</v>
      </c>
      <c r="AA139" s="46">
        <f>'Adubos e corretivos'!H42</f>
        <v>3.32</v>
      </c>
      <c r="AB139" s="46">
        <f>'Adubos e corretivos'!I42</f>
        <v>4</v>
      </c>
      <c r="AC139" s="46">
        <f>'Adubos e corretivos'!J42</f>
        <v>0</v>
      </c>
      <c r="AD139" s="46">
        <f>'Adubos e corretivos'!K42</f>
        <v>0</v>
      </c>
      <c r="AE139" s="46">
        <f>'Adubos e corretivos'!L42</f>
        <v>0</v>
      </c>
      <c r="AF139" s="46">
        <f>'Adubos e corretivos'!M42</f>
        <v>0</v>
      </c>
      <c r="AG139" s="46">
        <f>'Adubos e corretivos'!N42</f>
        <v>0</v>
      </c>
      <c r="AH139" s="46">
        <f>'Adubos e corretivos'!O42</f>
        <v>0</v>
      </c>
      <c r="AI139" s="46">
        <f>'Adubos e corretivos'!P42</f>
        <v>0</v>
      </c>
      <c r="AJ139" s="46">
        <f>'Adubos e corretivos'!Q42</f>
        <v>0</v>
      </c>
      <c r="AK139" s="46">
        <f>'Adubos e corretivos'!R42</f>
        <v>0</v>
      </c>
      <c r="AL139" s="46">
        <f>'Adubos e corretivos'!S42</f>
        <v>0</v>
      </c>
      <c r="AM139" s="46">
        <f>'Adubos e corretivos'!T42</f>
        <v>0</v>
      </c>
      <c r="AN139" s="46">
        <f>'Adubos e corretivos'!U42</f>
        <v>0</v>
      </c>
      <c r="AO139" s="46">
        <f>'Adubos e corretivos'!V42</f>
        <v>0</v>
      </c>
    </row>
    <row r="140" spans="21:41" ht="20.25" customHeight="1" x14ac:dyDescent="0.25">
      <c r="U140" s="294"/>
      <c r="V140" s="46" t="str">
        <f>'Adubos e corretivos'!C43</f>
        <v>Bokashi Valdemar (9 9811-2414)</v>
      </c>
      <c r="W140" s="46">
        <f>'Adubos e corretivos'!D43</f>
        <v>0</v>
      </c>
      <c r="X140" s="46">
        <f>'Adubos e corretivos'!E43</f>
        <v>3</v>
      </c>
      <c r="Y140" s="46">
        <f>'Adubos e corretivos'!F43</f>
        <v>2.63</v>
      </c>
      <c r="Z140" s="46">
        <f>'Adubos e corretivos'!G43</f>
        <v>6</v>
      </c>
      <c r="AA140" s="46">
        <f>'Adubos e corretivos'!H43</f>
        <v>3.32</v>
      </c>
      <c r="AB140" s="46">
        <f>'Adubos e corretivos'!I43</f>
        <v>4</v>
      </c>
      <c r="AC140" s="46">
        <f>'Adubos e corretivos'!J43</f>
        <v>0</v>
      </c>
      <c r="AD140" s="46">
        <f>'Adubos e corretivos'!K43</f>
        <v>0</v>
      </c>
      <c r="AE140" s="46">
        <f>'Adubos e corretivos'!L43</f>
        <v>0</v>
      </c>
      <c r="AF140" s="46">
        <f>'Adubos e corretivos'!M43</f>
        <v>0</v>
      </c>
      <c r="AG140" s="46">
        <f>'Adubos e corretivos'!N43</f>
        <v>0</v>
      </c>
      <c r="AH140" s="46">
        <f>'Adubos e corretivos'!O43</f>
        <v>0</v>
      </c>
      <c r="AI140" s="46">
        <f>'Adubos e corretivos'!P43</f>
        <v>0</v>
      </c>
      <c r="AJ140" s="46">
        <f>'Adubos e corretivos'!Q43</f>
        <v>0</v>
      </c>
      <c r="AK140" s="46">
        <f>'Adubos e corretivos'!R43</f>
        <v>0</v>
      </c>
      <c r="AL140" s="46">
        <f>'Adubos e corretivos'!S43</f>
        <v>0</v>
      </c>
      <c r="AM140" s="46">
        <f>'Adubos e corretivos'!T43</f>
        <v>0</v>
      </c>
      <c r="AN140" s="46">
        <f>'Adubos e corretivos'!U43</f>
        <v>0</v>
      </c>
      <c r="AO140" s="46">
        <f>'Adubos e corretivos'!V43</f>
        <v>0</v>
      </c>
    </row>
    <row r="141" spans="21:41" ht="20.25" customHeight="1" x14ac:dyDescent="0.25">
      <c r="U141" s="294"/>
      <c r="V141" s="46" t="str">
        <f>'Adubos e corretivos'!C44</f>
        <v>Biobokashi Farelado FERTIBIO (61 9827-4439)</v>
      </c>
      <c r="W141" s="46">
        <f>'Adubos e corretivos'!D44</f>
        <v>0</v>
      </c>
      <c r="X141" s="46">
        <f>'Adubos e corretivos'!E44</f>
        <v>0</v>
      </c>
      <c r="Y141" s="46">
        <f>'Adubos e corretivos'!F44</f>
        <v>0</v>
      </c>
      <c r="Z141" s="46">
        <f>'Adubos e corretivos'!G44</f>
        <v>0</v>
      </c>
      <c r="AA141" s="46">
        <f>'Adubos e corretivos'!H44</f>
        <v>0</v>
      </c>
      <c r="AB141" s="46">
        <f>'Adubos e corretivos'!I44</f>
        <v>0</v>
      </c>
      <c r="AC141" s="46">
        <f>'Adubos e corretivos'!J44</f>
        <v>0</v>
      </c>
      <c r="AD141" s="46">
        <f>'Adubos e corretivos'!K44</f>
        <v>0</v>
      </c>
      <c r="AE141" s="46">
        <f>'Adubos e corretivos'!L44</f>
        <v>0</v>
      </c>
      <c r="AF141" s="46">
        <f>'Adubos e corretivos'!M44</f>
        <v>0</v>
      </c>
      <c r="AG141" s="46">
        <f>'Adubos e corretivos'!N44</f>
        <v>0</v>
      </c>
      <c r="AH141" s="46">
        <f>'Adubos e corretivos'!O44</f>
        <v>0</v>
      </c>
      <c r="AI141" s="46">
        <f>'Adubos e corretivos'!P44</f>
        <v>0</v>
      </c>
      <c r="AJ141" s="46">
        <f>'Adubos e corretivos'!Q44</f>
        <v>0</v>
      </c>
      <c r="AK141" s="46">
        <f>'Adubos e corretivos'!R44</f>
        <v>0</v>
      </c>
      <c r="AL141" s="46">
        <f>'Adubos e corretivos'!S44</f>
        <v>0</v>
      </c>
      <c r="AM141" s="46">
        <f>'Adubos e corretivos'!T44</f>
        <v>0</v>
      </c>
      <c r="AN141" s="46">
        <f>'Adubos e corretivos'!U44</f>
        <v>0</v>
      </c>
      <c r="AO141" s="46">
        <f>'Adubos e corretivos'!V44</f>
        <v>0</v>
      </c>
    </row>
    <row r="142" spans="21:41" ht="20.25" customHeight="1" x14ac:dyDescent="0.25">
      <c r="U142" s="294"/>
      <c r="V142" s="46" t="str">
        <f>'Adubos e corretivos'!C45</f>
        <v>Torta de mamona Super thorg (061 9 9827-4439)</v>
      </c>
      <c r="W142" s="46">
        <f>'Adubos e corretivos'!D45</f>
        <v>0</v>
      </c>
      <c r="X142" s="46">
        <f>'Adubos e corretivos'!E45</f>
        <v>9.1</v>
      </c>
      <c r="Y142" s="46">
        <f>'Adubos e corretivos'!F45</f>
        <v>0</v>
      </c>
      <c r="Z142" s="46">
        <f>'Adubos e corretivos'!G45</f>
        <v>0</v>
      </c>
      <c r="AA142" s="46">
        <f>'Adubos e corretivos'!H45</f>
        <v>0</v>
      </c>
      <c r="AB142" s="46">
        <f>'Adubos e corretivos'!I45</f>
        <v>0</v>
      </c>
      <c r="AC142" s="46">
        <f>'Adubos e corretivos'!J45</f>
        <v>0</v>
      </c>
      <c r="AD142" s="46">
        <f>'Adubos e corretivos'!K45</f>
        <v>0</v>
      </c>
      <c r="AE142" s="46">
        <f>'Adubos e corretivos'!L45</f>
        <v>0</v>
      </c>
      <c r="AF142" s="46">
        <f>'Adubos e corretivos'!M45</f>
        <v>0</v>
      </c>
      <c r="AG142" s="46">
        <f>'Adubos e corretivos'!N45</f>
        <v>0</v>
      </c>
      <c r="AH142" s="46">
        <f>'Adubos e corretivos'!O45</f>
        <v>0</v>
      </c>
      <c r="AI142" s="46">
        <f>'Adubos e corretivos'!P45</f>
        <v>0</v>
      </c>
      <c r="AJ142" s="46">
        <f>'Adubos e corretivos'!Q45</f>
        <v>0</v>
      </c>
      <c r="AK142" s="46">
        <f>'Adubos e corretivos'!R45</f>
        <v>0</v>
      </c>
      <c r="AL142" s="46">
        <f>'Adubos e corretivos'!S45</f>
        <v>0</v>
      </c>
      <c r="AM142" s="46">
        <f>'Adubos e corretivos'!T45</f>
        <v>0</v>
      </c>
      <c r="AN142" s="46">
        <f>'Adubos e corretivos'!U45</f>
        <v>0</v>
      </c>
      <c r="AO142" s="46">
        <f>'Adubos e corretivos'!V45</f>
        <v>0</v>
      </c>
    </row>
    <row r="143" spans="21:41" ht="20.25" customHeight="1" x14ac:dyDescent="0.25">
      <c r="U143" s="294"/>
      <c r="V143" s="46" t="str">
        <f>'Adubos e corretivos'!C46</f>
        <v>Torta de mamona Nutrisafra (062 3310-8133)</v>
      </c>
      <c r="W143" s="46">
        <f>'Adubos e corretivos'!D46</f>
        <v>0</v>
      </c>
      <c r="X143" s="46">
        <f>'Adubos e corretivos'!E46</f>
        <v>5</v>
      </c>
      <c r="Y143" s="46">
        <f>'Adubos e corretivos'!F46</f>
        <v>0</v>
      </c>
      <c r="Z143" s="46">
        <f>'Adubos e corretivos'!G46</f>
        <v>0</v>
      </c>
      <c r="AA143" s="46">
        <f>'Adubos e corretivos'!H46</f>
        <v>0</v>
      </c>
      <c r="AB143" s="46">
        <f>'Adubos e corretivos'!I46</f>
        <v>0</v>
      </c>
      <c r="AC143" s="46">
        <f>'Adubos e corretivos'!J46</f>
        <v>0</v>
      </c>
      <c r="AD143" s="46">
        <f>'Adubos e corretivos'!K46</f>
        <v>0</v>
      </c>
      <c r="AE143" s="46">
        <f>'Adubos e corretivos'!L46</f>
        <v>0</v>
      </c>
      <c r="AF143" s="46">
        <f>'Adubos e corretivos'!M46</f>
        <v>0</v>
      </c>
      <c r="AG143" s="46">
        <f>'Adubos e corretivos'!N46</f>
        <v>0</v>
      </c>
      <c r="AH143" s="46">
        <f>'Adubos e corretivos'!O46</f>
        <v>0</v>
      </c>
      <c r="AI143" s="46">
        <f>'Adubos e corretivos'!P46</f>
        <v>0</v>
      </c>
      <c r="AJ143" s="46">
        <f>'Adubos e corretivos'!Q46</f>
        <v>0</v>
      </c>
      <c r="AK143" s="46">
        <f>'Adubos e corretivos'!R46</f>
        <v>0</v>
      </c>
      <c r="AL143" s="46">
        <f>'Adubos e corretivos'!S46</f>
        <v>0</v>
      </c>
      <c r="AM143" s="46">
        <f>'Adubos e corretivos'!T46</f>
        <v>0</v>
      </c>
      <c r="AN143" s="46">
        <f>'Adubos e corretivos'!U46</f>
        <v>0</v>
      </c>
      <c r="AO143" s="46">
        <f>'Adubos e corretivos'!V46</f>
        <v>0</v>
      </c>
    </row>
    <row r="144" spans="21:41" ht="20.25" customHeight="1" x14ac:dyDescent="0.25">
      <c r="U144" s="294"/>
      <c r="V144" s="46" t="str">
        <f>'Adubos e corretivos'!C47</f>
        <v>Torta de mamona Vitaplan (061 3234-8485)</v>
      </c>
      <c r="W144" s="46">
        <f>'Adubos e corretivos'!D47</f>
        <v>0</v>
      </c>
      <c r="X144" s="46">
        <f>'Adubos e corretivos'!E47</f>
        <v>8.5</v>
      </c>
      <c r="Y144" s="46">
        <f>'Adubos e corretivos'!F47</f>
        <v>0</v>
      </c>
      <c r="Z144" s="46">
        <f>'Adubos e corretivos'!G47</f>
        <v>0</v>
      </c>
      <c r="AA144" s="46">
        <f>'Adubos e corretivos'!H47</f>
        <v>0</v>
      </c>
      <c r="AB144" s="46">
        <f>'Adubos e corretivos'!I47</f>
        <v>0</v>
      </c>
      <c r="AC144" s="46">
        <f>'Adubos e corretivos'!J47</f>
        <v>0</v>
      </c>
      <c r="AD144" s="46">
        <f>'Adubos e corretivos'!K47</f>
        <v>0</v>
      </c>
      <c r="AE144" s="46">
        <f>'Adubos e corretivos'!L47</f>
        <v>0</v>
      </c>
      <c r="AF144" s="46">
        <f>'Adubos e corretivos'!M47</f>
        <v>0</v>
      </c>
      <c r="AG144" s="46">
        <f>'Adubos e corretivos'!N47</f>
        <v>0</v>
      </c>
      <c r="AH144" s="46">
        <f>'Adubos e corretivos'!O47</f>
        <v>0</v>
      </c>
      <c r="AI144" s="46">
        <f>'Adubos e corretivos'!P47</f>
        <v>0</v>
      </c>
      <c r="AJ144" s="46">
        <f>'Adubos e corretivos'!Q47</f>
        <v>0</v>
      </c>
      <c r="AK144" s="46">
        <f>'Adubos e corretivos'!R47</f>
        <v>0</v>
      </c>
      <c r="AL144" s="46">
        <f>'Adubos e corretivos'!S47</f>
        <v>0</v>
      </c>
      <c r="AM144" s="46">
        <f>'Adubos e corretivos'!T47</f>
        <v>0</v>
      </c>
      <c r="AN144" s="46">
        <f>'Adubos e corretivos'!U47</f>
        <v>0</v>
      </c>
      <c r="AO144" s="46">
        <f>'Adubos e corretivos'!V47</f>
        <v>0</v>
      </c>
    </row>
    <row r="145" spans="11:41" ht="20.25" customHeight="1" x14ac:dyDescent="0.25">
      <c r="U145" s="294"/>
      <c r="V145" s="46" t="str">
        <f>'Adubos e corretivos'!C48</f>
        <v>Farinha de osso</v>
      </c>
      <c r="W145" s="46">
        <f>'Adubos e corretivos'!D48</f>
        <v>2.1</v>
      </c>
      <c r="X145" s="46">
        <f>'Adubos e corretivos'!E48</f>
        <v>0</v>
      </c>
      <c r="Y145" s="46">
        <f>'Adubos e corretivos'!F48</f>
        <v>18.2</v>
      </c>
      <c r="Z145" s="46">
        <f>'Adubos e corretivos'!G48</f>
        <v>42</v>
      </c>
      <c r="AA145" s="46">
        <f>'Adubos e corretivos'!H48</f>
        <v>0</v>
      </c>
      <c r="AB145" s="46">
        <f>'Adubos e corretivos'!I48</f>
        <v>0</v>
      </c>
      <c r="AC145" s="46">
        <f>'Adubos e corretivos'!J48</f>
        <v>39.5</v>
      </c>
      <c r="AD145" s="46">
        <f>'Adubos e corretivos'!K48</f>
        <v>0</v>
      </c>
      <c r="AE145" s="46">
        <f>'Adubos e corretivos'!L48</f>
        <v>0</v>
      </c>
      <c r="AF145" s="46">
        <f>'Adubos e corretivos'!M48</f>
        <v>0</v>
      </c>
      <c r="AG145" s="46">
        <f>'Adubos e corretivos'!N48</f>
        <v>0</v>
      </c>
      <c r="AH145" s="46">
        <f>'Adubos e corretivos'!O48</f>
        <v>0</v>
      </c>
      <c r="AI145" s="46">
        <f>'Adubos e corretivos'!P48</f>
        <v>0</v>
      </c>
      <c r="AJ145" s="46">
        <f>'Adubos e corretivos'!Q48</f>
        <v>0</v>
      </c>
      <c r="AK145" s="46">
        <f>'Adubos e corretivos'!R48</f>
        <v>0</v>
      </c>
      <c r="AL145" s="46">
        <f>'Adubos e corretivos'!S48</f>
        <v>0</v>
      </c>
      <c r="AM145" s="46">
        <f>'Adubos e corretivos'!T48</f>
        <v>7.5</v>
      </c>
      <c r="AN145" s="46">
        <f>'Adubos e corretivos'!U48</f>
        <v>0</v>
      </c>
      <c r="AO145" s="46">
        <f>'Adubos e corretivos'!V48</f>
        <v>0</v>
      </c>
    </row>
    <row r="146" spans="11:41" ht="20.25" customHeight="1" x14ac:dyDescent="0.25">
      <c r="U146" s="294"/>
      <c r="V146" s="46" t="str">
        <f>'Adubos e corretivos'!C49</f>
        <v>Termofosfato YOORIN</v>
      </c>
      <c r="W146" s="46">
        <f>'Adubos e corretivos'!D49</f>
        <v>2.3250000000000002</v>
      </c>
      <c r="X146" s="46">
        <f>'Adubos e corretivos'!E49</f>
        <v>0</v>
      </c>
      <c r="Y146" s="46">
        <f>'Adubos e corretivos'!F49</f>
        <v>7.6440000000000001</v>
      </c>
      <c r="Z146" s="46">
        <f>'Adubos e corretivos'!G49</f>
        <v>17.5</v>
      </c>
      <c r="AA146" s="46">
        <f>'Adubos e corretivos'!H49</f>
        <v>0</v>
      </c>
      <c r="AB146" s="46">
        <f>'Adubos e corretivos'!I49</f>
        <v>0</v>
      </c>
      <c r="AC146" s="46">
        <f>'Adubos e corretivos'!J49</f>
        <v>18</v>
      </c>
      <c r="AD146" s="46">
        <f>'Adubos e corretivos'!K49</f>
        <v>7</v>
      </c>
      <c r="AE146" s="46">
        <f>'Adubos e corretivos'!L49</f>
        <v>0</v>
      </c>
      <c r="AF146" s="46">
        <f>'Adubos e corretivos'!M49</f>
        <v>0.1</v>
      </c>
      <c r="AG146" s="46">
        <f>'Adubos e corretivos'!N49</f>
        <v>0.3</v>
      </c>
      <c r="AH146" s="46">
        <f>'Adubos e corretivos'!O49</f>
        <v>5.5</v>
      </c>
      <c r="AI146" s="46">
        <f>'Adubos e corretivos'!P49</f>
        <v>0.5</v>
      </c>
      <c r="AJ146" s="46">
        <f>'Adubos e corretivos'!Q49</f>
        <v>0</v>
      </c>
      <c r="AK146" s="46">
        <f>'Adubos e corretivos'!R49</f>
        <v>0</v>
      </c>
      <c r="AL146" s="46">
        <f>'Adubos e corretivos'!S49</f>
        <v>10</v>
      </c>
      <c r="AM146" s="46">
        <f>'Adubos e corretivos'!T49</f>
        <v>0</v>
      </c>
      <c r="AN146" s="46">
        <f>'Adubos e corretivos'!U49</f>
        <v>0</v>
      </c>
      <c r="AO146" s="46">
        <f>'Adubos e corretivos'!V49</f>
        <v>0</v>
      </c>
    </row>
    <row r="147" spans="11:41" ht="20.25" customHeight="1" x14ac:dyDescent="0.25">
      <c r="U147" s="294"/>
      <c r="V147" s="46" t="str">
        <f>'Adubos e corretivos'!C50</f>
        <v>Kmag</v>
      </c>
      <c r="W147" s="46">
        <f>'Adubos e corretivos'!D50</f>
        <v>2.9</v>
      </c>
      <c r="X147" s="46">
        <f>'Adubos e corretivos'!E50</f>
        <v>0</v>
      </c>
      <c r="Y147" s="46">
        <f>'Adubos e corretivos'!F50</f>
        <v>0</v>
      </c>
      <c r="Z147" s="46">
        <f>'Adubos e corretivos'!G50</f>
        <v>0</v>
      </c>
      <c r="AA147" s="46">
        <f>'Adubos e corretivos'!H50</f>
        <v>17.45</v>
      </c>
      <c r="AB147" s="46">
        <f>'Adubos e corretivos'!I50</f>
        <v>21</v>
      </c>
      <c r="AC147" s="46">
        <f>'Adubos e corretivos'!J50</f>
        <v>10</v>
      </c>
      <c r="AD147" s="46">
        <f>'Adubos e corretivos'!K50</f>
        <v>21</v>
      </c>
      <c r="AE147" s="46">
        <f>'Adubos e corretivos'!L50</f>
        <v>0</v>
      </c>
      <c r="AF147" s="46">
        <f>'Adubos e corretivos'!M50</f>
        <v>0</v>
      </c>
      <c r="AG147" s="46">
        <f>'Adubos e corretivos'!N50</f>
        <v>0</v>
      </c>
      <c r="AH147" s="46">
        <f>'Adubos e corretivos'!O50</f>
        <v>0</v>
      </c>
      <c r="AI147" s="46">
        <f>'Adubos e corretivos'!P50</f>
        <v>0</v>
      </c>
      <c r="AJ147" s="46">
        <f>'Adubos e corretivos'!Q50</f>
        <v>0</v>
      </c>
      <c r="AK147" s="46">
        <f>'Adubos e corretivos'!R50</f>
        <v>0</v>
      </c>
      <c r="AL147" s="46">
        <f>'Adubos e corretivos'!S50</f>
        <v>0</v>
      </c>
      <c r="AM147" s="46">
        <f>'Adubos e corretivos'!T50</f>
        <v>0</v>
      </c>
      <c r="AN147" s="46">
        <f>'Adubos e corretivos'!U50</f>
        <v>0</v>
      </c>
      <c r="AO147" s="46">
        <f>'Adubos e corretivos'!V50</f>
        <v>0</v>
      </c>
    </row>
    <row r="148" spans="11:41" ht="20.25" customHeight="1" x14ac:dyDescent="0.25">
      <c r="U148" s="294"/>
      <c r="V148" s="46" t="str">
        <f>'Adubos e corretivos'!C51</f>
        <v>Algas marinhas Algen</v>
      </c>
      <c r="W148" s="46">
        <f>'Adubos e corretivos'!D51</f>
        <v>1.96</v>
      </c>
      <c r="X148" s="46">
        <f>'Adubos e corretivos'!E51</f>
        <v>0</v>
      </c>
      <c r="Y148" s="46">
        <f>'Adubos e corretivos'!F51</f>
        <v>0</v>
      </c>
      <c r="Z148" s="46">
        <f>'Adubos e corretivos'!G51</f>
        <v>0</v>
      </c>
      <c r="AA148" s="46">
        <f>'Adubos e corretivos'!H51</f>
        <v>0</v>
      </c>
      <c r="AB148" s="46">
        <f>'Adubos e corretivos'!I51</f>
        <v>0</v>
      </c>
      <c r="AC148" s="46">
        <f>'Adubos e corretivos'!J51</f>
        <v>32</v>
      </c>
      <c r="AD148" s="46">
        <f>'Adubos e corretivos'!K51</f>
        <v>2</v>
      </c>
      <c r="AE148" s="46">
        <f>'Adubos e corretivos'!L51</f>
        <v>0</v>
      </c>
      <c r="AF148" s="46">
        <f>'Adubos e corretivos'!M51</f>
        <v>0</v>
      </c>
      <c r="AG148" s="46">
        <f>'Adubos e corretivos'!N51</f>
        <v>0</v>
      </c>
      <c r="AH148" s="46">
        <f>'Adubos e corretivos'!O51</f>
        <v>0</v>
      </c>
      <c r="AI148" s="46">
        <f>'Adubos e corretivos'!P51</f>
        <v>0</v>
      </c>
      <c r="AJ148" s="46">
        <f>'Adubos e corretivos'!Q51</f>
        <v>0</v>
      </c>
      <c r="AK148" s="46">
        <f>'Adubos e corretivos'!R51</f>
        <v>0</v>
      </c>
      <c r="AL148" s="46">
        <f>'Adubos e corretivos'!S51</f>
        <v>0</v>
      </c>
      <c r="AM148" s="46">
        <f>'Adubos e corretivos'!T51</f>
        <v>0</v>
      </c>
      <c r="AN148" s="46">
        <f>'Adubos e corretivos'!U51</f>
        <v>0</v>
      </c>
      <c r="AO148" s="46">
        <f>'Adubos e corretivos'!V51</f>
        <v>0</v>
      </c>
    </row>
    <row r="149" spans="11:41" ht="20.25" customHeight="1" x14ac:dyDescent="0.25">
      <c r="U149" s="294"/>
      <c r="V149" s="46" t="str">
        <f>'Adubos e corretivos'!C52</f>
        <v>Torta de mamona Hortibraz</v>
      </c>
      <c r="W149" s="46">
        <f>'Adubos e corretivos'!D52</f>
        <v>1.52</v>
      </c>
      <c r="X149" s="46">
        <f>'Adubos e corretivos'!E52</f>
        <v>6</v>
      </c>
      <c r="Y149" s="46">
        <f>'Adubos e corretivos'!F52</f>
        <v>0</v>
      </c>
      <c r="Z149" s="46">
        <f>'Adubos e corretivos'!G52</f>
        <v>0</v>
      </c>
      <c r="AA149" s="46">
        <f>'Adubos e corretivos'!H52</f>
        <v>0</v>
      </c>
      <c r="AB149" s="46">
        <f>'Adubos e corretivos'!I52</f>
        <v>0</v>
      </c>
      <c r="AC149" s="46">
        <f>'Adubos e corretivos'!J52</f>
        <v>0</v>
      </c>
      <c r="AD149" s="46">
        <f>'Adubos e corretivos'!K52</f>
        <v>0</v>
      </c>
      <c r="AE149" s="46">
        <f>'Adubos e corretivos'!L52</f>
        <v>0</v>
      </c>
      <c r="AF149" s="46">
        <f>'Adubos e corretivos'!M52</f>
        <v>0</v>
      </c>
      <c r="AG149" s="46">
        <f>'Adubos e corretivos'!N52</f>
        <v>0</v>
      </c>
      <c r="AH149" s="46">
        <f>'Adubos e corretivos'!O52</f>
        <v>0</v>
      </c>
      <c r="AI149" s="46">
        <f>'Adubos e corretivos'!P52</f>
        <v>0</v>
      </c>
      <c r="AJ149" s="46">
        <f>'Adubos e corretivos'!Q52</f>
        <v>0</v>
      </c>
      <c r="AK149" s="46">
        <f>'Adubos e corretivos'!R52</f>
        <v>0</v>
      </c>
      <c r="AL149" s="46">
        <f>'Adubos e corretivos'!S52</f>
        <v>0</v>
      </c>
      <c r="AM149" s="46">
        <f>'Adubos e corretivos'!T52</f>
        <v>0</v>
      </c>
      <c r="AN149" s="46">
        <f>'Adubos e corretivos'!U52</f>
        <v>0</v>
      </c>
      <c r="AO149" s="46">
        <f>'Adubos e corretivos'!V52</f>
        <v>0</v>
      </c>
    </row>
    <row r="150" spans="11:41" ht="20.25" customHeight="1" x14ac:dyDescent="0.25">
      <c r="U150" s="294"/>
      <c r="V150" s="46" t="str">
        <f>'Adubos e corretivos'!C53</f>
        <v>Sulfato de magnésio</v>
      </c>
      <c r="W150" s="46">
        <f>'Adubos e corretivos'!D53</f>
        <v>1.6</v>
      </c>
      <c r="X150" s="46">
        <f>'Adubos e corretivos'!E53</f>
        <v>0</v>
      </c>
      <c r="Y150" s="46">
        <f>'Adubos e corretivos'!F53</f>
        <v>0</v>
      </c>
      <c r="Z150" s="46">
        <f>'Adubos e corretivos'!G53</f>
        <v>0</v>
      </c>
      <c r="AA150" s="46">
        <f>'Adubos e corretivos'!H53</f>
        <v>0</v>
      </c>
      <c r="AB150" s="46">
        <f>'Adubos e corretivos'!I53</f>
        <v>0</v>
      </c>
      <c r="AC150" s="46">
        <f>'Adubos e corretivos'!J53</f>
        <v>0</v>
      </c>
      <c r="AD150" s="46">
        <f>'Adubos e corretivos'!K53</f>
        <v>9.5</v>
      </c>
      <c r="AE150" s="46">
        <f>'Adubos e corretivos'!L53</f>
        <v>12</v>
      </c>
      <c r="AF150" s="46">
        <f>'Adubos e corretivos'!M53</f>
        <v>0</v>
      </c>
      <c r="AG150" s="46">
        <f>'Adubos e corretivos'!N53</f>
        <v>0</v>
      </c>
      <c r="AH150" s="46">
        <f>'Adubos e corretivos'!O53</f>
        <v>0</v>
      </c>
      <c r="AI150" s="46">
        <f>'Adubos e corretivos'!P53</f>
        <v>0</v>
      </c>
      <c r="AJ150" s="46">
        <f>'Adubos e corretivos'!Q53</f>
        <v>0</v>
      </c>
      <c r="AK150" s="46">
        <f>'Adubos e corretivos'!R53</f>
        <v>0</v>
      </c>
      <c r="AL150" s="46">
        <f>'Adubos e corretivos'!S53</f>
        <v>0</v>
      </c>
      <c r="AM150" s="46">
        <f>'Adubos e corretivos'!T53</f>
        <v>0</v>
      </c>
      <c r="AN150" s="46">
        <f>'Adubos e corretivos'!U53</f>
        <v>0</v>
      </c>
      <c r="AO150" s="46">
        <f>'Adubos e corretivos'!V53</f>
        <v>0</v>
      </c>
    </row>
    <row r="151" spans="11:41" ht="20.25" customHeight="1" x14ac:dyDescent="0.25">
      <c r="U151" s="293" t="s">
        <v>139</v>
      </c>
      <c r="V151" s="46" t="str">
        <f>'Adubos e corretivos'!C54</f>
        <v>EkoSil</v>
      </c>
      <c r="W151" s="46">
        <f>'Adubos e corretivos'!D54</f>
        <v>0</v>
      </c>
      <c r="X151" s="46">
        <f>'Adubos e corretivos'!E54</f>
        <v>0</v>
      </c>
      <c r="Y151" s="46">
        <f>'Adubos e corretivos'!F54</f>
        <v>0</v>
      </c>
      <c r="Z151" s="46">
        <f>'Adubos e corretivos'!G54</f>
        <v>0</v>
      </c>
      <c r="AA151" s="46">
        <f>'Adubos e corretivos'!H54</f>
        <v>6.65</v>
      </c>
      <c r="AB151" s="46">
        <f>'Adubos e corretivos'!I54</f>
        <v>8</v>
      </c>
      <c r="AC151" s="46">
        <f>'Adubos e corretivos'!J54</f>
        <v>1.5</v>
      </c>
      <c r="AD151" s="46">
        <f>'Adubos e corretivos'!K54</f>
        <v>0.2</v>
      </c>
      <c r="AE151" s="46">
        <f>'Adubos e corretivos'!L54</f>
        <v>0</v>
      </c>
      <c r="AF151" s="46">
        <f>'Adubos e corretivos'!M54</f>
        <v>6.4999999999999994E-5</v>
      </c>
      <c r="AG151" s="46">
        <f>'Adubos e corretivos'!N54</f>
        <v>6.4999999999999994E-5</v>
      </c>
      <c r="AH151" s="46">
        <f>'Adubos e corretivos'!O54</f>
        <v>1.25E-4</v>
      </c>
      <c r="AI151" s="46">
        <f>'Adubos e corretivos'!P54</f>
        <v>1.4E-5</v>
      </c>
      <c r="AJ151" s="46">
        <f>'Adubos e corretivos'!Q54</f>
        <v>7.9999999999999996E-6</v>
      </c>
      <c r="AK151" s="46">
        <f>'Adubos e corretivos'!R54</f>
        <v>0</v>
      </c>
      <c r="AL151" s="46">
        <f>'Adubos e corretivos'!S54</f>
        <v>54</v>
      </c>
      <c r="AM151" s="46">
        <f>'Adubos e corretivos'!T54</f>
        <v>0</v>
      </c>
      <c r="AN151" s="46">
        <f>'Adubos e corretivos'!U54</f>
        <v>0</v>
      </c>
      <c r="AO151" s="46">
        <f>'Adubos e corretivos'!V54</f>
        <v>0</v>
      </c>
    </row>
    <row r="152" spans="11:41" ht="20.25" customHeight="1" x14ac:dyDescent="0.25">
      <c r="U152" s="293"/>
      <c r="V152" s="46" t="str">
        <f>'Adubos e corretivos'!C55</f>
        <v>FNR Fertipar ((061 3642-2080)</v>
      </c>
      <c r="W152" s="46">
        <f>'Adubos e corretivos'!D55</f>
        <v>0</v>
      </c>
      <c r="X152" s="46">
        <f>'Adubos e corretivos'!E55</f>
        <v>0</v>
      </c>
      <c r="Y152" s="46">
        <f>'Adubos e corretivos'!F55</f>
        <v>12.67</v>
      </c>
      <c r="Z152" s="46">
        <f>'Adubos e corretivos'!G55</f>
        <v>29</v>
      </c>
      <c r="AA152" s="46">
        <f>'Adubos e corretivos'!H55</f>
        <v>0</v>
      </c>
      <c r="AB152" s="46">
        <f>'Adubos e corretivos'!I55</f>
        <v>0</v>
      </c>
      <c r="AC152" s="46">
        <f>'Adubos e corretivos'!J55</f>
        <v>0</v>
      </c>
      <c r="AD152" s="46">
        <f>'Adubos e corretivos'!K55</f>
        <v>0</v>
      </c>
      <c r="AE152" s="46">
        <f>'Adubos e corretivos'!L55</f>
        <v>0</v>
      </c>
      <c r="AF152" s="46">
        <f>'Adubos e corretivos'!M55</f>
        <v>0</v>
      </c>
      <c r="AG152" s="46">
        <f>'Adubos e corretivos'!N55</f>
        <v>0</v>
      </c>
      <c r="AH152" s="46">
        <f>'Adubos e corretivos'!O55</f>
        <v>0</v>
      </c>
      <c r="AI152" s="46">
        <f>'Adubos e corretivos'!P55</f>
        <v>0</v>
      </c>
      <c r="AJ152" s="46">
        <f>'Adubos e corretivos'!Q55</f>
        <v>0</v>
      </c>
      <c r="AK152" s="46">
        <f>'Adubos e corretivos'!R55</f>
        <v>0</v>
      </c>
      <c r="AL152" s="46">
        <f>'Adubos e corretivos'!S55</f>
        <v>0</v>
      </c>
      <c r="AM152" s="46">
        <f>'Adubos e corretivos'!T55</f>
        <v>0</v>
      </c>
      <c r="AN152" s="46">
        <f>'Adubos e corretivos'!U55</f>
        <v>0</v>
      </c>
      <c r="AO152" s="46">
        <f>'Adubos e corretivos'!V55</f>
        <v>0</v>
      </c>
    </row>
    <row r="153" spans="11:41" ht="20.25" customHeight="1" x14ac:dyDescent="0.25">
      <c r="U153" s="293"/>
      <c r="V153" s="46" t="str">
        <f>'Adubos e corretivos'!C56</f>
        <v>FNR Heringer (061 3642-2596)</v>
      </c>
      <c r="W153" s="46">
        <f>'Adubos e corretivos'!D56</f>
        <v>0</v>
      </c>
      <c r="X153" s="46">
        <f>'Adubos e corretivos'!E56</f>
        <v>0</v>
      </c>
      <c r="Y153" s="46">
        <f>'Adubos e corretivos'!F56</f>
        <v>13.11</v>
      </c>
      <c r="Z153" s="46">
        <f>'Adubos e corretivos'!G56</f>
        <v>30</v>
      </c>
      <c r="AA153" s="46">
        <f>'Adubos e corretivos'!H56</f>
        <v>0</v>
      </c>
      <c r="AB153" s="46">
        <f>'Adubos e corretivos'!I56</f>
        <v>0</v>
      </c>
      <c r="AC153" s="46">
        <f>'Adubos e corretivos'!J56</f>
        <v>0</v>
      </c>
      <c r="AD153" s="46">
        <f>'Adubos e corretivos'!K56</f>
        <v>0</v>
      </c>
      <c r="AE153" s="46">
        <f>'Adubos e corretivos'!L56</f>
        <v>0</v>
      </c>
      <c r="AF153" s="46">
        <f>'Adubos e corretivos'!M56</f>
        <v>0</v>
      </c>
      <c r="AG153" s="46">
        <f>'Adubos e corretivos'!N56</f>
        <v>0</v>
      </c>
      <c r="AH153" s="46">
        <f>'Adubos e corretivos'!O56</f>
        <v>0</v>
      </c>
      <c r="AI153" s="46">
        <f>'Adubos e corretivos'!P56</f>
        <v>0</v>
      </c>
      <c r="AJ153" s="46">
        <f>'Adubos e corretivos'!Q56</f>
        <v>0</v>
      </c>
      <c r="AK153" s="46">
        <f>'Adubos e corretivos'!R56</f>
        <v>0</v>
      </c>
      <c r="AL153" s="46">
        <f>'Adubos e corretivos'!S56</f>
        <v>0</v>
      </c>
      <c r="AM153" s="46">
        <f>'Adubos e corretivos'!T56</f>
        <v>0</v>
      </c>
      <c r="AN153" s="46">
        <f>'Adubos e corretivos'!U56</f>
        <v>0</v>
      </c>
      <c r="AO153" s="46">
        <f>'Adubos e corretivos'!V56</f>
        <v>0</v>
      </c>
    </row>
    <row r="154" spans="11:41" ht="20.25" customHeight="1" x14ac:dyDescent="0.25">
      <c r="K154" s="79"/>
      <c r="L154" s="79"/>
      <c r="M154" s="79"/>
      <c r="N154" s="79"/>
      <c r="O154" s="79"/>
      <c r="P154" s="79"/>
      <c r="Q154" s="79"/>
      <c r="R154" s="79"/>
      <c r="S154" s="79"/>
      <c r="U154" s="293"/>
      <c r="V154" s="46" t="str">
        <f>'Adubos e corretivos'!C57</f>
        <v>FNR Paulivida (061 - 3361-6634)</v>
      </c>
      <c r="W154" s="46">
        <f>'Adubos e corretivos'!D57</f>
        <v>0</v>
      </c>
      <c r="X154" s="46">
        <f>'Adubos e corretivos'!E57</f>
        <v>0</v>
      </c>
      <c r="Y154" s="46">
        <f>'Adubos e corretivos'!F57</f>
        <v>11.8</v>
      </c>
      <c r="Z154" s="46">
        <f>'Adubos e corretivos'!G57</f>
        <v>27</v>
      </c>
      <c r="AA154" s="46">
        <f>'Adubos e corretivos'!H57</f>
        <v>0</v>
      </c>
      <c r="AB154" s="46">
        <f>'Adubos e corretivos'!I57</f>
        <v>0</v>
      </c>
      <c r="AC154" s="46">
        <f>'Adubos e corretivos'!J57</f>
        <v>0</v>
      </c>
      <c r="AD154" s="46">
        <f>'Adubos e corretivos'!K57</f>
        <v>0</v>
      </c>
      <c r="AE154" s="46">
        <f>'Adubos e corretivos'!L57</f>
        <v>0</v>
      </c>
      <c r="AF154" s="46">
        <f>'Adubos e corretivos'!M57</f>
        <v>0</v>
      </c>
      <c r="AG154" s="46">
        <f>'Adubos e corretivos'!N57</f>
        <v>0</v>
      </c>
      <c r="AH154" s="46">
        <f>'Adubos e corretivos'!O57</f>
        <v>0</v>
      </c>
      <c r="AI154" s="46">
        <f>'Adubos e corretivos'!P57</f>
        <v>0</v>
      </c>
      <c r="AJ154" s="46">
        <f>'Adubos e corretivos'!Q57</f>
        <v>0</v>
      </c>
      <c r="AK154" s="46">
        <f>'Adubos e corretivos'!R57</f>
        <v>0</v>
      </c>
      <c r="AL154" s="46">
        <f>'Adubos e corretivos'!S57</f>
        <v>0</v>
      </c>
      <c r="AM154" s="46">
        <f>'Adubos e corretivos'!T57</f>
        <v>0</v>
      </c>
      <c r="AN154" s="46">
        <f>'Adubos e corretivos'!U57</f>
        <v>0</v>
      </c>
      <c r="AO154" s="46">
        <f>'Adubos e corretivos'!V57</f>
        <v>0</v>
      </c>
    </row>
    <row r="155" spans="11:41" ht="20.25" customHeight="1" x14ac:dyDescent="0.25">
      <c r="K155" s="79"/>
      <c r="L155" s="79"/>
      <c r="M155" s="79"/>
      <c r="N155" s="79"/>
      <c r="O155" s="79"/>
      <c r="P155" s="79"/>
      <c r="Q155" s="79"/>
      <c r="R155" s="79"/>
      <c r="S155" s="79"/>
      <c r="U155" s="293"/>
      <c r="V155" s="46" t="str">
        <f>'Adubos e corretivos'!C58</f>
        <v>Agroffos Agronelli (061 3642-1777)</v>
      </c>
      <c r="W155" s="46">
        <f>'Adubos e corretivos'!D58</f>
        <v>0</v>
      </c>
      <c r="X155" s="46">
        <f>'Adubos e corretivos'!E58</f>
        <v>0</v>
      </c>
      <c r="Y155" s="46">
        <f>'Adubos e corretivos'!F58</f>
        <v>6.1150000000000002</v>
      </c>
      <c r="Z155" s="46">
        <f>'Adubos e corretivos'!G58</f>
        <v>14</v>
      </c>
      <c r="AA155" s="46">
        <f>'Adubos e corretivos'!H58</f>
        <v>0</v>
      </c>
      <c r="AB155" s="46">
        <f>'Adubos e corretivos'!I58</f>
        <v>0</v>
      </c>
      <c r="AC155" s="46">
        <f>'Adubos e corretivos'!J58</f>
        <v>0</v>
      </c>
      <c r="AD155" s="46">
        <f>'Adubos e corretivos'!K58</f>
        <v>0</v>
      </c>
      <c r="AE155" s="46">
        <f>'Adubos e corretivos'!L58</f>
        <v>0</v>
      </c>
      <c r="AF155" s="46">
        <f>'Adubos e corretivos'!M58</f>
        <v>0</v>
      </c>
      <c r="AG155" s="46">
        <f>'Adubos e corretivos'!N58</f>
        <v>0</v>
      </c>
      <c r="AH155" s="46">
        <f>'Adubos e corretivos'!O58</f>
        <v>0</v>
      </c>
      <c r="AI155" s="46">
        <f>'Adubos e corretivos'!P58</f>
        <v>0</v>
      </c>
      <c r="AJ155" s="46">
        <f>'Adubos e corretivos'!Q58</f>
        <v>0</v>
      </c>
      <c r="AK155" s="46">
        <f>'Adubos e corretivos'!R58</f>
        <v>0</v>
      </c>
      <c r="AL155" s="46">
        <f>'Adubos e corretivos'!S58</f>
        <v>0</v>
      </c>
      <c r="AM155" s="46">
        <f>'Adubos e corretivos'!T58</f>
        <v>0</v>
      </c>
      <c r="AN155" s="46">
        <f>'Adubos e corretivos'!U58</f>
        <v>0</v>
      </c>
      <c r="AO155" s="46">
        <f>'Adubos e corretivos'!V58</f>
        <v>0</v>
      </c>
    </row>
    <row r="156" spans="11:41" ht="20.25" customHeight="1" x14ac:dyDescent="0.25">
      <c r="K156" s="79"/>
      <c r="L156" s="79"/>
      <c r="M156" s="79"/>
      <c r="N156" s="79"/>
      <c r="O156" s="79"/>
      <c r="P156" s="79"/>
      <c r="Q156" s="79"/>
      <c r="R156" s="79"/>
      <c r="S156" s="79"/>
      <c r="U156" s="293"/>
      <c r="V156" s="46" t="str">
        <f>'Adubos e corretivos'!C59</f>
        <v>Suphaphos</v>
      </c>
      <c r="W156" s="46">
        <f>'Adubos e corretivos'!D59</f>
        <v>0</v>
      </c>
      <c r="X156" s="46">
        <f>'Adubos e corretivos'!E59</f>
        <v>0</v>
      </c>
      <c r="Y156" s="46">
        <f>'Adubos e corretivos'!F59</f>
        <v>6.1150000000000002</v>
      </c>
      <c r="Z156" s="46">
        <f>'Adubos e corretivos'!G59</f>
        <v>14</v>
      </c>
      <c r="AA156" s="46">
        <f>'Adubos e corretivos'!H59</f>
        <v>0</v>
      </c>
      <c r="AB156" s="46">
        <f>'Adubos e corretivos'!I59</f>
        <v>0</v>
      </c>
      <c r="AC156" s="46">
        <f>'Adubos e corretivos'!J59</f>
        <v>12</v>
      </c>
      <c r="AD156" s="46">
        <f>'Adubos e corretivos'!K59</f>
        <v>0</v>
      </c>
      <c r="AE156" s="46">
        <f>'Adubos e corretivos'!L59</f>
        <v>0</v>
      </c>
      <c r="AF156" s="46">
        <f>'Adubos e corretivos'!M59</f>
        <v>0</v>
      </c>
      <c r="AG156" s="46">
        <f>'Adubos e corretivos'!N59</f>
        <v>0</v>
      </c>
      <c r="AH156" s="46">
        <f>'Adubos e corretivos'!O59</f>
        <v>0</v>
      </c>
      <c r="AI156" s="46">
        <f>'Adubos e corretivos'!P59</f>
        <v>0</v>
      </c>
      <c r="AJ156" s="46">
        <f>'Adubos e corretivos'!Q59</f>
        <v>0</v>
      </c>
      <c r="AK156" s="46">
        <f>'Adubos e corretivos'!R59</f>
        <v>0</v>
      </c>
      <c r="AL156" s="46">
        <f>'Adubos e corretivos'!S59</f>
        <v>0</v>
      </c>
      <c r="AM156" s="46">
        <f>'Adubos e corretivos'!T59</f>
        <v>0</v>
      </c>
      <c r="AN156" s="46">
        <f>'Adubos e corretivos'!U59</f>
        <v>0</v>
      </c>
      <c r="AO156" s="46">
        <f>'Adubos e corretivos'!V59</f>
        <v>0</v>
      </c>
    </row>
    <row r="157" spans="11:41" ht="20.25" customHeight="1" x14ac:dyDescent="0.25">
      <c r="K157" s="79"/>
      <c r="L157" s="79"/>
      <c r="M157" s="79"/>
      <c r="N157" s="79"/>
      <c r="O157" s="79"/>
      <c r="P157" s="79"/>
      <c r="Q157" s="79"/>
      <c r="R157" s="79"/>
      <c r="S157" s="79"/>
      <c r="U157" s="293"/>
      <c r="V157" s="46" t="str">
        <f>'Adubos e corretivos'!C60</f>
        <v>Potomag Nutrisafra (061 3028-2695)</v>
      </c>
      <c r="W157" s="46">
        <f>'Adubos e corretivos'!D60</f>
        <v>0</v>
      </c>
      <c r="X157" s="46">
        <f>'Adubos e corretivos'!E60</f>
        <v>0</v>
      </c>
      <c r="Y157" s="46">
        <f>'Adubos e corretivos'!F60</f>
        <v>0</v>
      </c>
      <c r="Z157" s="46">
        <f>'Adubos e corretivos'!G60</f>
        <v>0</v>
      </c>
      <c r="AA157" s="46">
        <f>'Adubos e corretivos'!H60</f>
        <v>18.27</v>
      </c>
      <c r="AB157" s="46">
        <f>'Adubos e corretivos'!I60</f>
        <v>22</v>
      </c>
      <c r="AC157" s="46">
        <f>'Adubos e corretivos'!J60</f>
        <v>0</v>
      </c>
      <c r="AD157" s="46">
        <f>'Adubos e corretivos'!K60</f>
        <v>11</v>
      </c>
      <c r="AE157" s="46">
        <f>'Adubos e corretivos'!L60</f>
        <v>22</v>
      </c>
      <c r="AF157" s="46">
        <f>'Adubos e corretivos'!M60</f>
        <v>0</v>
      </c>
      <c r="AG157" s="46">
        <f>'Adubos e corretivos'!N60</f>
        <v>0</v>
      </c>
      <c r="AH157" s="46">
        <f>'Adubos e corretivos'!O60</f>
        <v>0</v>
      </c>
      <c r="AI157" s="46">
        <f>'Adubos e corretivos'!P60</f>
        <v>0</v>
      </c>
      <c r="AJ157" s="46">
        <f>'Adubos e corretivos'!Q60</f>
        <v>0</v>
      </c>
      <c r="AK157" s="46">
        <f>'Adubos e corretivos'!R60</f>
        <v>0</v>
      </c>
      <c r="AL157" s="46">
        <f>'Adubos e corretivos'!S60</f>
        <v>0</v>
      </c>
      <c r="AM157" s="46">
        <f>'Adubos e corretivos'!T60</f>
        <v>0</v>
      </c>
      <c r="AN157" s="46">
        <f>'Adubos e corretivos'!U60</f>
        <v>0</v>
      </c>
      <c r="AO157" s="46">
        <f>'Adubos e corretivos'!V60</f>
        <v>0</v>
      </c>
    </row>
    <row r="158" spans="11:41" ht="20.25" customHeight="1" x14ac:dyDescent="0.25">
      <c r="K158" s="79"/>
      <c r="L158" s="79"/>
      <c r="M158" s="79"/>
      <c r="N158" s="415"/>
      <c r="O158" s="415"/>
      <c r="P158" s="415"/>
      <c r="Q158" s="79"/>
      <c r="R158" s="79"/>
      <c r="S158" s="79"/>
      <c r="U158" s="293"/>
      <c r="V158" s="46">
        <f>'Adubos e corretivos'!C61</f>
        <v>0</v>
      </c>
      <c r="W158" s="46">
        <f>'Adubos e corretivos'!D61</f>
        <v>0</v>
      </c>
      <c r="X158" s="46">
        <f>'Adubos e corretivos'!E61</f>
        <v>0</v>
      </c>
      <c r="Y158" s="46">
        <f>'Adubos e corretivos'!F61</f>
        <v>0</v>
      </c>
      <c r="Z158" s="46">
        <f>'Adubos e corretivos'!G61</f>
        <v>0</v>
      </c>
      <c r="AA158" s="46">
        <f>'Adubos e corretivos'!H61</f>
        <v>0</v>
      </c>
      <c r="AB158" s="46">
        <f>'Adubos e corretivos'!I61</f>
        <v>0</v>
      </c>
      <c r="AC158" s="46">
        <f>'Adubos e corretivos'!J61</f>
        <v>0</v>
      </c>
      <c r="AD158" s="46">
        <f>'Adubos e corretivos'!K61</f>
        <v>0</v>
      </c>
      <c r="AE158" s="46">
        <f>'Adubos e corretivos'!L61</f>
        <v>0</v>
      </c>
      <c r="AF158" s="46">
        <f>'Adubos e corretivos'!M61</f>
        <v>0</v>
      </c>
      <c r="AG158" s="46">
        <f>'Adubos e corretivos'!N61</f>
        <v>0</v>
      </c>
      <c r="AH158" s="46">
        <f>'Adubos e corretivos'!O61</f>
        <v>0</v>
      </c>
      <c r="AI158" s="46">
        <f>'Adubos e corretivos'!P61</f>
        <v>0</v>
      </c>
      <c r="AJ158" s="46">
        <f>'Adubos e corretivos'!Q61</f>
        <v>0</v>
      </c>
      <c r="AK158" s="46">
        <f>'Adubos e corretivos'!R61</f>
        <v>0</v>
      </c>
      <c r="AL158" s="46">
        <f>'Adubos e corretivos'!S61</f>
        <v>0</v>
      </c>
      <c r="AM158" s="46">
        <f>'Adubos e corretivos'!T61</f>
        <v>0</v>
      </c>
      <c r="AN158" s="46">
        <f>'Adubos e corretivos'!U61</f>
        <v>0</v>
      </c>
      <c r="AO158" s="46">
        <f>'Adubos e corretivos'!V61</f>
        <v>0</v>
      </c>
    </row>
    <row r="159" spans="11:41" ht="20.25" customHeight="1" x14ac:dyDescent="0.25">
      <c r="K159" s="79"/>
      <c r="L159" s="79"/>
      <c r="M159" s="79"/>
      <c r="N159" s="352"/>
      <c r="O159" s="352"/>
      <c r="P159" s="352"/>
      <c r="Q159" s="79"/>
      <c r="R159" s="79"/>
      <c r="U159" s="293"/>
      <c r="V159" s="46">
        <f>'Adubos e corretivos'!C62</f>
        <v>0</v>
      </c>
      <c r="W159" s="46">
        <f>'Adubos e corretivos'!D62</f>
        <v>0</v>
      </c>
      <c r="X159" s="46">
        <f>'Adubos e corretivos'!E62</f>
        <v>0</v>
      </c>
      <c r="Y159" s="46">
        <f>'Adubos e corretivos'!F62</f>
        <v>0</v>
      </c>
      <c r="Z159" s="46">
        <f>'Adubos e corretivos'!G62</f>
        <v>0</v>
      </c>
      <c r="AA159" s="46">
        <f>'Adubos e corretivos'!H62</f>
        <v>0</v>
      </c>
      <c r="AB159" s="46">
        <f>'Adubos e corretivos'!I62</f>
        <v>0</v>
      </c>
      <c r="AC159" s="46">
        <f>'Adubos e corretivos'!J62</f>
        <v>0</v>
      </c>
      <c r="AD159" s="46">
        <f>'Adubos e corretivos'!K62</f>
        <v>0</v>
      </c>
      <c r="AE159" s="46">
        <f>'Adubos e corretivos'!L62</f>
        <v>0</v>
      </c>
      <c r="AF159" s="46">
        <f>'Adubos e corretivos'!M62</f>
        <v>0</v>
      </c>
      <c r="AG159" s="46">
        <f>'Adubos e corretivos'!N62</f>
        <v>0</v>
      </c>
      <c r="AH159" s="46">
        <f>'Adubos e corretivos'!O62</f>
        <v>0</v>
      </c>
      <c r="AI159" s="46">
        <f>'Adubos e corretivos'!P62</f>
        <v>0</v>
      </c>
      <c r="AJ159" s="46">
        <f>'Adubos e corretivos'!Q62</f>
        <v>0</v>
      </c>
      <c r="AK159" s="46">
        <f>'Adubos e corretivos'!R62</f>
        <v>0</v>
      </c>
      <c r="AL159" s="46">
        <f>'Adubos e corretivos'!S62</f>
        <v>0</v>
      </c>
      <c r="AM159" s="46">
        <f>'Adubos e corretivos'!T62</f>
        <v>0</v>
      </c>
      <c r="AN159" s="46">
        <f>'Adubos e corretivos'!U62</f>
        <v>0</v>
      </c>
      <c r="AO159" s="46">
        <f>'Adubos e corretivos'!V62</f>
        <v>0</v>
      </c>
    </row>
    <row r="160" spans="11:41" ht="20.25" customHeight="1" x14ac:dyDescent="0.25">
      <c r="K160" s="79"/>
      <c r="L160" s="79"/>
      <c r="M160" s="79"/>
      <c r="N160" s="79"/>
      <c r="O160" s="79"/>
      <c r="P160" s="79"/>
      <c r="Q160" s="79"/>
      <c r="R160" s="79"/>
      <c r="U160" s="292" t="s">
        <v>264</v>
      </c>
      <c r="V160" s="46" t="str">
        <f>'Adubos e corretivos'!C63</f>
        <v>Micaxisto (61) 3233-9368</v>
      </c>
      <c r="W160" s="46">
        <f>'Adubos e corretivos'!D63</f>
        <v>0.12</v>
      </c>
      <c r="X160" s="46">
        <f>'Adubos e corretivos'!E63</f>
        <v>0</v>
      </c>
      <c r="Y160" s="46">
        <f>'Adubos e corretivos'!F63</f>
        <v>4.4999999999999998E-2</v>
      </c>
      <c r="Z160" s="46">
        <f>'Adubos e corretivos'!G63</f>
        <v>0.1</v>
      </c>
      <c r="AA160" s="46">
        <f>'Adubos e corretivos'!H63</f>
        <v>4.32</v>
      </c>
      <c r="AB160" s="46">
        <f>'Adubos e corretivos'!I63</f>
        <v>5.2</v>
      </c>
      <c r="AC160" s="46">
        <f>'Adubos e corretivos'!J63</f>
        <v>1.2587412587412588</v>
      </c>
      <c r="AD160" s="46">
        <f>'Adubos e corretivos'!K63</f>
        <v>1.1627906976744187</v>
      </c>
      <c r="AE160" s="46">
        <f>'Adubos e corretivos'!L63</f>
        <v>0</v>
      </c>
      <c r="AF160" s="46">
        <f>'Adubos e corretivos'!M63</f>
        <v>0</v>
      </c>
      <c r="AG160" s="46">
        <f>'Adubos e corretivos'!N63</f>
        <v>0</v>
      </c>
      <c r="AH160" s="46">
        <f>'Adubos e corretivos'!O63</f>
        <v>0</v>
      </c>
      <c r="AI160" s="46">
        <f>'Adubos e corretivos'!P63</f>
        <v>0</v>
      </c>
      <c r="AJ160" s="46">
        <f>'Adubos e corretivos'!Q63</f>
        <v>0</v>
      </c>
      <c r="AK160" s="46">
        <f>'Adubos e corretivos'!R63</f>
        <v>0</v>
      </c>
      <c r="AL160" s="46">
        <f>'Adubos e corretivos'!S63</f>
        <v>0</v>
      </c>
      <c r="AM160" s="46">
        <f>'Adubos e corretivos'!T63</f>
        <v>0</v>
      </c>
      <c r="AN160" s="46">
        <f>'Adubos e corretivos'!U63</f>
        <v>0</v>
      </c>
      <c r="AO160" s="46">
        <f>'Adubos e corretivos'!V63</f>
        <v>0</v>
      </c>
    </row>
    <row r="161" spans="11:44" ht="20.25" customHeight="1" x14ac:dyDescent="0.25">
      <c r="K161" s="79"/>
      <c r="L161" s="79"/>
      <c r="M161" s="79"/>
      <c r="N161" s="79"/>
      <c r="O161" s="79"/>
      <c r="P161" s="79"/>
      <c r="Q161" s="79"/>
      <c r="R161" s="79"/>
      <c r="U161" s="292"/>
      <c r="V161" s="46" t="str">
        <f>'Adubos e corretivos'!C64</f>
        <v xml:space="preserve"> Remax Mistel (61) 99414-1975</v>
      </c>
      <c r="W161" s="46">
        <f>'Adubos e corretivos'!D64</f>
        <v>0</v>
      </c>
      <c r="X161" s="46">
        <f>'Adubos e corretivos'!E64</f>
        <v>0</v>
      </c>
      <c r="Y161" s="46">
        <f>'Adubos e corretivos'!F64</f>
        <v>4.4999999999999998E-2</v>
      </c>
      <c r="Z161" s="46">
        <f>'Adubos e corretivos'!G64</f>
        <v>0.1</v>
      </c>
      <c r="AA161" s="46">
        <f>'Adubos e corretivos'!H64</f>
        <v>2.1949999999999998</v>
      </c>
      <c r="AB161" s="46">
        <f>'Adubos e corretivos'!I64</f>
        <v>2.6</v>
      </c>
      <c r="AC161" s="46">
        <f>'Adubos e corretivos'!J64</f>
        <v>18.741258741258743</v>
      </c>
      <c r="AD161" s="46">
        <f>'Adubos e corretivos'!K64</f>
        <v>12.44186046511628</v>
      </c>
      <c r="AE161" s="46">
        <f>'Adubos e corretivos'!L64</f>
        <v>0</v>
      </c>
      <c r="AF161" s="46">
        <f>'Adubos e corretivos'!M64</f>
        <v>0</v>
      </c>
      <c r="AG161" s="46">
        <f>'Adubos e corretivos'!N64</f>
        <v>0</v>
      </c>
      <c r="AH161" s="46">
        <f>'Adubos e corretivos'!O64</f>
        <v>0</v>
      </c>
      <c r="AI161" s="46">
        <f>'Adubos e corretivos'!P64</f>
        <v>0</v>
      </c>
      <c r="AJ161" s="46">
        <f>'Adubos e corretivos'!Q64</f>
        <v>0</v>
      </c>
      <c r="AK161" s="46">
        <f>'Adubos e corretivos'!R64</f>
        <v>0</v>
      </c>
      <c r="AL161" s="46">
        <f>'Adubos e corretivos'!S64</f>
        <v>43.8</v>
      </c>
      <c r="AM161" s="46">
        <f>'Adubos e corretivos'!T64</f>
        <v>0</v>
      </c>
      <c r="AN161" s="46">
        <f>'Adubos e corretivos'!U64</f>
        <v>0</v>
      </c>
      <c r="AO161" s="46">
        <f>'Adubos e corretivos'!V64</f>
        <v>0</v>
      </c>
    </row>
    <row r="162" spans="11:44" ht="20.25" customHeight="1" x14ac:dyDescent="0.25">
      <c r="K162" s="79"/>
      <c r="L162" s="79"/>
      <c r="M162" s="79"/>
      <c r="N162" s="79"/>
      <c r="O162" s="79"/>
      <c r="P162" s="79"/>
      <c r="Q162" s="79"/>
      <c r="R162" s="79"/>
      <c r="U162" s="292"/>
      <c r="V162" s="46" t="str">
        <f>'Adubos e corretivos'!C65</f>
        <v xml:space="preserve">Pó de brita Fmx (62) 3924 8565 </v>
      </c>
      <c r="W162" s="46">
        <f>'Adubos e corretivos'!D65</f>
        <v>0</v>
      </c>
      <c r="X162" s="46">
        <f>'Adubos e corretivos'!E65</f>
        <v>0</v>
      </c>
      <c r="Y162" s="46">
        <f>'Adubos e corretivos'!F65</f>
        <v>0</v>
      </c>
      <c r="Z162" s="46">
        <f>'Adubos e corretivos'!G65</f>
        <v>0</v>
      </c>
      <c r="AA162" s="46">
        <f>'Adubos e corretivos'!H65</f>
        <v>4.99</v>
      </c>
      <c r="AB162" s="46">
        <f>'Adubos e corretivos'!I65</f>
        <v>6</v>
      </c>
      <c r="AC162" s="46">
        <f>'Adubos e corretivos'!J65</f>
        <v>4.1958041958041958</v>
      </c>
      <c r="AD162" s="46">
        <f>'Adubos e corretivos'!K65</f>
        <v>0.83056478405315615</v>
      </c>
      <c r="AE162" s="46">
        <f>'Adubos e corretivos'!L65</f>
        <v>0</v>
      </c>
      <c r="AF162" s="46">
        <f>'Adubos e corretivos'!M65</f>
        <v>0</v>
      </c>
      <c r="AG162" s="46">
        <f>'Adubos e corretivos'!N65</f>
        <v>0</v>
      </c>
      <c r="AH162" s="46">
        <f>'Adubos e corretivos'!O65</f>
        <v>0</v>
      </c>
      <c r="AI162" s="46">
        <f>'Adubos e corretivos'!P65</f>
        <v>0</v>
      </c>
      <c r="AJ162" s="46">
        <f>'Adubos e corretivos'!Q65</f>
        <v>0</v>
      </c>
      <c r="AK162" s="46">
        <f>'Adubos e corretivos'!R65</f>
        <v>0</v>
      </c>
      <c r="AL162" s="46">
        <f>'Adubos e corretivos'!S65</f>
        <v>0</v>
      </c>
      <c r="AM162" s="46">
        <f>'Adubos e corretivos'!T65</f>
        <v>0</v>
      </c>
      <c r="AN162" s="46">
        <f>'Adubos e corretivos'!U65</f>
        <v>0</v>
      </c>
      <c r="AO162" s="46">
        <f>'Adubos e corretivos'!V65</f>
        <v>0</v>
      </c>
    </row>
    <row r="163" spans="11:44" ht="20.25" customHeight="1" x14ac:dyDescent="0.25">
      <c r="K163" s="79"/>
      <c r="L163" s="79"/>
      <c r="M163" s="79"/>
      <c r="N163" s="79"/>
      <c r="O163" s="79"/>
      <c r="P163" s="79"/>
      <c r="Q163" s="79"/>
      <c r="R163" s="79"/>
      <c r="U163" s="292"/>
      <c r="V163" s="46" t="str">
        <f>'Adubos e corretivos'!C66</f>
        <v xml:space="preserve">Biotita Xisto (61) 3233-9368 </v>
      </c>
      <c r="W163" s="46">
        <f>'Adubos e corretivos'!D66</f>
        <v>0</v>
      </c>
      <c r="X163" s="46">
        <f>'Adubos e corretivos'!E66</f>
        <v>0</v>
      </c>
      <c r="Y163" s="46">
        <f>'Adubos e corretivos'!F66</f>
        <v>8.7999999999999995E-2</v>
      </c>
      <c r="Z163" s="46">
        <f>'Adubos e corretivos'!G66</f>
        <v>0.2</v>
      </c>
      <c r="AA163" s="46">
        <f>'Adubos e corretivos'!H66</f>
        <v>2.83</v>
      </c>
      <c r="AB163" s="46">
        <f>'Adubos e corretivos'!I66</f>
        <v>3.4</v>
      </c>
      <c r="AC163" s="46">
        <f>'Adubos e corretivos'!J66</f>
        <v>2.5174825174825175</v>
      </c>
      <c r="AD163" s="46">
        <f>'Adubos e corretivos'!K66</f>
        <v>7.6411960132890364</v>
      </c>
      <c r="AE163" s="46">
        <f>'Adubos e corretivos'!L66</f>
        <v>0</v>
      </c>
      <c r="AF163" s="46">
        <f>'Adubos e corretivos'!M66</f>
        <v>0</v>
      </c>
      <c r="AG163" s="46">
        <f>'Adubos e corretivos'!N66</f>
        <v>0</v>
      </c>
      <c r="AH163" s="46">
        <f>'Adubos e corretivos'!O66</f>
        <v>0</v>
      </c>
      <c r="AI163" s="46">
        <f>'Adubos e corretivos'!P66</f>
        <v>0</v>
      </c>
      <c r="AJ163" s="46">
        <f>'Adubos e corretivos'!Q66</f>
        <v>0</v>
      </c>
      <c r="AK163" s="46">
        <f>'Adubos e corretivos'!R66</f>
        <v>0</v>
      </c>
      <c r="AL163" s="46">
        <f>'Adubos e corretivos'!S66</f>
        <v>57.8</v>
      </c>
      <c r="AM163" s="46">
        <f>'Adubos e corretivos'!T66</f>
        <v>0</v>
      </c>
      <c r="AN163" s="46">
        <f>'Adubos e corretivos'!U66</f>
        <v>0</v>
      </c>
      <c r="AO163" s="46">
        <f>'Adubos e corretivos'!V66</f>
        <v>0</v>
      </c>
    </row>
    <row r="164" spans="11:44" ht="20.25" customHeight="1" x14ac:dyDescent="0.25">
      <c r="K164" s="79"/>
      <c r="L164" s="79"/>
      <c r="M164" s="79"/>
      <c r="N164" s="79"/>
      <c r="O164" s="79"/>
      <c r="P164" s="79"/>
      <c r="Q164" s="79"/>
      <c r="R164" s="79"/>
      <c r="U164" s="292"/>
      <c r="V164" s="46" t="str">
        <f>'Adubos e corretivos'!C67</f>
        <v>Kamafugito</v>
      </c>
      <c r="W164" s="46">
        <f>'Adubos e corretivos'!D67</f>
        <v>0</v>
      </c>
      <c r="X164" s="46">
        <f>'Adubos e corretivos'!E67</f>
        <v>0</v>
      </c>
      <c r="Y164" s="46">
        <f>'Adubos e corretivos'!F67</f>
        <v>1.5069999999999999</v>
      </c>
      <c r="Z164" s="46">
        <f>'Adubos e corretivos'!G67</f>
        <v>3.5</v>
      </c>
      <c r="AA164" s="46">
        <f>'Adubos e corretivos'!H67</f>
        <v>3.3250000000000002</v>
      </c>
      <c r="AB164" s="46">
        <f>'Adubos e corretivos'!I67</f>
        <v>4</v>
      </c>
      <c r="AC164" s="46">
        <f>'Adubos e corretivos'!J67</f>
        <v>2.86</v>
      </c>
      <c r="AD164" s="46">
        <f>'Adubos e corretivos'!K67</f>
        <v>0</v>
      </c>
      <c r="AE164" s="46">
        <f>'Adubos e corretivos'!L67</f>
        <v>0</v>
      </c>
      <c r="AF164" s="46">
        <f>'Adubos e corretivos'!M67</f>
        <v>0</v>
      </c>
      <c r="AG164" s="46">
        <f>'Adubos e corretivos'!N67</f>
        <v>0</v>
      </c>
      <c r="AH164" s="46">
        <f>'Adubos e corretivos'!O67</f>
        <v>0</v>
      </c>
      <c r="AI164" s="46">
        <f>'Adubos e corretivos'!P67</f>
        <v>0</v>
      </c>
      <c r="AJ164" s="46">
        <f>'Adubos e corretivos'!Q67</f>
        <v>0</v>
      </c>
      <c r="AK164" s="46">
        <f>'Adubos e corretivos'!R67</f>
        <v>0</v>
      </c>
      <c r="AL164" s="46">
        <f>'Adubos e corretivos'!S67</f>
        <v>0</v>
      </c>
      <c r="AM164" s="46">
        <f>'Adubos e corretivos'!T67</f>
        <v>0</v>
      </c>
      <c r="AN164" s="46">
        <f>'Adubos e corretivos'!U67</f>
        <v>0</v>
      </c>
      <c r="AO164" s="46">
        <f>'Adubos e corretivos'!V67</f>
        <v>0</v>
      </c>
    </row>
    <row r="165" spans="11:44" ht="20.25" customHeight="1" x14ac:dyDescent="0.25">
      <c r="K165" s="79"/>
      <c r="L165" s="79"/>
      <c r="M165" s="79"/>
      <c r="N165" s="79"/>
      <c r="O165" s="79"/>
      <c r="P165" s="79"/>
      <c r="Q165" s="79"/>
      <c r="R165" s="79"/>
      <c r="U165" s="292"/>
      <c r="V165" s="46">
        <f>'Adubos e corretivos'!C68</f>
        <v>0</v>
      </c>
      <c r="W165" s="46">
        <f>'Adubos e corretivos'!D68</f>
        <v>0</v>
      </c>
      <c r="X165" s="46">
        <f>'Adubos e corretivos'!E68</f>
        <v>0</v>
      </c>
      <c r="Y165" s="46">
        <f>'Adubos e corretivos'!F68</f>
        <v>0</v>
      </c>
      <c r="Z165" s="46">
        <f>'Adubos e corretivos'!G68</f>
        <v>0</v>
      </c>
      <c r="AA165" s="46">
        <f>'Adubos e corretivos'!H68</f>
        <v>0</v>
      </c>
      <c r="AB165" s="46">
        <f>'Adubos e corretivos'!I68</f>
        <v>0</v>
      </c>
      <c r="AC165" s="46">
        <f>'Adubos e corretivos'!J68</f>
        <v>0</v>
      </c>
      <c r="AD165" s="46">
        <f>'Adubos e corretivos'!K68</f>
        <v>0</v>
      </c>
      <c r="AE165" s="46">
        <f>'Adubos e corretivos'!L68</f>
        <v>0</v>
      </c>
      <c r="AF165" s="46">
        <f>'Adubos e corretivos'!M68</f>
        <v>0</v>
      </c>
      <c r="AG165" s="46">
        <f>'Adubos e corretivos'!N68</f>
        <v>0</v>
      </c>
      <c r="AH165" s="46">
        <f>'Adubos e corretivos'!O68</f>
        <v>0</v>
      </c>
      <c r="AI165" s="46">
        <f>'Adubos e corretivos'!P68</f>
        <v>0</v>
      </c>
      <c r="AJ165" s="46">
        <f>'Adubos e corretivos'!Q68</f>
        <v>0</v>
      </c>
      <c r="AK165" s="46">
        <f>'Adubos e corretivos'!R68</f>
        <v>0</v>
      </c>
      <c r="AL165" s="46">
        <f>'Adubos e corretivos'!S68</f>
        <v>0</v>
      </c>
      <c r="AM165" s="46">
        <f>'Adubos e corretivos'!T68</f>
        <v>0</v>
      </c>
      <c r="AN165" s="46">
        <f>'Adubos e corretivos'!U68</f>
        <v>0</v>
      </c>
      <c r="AO165" s="46">
        <f>'Adubos e corretivos'!V68</f>
        <v>0</v>
      </c>
    </row>
    <row r="166" spans="11:44" ht="20.25" customHeight="1" x14ac:dyDescent="0.25">
      <c r="K166" s="79"/>
      <c r="L166" s="79"/>
      <c r="M166" s="79"/>
      <c r="N166" s="79"/>
      <c r="O166" s="79"/>
      <c r="P166" s="79"/>
      <c r="Q166" s="79"/>
      <c r="R166" s="79"/>
      <c r="U166" s="292"/>
      <c r="V166" s="46">
        <f>'Adubos e corretivos'!C69</f>
        <v>0</v>
      </c>
      <c r="W166" s="46">
        <f>'Adubos e corretivos'!D69</f>
        <v>0</v>
      </c>
      <c r="X166" s="46">
        <f>'Adubos e corretivos'!E69</f>
        <v>0</v>
      </c>
      <c r="Y166" s="46">
        <f>'Adubos e corretivos'!F69</f>
        <v>0</v>
      </c>
      <c r="Z166" s="46">
        <f>'Adubos e corretivos'!G69</f>
        <v>0</v>
      </c>
      <c r="AA166" s="46">
        <f>'Adubos e corretivos'!H69</f>
        <v>0</v>
      </c>
      <c r="AB166" s="46">
        <f>'Adubos e corretivos'!I69</f>
        <v>0</v>
      </c>
      <c r="AC166" s="46">
        <f>'Adubos e corretivos'!J69</f>
        <v>0</v>
      </c>
      <c r="AD166" s="46">
        <f>'Adubos e corretivos'!K69</f>
        <v>0</v>
      </c>
      <c r="AE166" s="46">
        <f>'Adubos e corretivos'!L69</f>
        <v>0</v>
      </c>
      <c r="AF166" s="46">
        <f>'Adubos e corretivos'!M69</f>
        <v>0</v>
      </c>
      <c r="AG166" s="46">
        <f>'Adubos e corretivos'!N69</f>
        <v>0</v>
      </c>
      <c r="AH166" s="46">
        <f>'Adubos e corretivos'!O69</f>
        <v>0</v>
      </c>
      <c r="AI166" s="46">
        <f>'Adubos e corretivos'!P69</f>
        <v>0</v>
      </c>
      <c r="AJ166" s="46">
        <f>'Adubos e corretivos'!Q69</f>
        <v>0</v>
      </c>
      <c r="AK166" s="46">
        <f>'Adubos e corretivos'!R69</f>
        <v>0</v>
      </c>
      <c r="AL166" s="46">
        <f>'Adubos e corretivos'!S69</f>
        <v>0</v>
      </c>
      <c r="AM166" s="46">
        <f>'Adubos e corretivos'!T69</f>
        <v>0</v>
      </c>
      <c r="AN166" s="46">
        <f>'Adubos e corretivos'!U69</f>
        <v>0</v>
      </c>
      <c r="AO166" s="46">
        <f>'Adubos e corretivos'!V69</f>
        <v>0</v>
      </c>
    </row>
    <row r="167" spans="11:44" ht="20.25" customHeight="1" x14ac:dyDescent="0.25">
      <c r="K167" s="79"/>
      <c r="L167" s="79"/>
      <c r="M167" s="79"/>
      <c r="N167" s="79"/>
      <c r="O167" s="79"/>
      <c r="P167" s="79"/>
      <c r="Q167" s="79"/>
      <c r="R167" s="79"/>
      <c r="U167" s="292"/>
      <c r="V167" s="46">
        <f>'Adubos e corretivos'!C70</f>
        <v>0</v>
      </c>
      <c r="W167" s="46">
        <f>'Adubos e corretivos'!D70</f>
        <v>0</v>
      </c>
      <c r="X167" s="46">
        <f>'Adubos e corretivos'!E70</f>
        <v>0</v>
      </c>
      <c r="Y167" s="46">
        <f>'Adubos e corretivos'!F70</f>
        <v>0</v>
      </c>
      <c r="Z167" s="46">
        <f>'Adubos e corretivos'!G70</f>
        <v>0</v>
      </c>
      <c r="AA167" s="46">
        <f>'Adubos e corretivos'!H70</f>
        <v>0</v>
      </c>
      <c r="AB167" s="46">
        <f>'Adubos e corretivos'!I70</f>
        <v>0</v>
      </c>
      <c r="AC167" s="46">
        <f>'Adubos e corretivos'!J70</f>
        <v>0</v>
      </c>
      <c r="AD167" s="46">
        <f>'Adubos e corretivos'!K70</f>
        <v>0</v>
      </c>
      <c r="AE167" s="46">
        <f>'Adubos e corretivos'!L70</f>
        <v>0</v>
      </c>
      <c r="AF167" s="46">
        <f>'Adubos e corretivos'!M70</f>
        <v>0</v>
      </c>
      <c r="AG167" s="46">
        <f>'Adubos e corretivos'!N70</f>
        <v>0</v>
      </c>
      <c r="AH167" s="46">
        <f>'Adubos e corretivos'!O70</f>
        <v>0</v>
      </c>
      <c r="AI167" s="46">
        <f>'Adubos e corretivos'!P70</f>
        <v>0</v>
      </c>
      <c r="AJ167" s="46">
        <f>'Adubos e corretivos'!Q70</f>
        <v>0</v>
      </c>
      <c r="AK167" s="46">
        <f>'Adubos e corretivos'!R70</f>
        <v>0</v>
      </c>
      <c r="AL167" s="46">
        <f>'Adubos e corretivos'!S70</f>
        <v>0</v>
      </c>
      <c r="AM167" s="46">
        <f>'Adubos e corretivos'!T70</f>
        <v>0</v>
      </c>
      <c r="AN167" s="46">
        <f>'Adubos e corretivos'!U70</f>
        <v>0</v>
      </c>
      <c r="AO167" s="46">
        <f>'Adubos e corretivos'!V70</f>
        <v>0</v>
      </c>
    </row>
    <row r="168" spans="11:44" ht="20.25" customHeight="1" x14ac:dyDescent="0.25">
      <c r="K168" s="79"/>
      <c r="L168" s="79"/>
      <c r="M168" s="79"/>
      <c r="N168" s="79"/>
      <c r="O168" s="79"/>
      <c r="P168" s="79"/>
      <c r="Q168" s="79"/>
      <c r="R168" s="79"/>
      <c r="U168" s="292"/>
      <c r="V168" s="46">
        <f>'Adubos e corretivos'!C71</f>
        <v>0</v>
      </c>
      <c r="W168" s="46">
        <f>'Adubos e corretivos'!D71</f>
        <v>0</v>
      </c>
      <c r="X168" s="46">
        <f>'Adubos e corretivos'!E71</f>
        <v>0</v>
      </c>
      <c r="Y168" s="46">
        <f>'Adubos e corretivos'!F71</f>
        <v>0</v>
      </c>
      <c r="Z168" s="46">
        <f>'Adubos e corretivos'!G71</f>
        <v>0</v>
      </c>
      <c r="AA168" s="46">
        <f>'Adubos e corretivos'!H71</f>
        <v>0</v>
      </c>
      <c r="AB168" s="46">
        <f>'Adubos e corretivos'!I71</f>
        <v>0</v>
      </c>
      <c r="AC168" s="46">
        <f>'Adubos e corretivos'!J71</f>
        <v>0</v>
      </c>
      <c r="AD168" s="46">
        <f>'Adubos e corretivos'!K71</f>
        <v>0</v>
      </c>
      <c r="AE168" s="46">
        <f>'Adubos e corretivos'!L71</f>
        <v>0</v>
      </c>
      <c r="AF168" s="46">
        <f>'Adubos e corretivos'!M71</f>
        <v>0</v>
      </c>
      <c r="AG168" s="46">
        <f>'Adubos e corretivos'!N71</f>
        <v>0</v>
      </c>
      <c r="AH168" s="46">
        <f>'Adubos e corretivos'!O71</f>
        <v>0</v>
      </c>
      <c r="AI168" s="46">
        <f>'Adubos e corretivos'!P71</f>
        <v>0</v>
      </c>
      <c r="AJ168" s="46">
        <f>'Adubos e corretivos'!Q71</f>
        <v>0</v>
      </c>
      <c r="AK168" s="46">
        <f>'Adubos e corretivos'!R71</f>
        <v>0</v>
      </c>
      <c r="AL168" s="46">
        <f>'Adubos e corretivos'!S71</f>
        <v>0</v>
      </c>
      <c r="AM168" s="46">
        <f>'Adubos e corretivos'!T71</f>
        <v>0</v>
      </c>
      <c r="AN168" s="46">
        <f>'Adubos e corretivos'!U71</f>
        <v>0</v>
      </c>
      <c r="AO168" s="46">
        <f>'Adubos e corretivos'!V71</f>
        <v>0</v>
      </c>
    </row>
    <row r="169" spans="11:44" ht="20.25" customHeight="1" x14ac:dyDescent="0.25">
      <c r="K169" s="79"/>
      <c r="L169" s="79"/>
      <c r="M169" s="79"/>
      <c r="N169" s="79"/>
      <c r="O169" s="79"/>
      <c r="P169" s="79"/>
      <c r="Q169" s="79"/>
      <c r="R169" s="79"/>
      <c r="U169" s="292"/>
      <c r="V169" s="46">
        <f>'Adubos e corretivos'!C72</f>
        <v>0</v>
      </c>
      <c r="W169" s="46">
        <f>'Adubos e corretivos'!D72</f>
        <v>0</v>
      </c>
      <c r="X169" s="46">
        <f>'Adubos e corretivos'!E72</f>
        <v>0</v>
      </c>
      <c r="Y169" s="46">
        <f>'Adubos e corretivos'!F72</f>
        <v>0</v>
      </c>
      <c r="Z169" s="46">
        <f>'Adubos e corretivos'!G72</f>
        <v>0</v>
      </c>
      <c r="AA169" s="46">
        <f>'Adubos e corretivos'!H72</f>
        <v>0</v>
      </c>
      <c r="AB169" s="46">
        <f>'Adubos e corretivos'!I72</f>
        <v>0</v>
      </c>
      <c r="AC169" s="46">
        <f>'Adubos e corretivos'!J72</f>
        <v>0</v>
      </c>
      <c r="AD169" s="46">
        <f>'Adubos e corretivos'!K72</f>
        <v>0</v>
      </c>
      <c r="AE169" s="46">
        <f>'Adubos e corretivos'!L72</f>
        <v>0</v>
      </c>
      <c r="AF169" s="46">
        <f>'Adubos e corretivos'!M72</f>
        <v>0</v>
      </c>
      <c r="AG169" s="46">
        <f>'Adubos e corretivos'!N72</f>
        <v>0</v>
      </c>
      <c r="AH169" s="46">
        <f>'Adubos e corretivos'!O72</f>
        <v>0</v>
      </c>
      <c r="AI169" s="46">
        <f>'Adubos e corretivos'!P72</f>
        <v>0</v>
      </c>
      <c r="AJ169" s="46">
        <f>'Adubos e corretivos'!Q72</f>
        <v>0</v>
      </c>
      <c r="AK169" s="46">
        <f>'Adubos e corretivos'!R72</f>
        <v>0</v>
      </c>
      <c r="AL169" s="46">
        <f>'Adubos e corretivos'!S72</f>
        <v>0</v>
      </c>
      <c r="AM169" s="46">
        <f>'Adubos e corretivos'!T72</f>
        <v>0</v>
      </c>
      <c r="AN169" s="46">
        <f>'Adubos e corretivos'!U72</f>
        <v>0</v>
      </c>
      <c r="AO169" s="46">
        <f>'Adubos e corretivos'!V72</f>
        <v>0</v>
      </c>
      <c r="AP169" s="38"/>
      <c r="AQ169" s="38"/>
      <c r="AR169" s="79"/>
    </row>
    <row r="170" spans="11:44" ht="20.25" customHeight="1" x14ac:dyDescent="0.25">
      <c r="K170" s="79"/>
      <c r="L170" s="79"/>
      <c r="M170" s="79"/>
      <c r="N170" s="79"/>
      <c r="O170" s="79"/>
      <c r="P170" s="79"/>
      <c r="Q170" s="79"/>
      <c r="R170" s="79"/>
      <c r="U170" s="294" t="s">
        <v>124</v>
      </c>
      <c r="V170" s="46" t="str">
        <f>'Adubos e corretivos'!C73</f>
        <v>Ácido Bórico</v>
      </c>
      <c r="W170" s="46">
        <f>'Adubos e corretivos'!D73</f>
        <v>5.52</v>
      </c>
      <c r="X170" s="46">
        <f>'Adubos e corretivos'!E73</f>
        <v>0</v>
      </c>
      <c r="Y170" s="46">
        <f>'Adubos e corretivos'!F73</f>
        <v>0</v>
      </c>
      <c r="Z170" s="46">
        <f>'Adubos e corretivos'!G73</f>
        <v>0</v>
      </c>
      <c r="AA170" s="46">
        <f>'Adubos e corretivos'!H73</f>
        <v>0</v>
      </c>
      <c r="AB170" s="46">
        <f>'Adubos e corretivos'!I73</f>
        <v>0</v>
      </c>
      <c r="AC170" s="46">
        <f>'Adubos e corretivos'!J73</f>
        <v>0</v>
      </c>
      <c r="AD170" s="46">
        <f>'Adubos e corretivos'!K73</f>
        <v>0</v>
      </c>
      <c r="AE170" s="46">
        <f>'Adubos e corretivos'!L73</f>
        <v>0</v>
      </c>
      <c r="AF170" s="46">
        <f>'Adubos e corretivos'!M73</f>
        <v>17.5</v>
      </c>
      <c r="AG170" s="46">
        <f>'Adubos e corretivos'!N73</f>
        <v>0</v>
      </c>
      <c r="AH170" s="46">
        <f>'Adubos e corretivos'!O73</f>
        <v>0</v>
      </c>
      <c r="AI170" s="46">
        <f>'Adubos e corretivos'!P73</f>
        <v>0</v>
      </c>
      <c r="AJ170" s="46">
        <f>'Adubos e corretivos'!Q73</f>
        <v>0</v>
      </c>
      <c r="AK170" s="46">
        <f>'Adubos e corretivos'!R73</f>
        <v>0</v>
      </c>
      <c r="AL170" s="46">
        <f>'Adubos e corretivos'!S73</f>
        <v>0</v>
      </c>
      <c r="AM170" s="46">
        <f>'Adubos e corretivos'!T73</f>
        <v>0</v>
      </c>
      <c r="AN170" s="46">
        <f>'Adubos e corretivos'!U73</f>
        <v>0</v>
      </c>
      <c r="AO170" s="46">
        <f>'Adubos e corretivos'!V73</f>
        <v>0</v>
      </c>
    </row>
    <row r="171" spans="11:44" ht="20.25" customHeight="1" x14ac:dyDescent="0.25">
      <c r="K171" s="79"/>
      <c r="L171" s="79"/>
      <c r="M171" s="79"/>
      <c r="N171" s="79"/>
      <c r="O171" s="79"/>
      <c r="P171" s="79"/>
      <c r="Q171" s="79"/>
      <c r="R171" s="79"/>
      <c r="U171" s="294"/>
      <c r="V171" s="46" t="str">
        <f>'Adubos e corretivos'!C74</f>
        <v>Boráx</v>
      </c>
      <c r="W171" s="46">
        <f>'Adubos e corretivos'!D74</f>
        <v>3.84</v>
      </c>
      <c r="X171" s="46">
        <f>'Adubos e corretivos'!E74</f>
        <v>0</v>
      </c>
      <c r="Y171" s="46">
        <f>'Adubos e corretivos'!F74</f>
        <v>0</v>
      </c>
      <c r="Z171" s="46">
        <f>'Adubos e corretivos'!G74</f>
        <v>0</v>
      </c>
      <c r="AA171" s="46">
        <f>'Adubos e corretivos'!H74</f>
        <v>0</v>
      </c>
      <c r="AB171" s="46">
        <f>'Adubos e corretivos'!I74</f>
        <v>0</v>
      </c>
      <c r="AC171" s="46">
        <f>'Adubos e corretivos'!J74</f>
        <v>0</v>
      </c>
      <c r="AD171" s="46">
        <f>'Adubos e corretivos'!K74</f>
        <v>0</v>
      </c>
      <c r="AE171" s="46">
        <f>'Adubos e corretivos'!L74</f>
        <v>0</v>
      </c>
      <c r="AF171" s="46">
        <f>'Adubos e corretivos'!M74</f>
        <v>10.5</v>
      </c>
      <c r="AG171" s="46">
        <f>'Adubos e corretivos'!N74</f>
        <v>0</v>
      </c>
      <c r="AH171" s="46">
        <f>'Adubos e corretivos'!O74</f>
        <v>0</v>
      </c>
      <c r="AI171" s="46">
        <f>'Adubos e corretivos'!P74</f>
        <v>0</v>
      </c>
      <c r="AJ171" s="46">
        <f>'Adubos e corretivos'!Q74</f>
        <v>0</v>
      </c>
      <c r="AK171" s="46">
        <f>'Adubos e corretivos'!R74</f>
        <v>0</v>
      </c>
      <c r="AL171" s="46">
        <f>'Adubos e corretivos'!S74</f>
        <v>0</v>
      </c>
      <c r="AM171" s="46">
        <f>'Adubos e corretivos'!T74</f>
        <v>0</v>
      </c>
      <c r="AN171" s="46">
        <f>'Adubos e corretivos'!U74</f>
        <v>0</v>
      </c>
      <c r="AO171" s="46">
        <f>'Adubos e corretivos'!V74</f>
        <v>0</v>
      </c>
    </row>
    <row r="172" spans="11:44" ht="20.25" customHeight="1" x14ac:dyDescent="0.25">
      <c r="K172" s="79"/>
      <c r="L172" s="79"/>
      <c r="M172" s="79"/>
      <c r="N172" s="79"/>
      <c r="O172" s="85"/>
      <c r="P172" s="85"/>
      <c r="Q172" s="85"/>
      <c r="R172" s="79"/>
      <c r="U172" s="294"/>
      <c r="V172" s="46" t="str">
        <f>'Adubos e corretivos'!C75</f>
        <v>Brexil Top</v>
      </c>
      <c r="W172" s="46">
        <f>'Adubos e corretivos'!D75</f>
        <v>40</v>
      </c>
      <c r="X172" s="46">
        <f>'Adubos e corretivos'!E75</f>
        <v>0</v>
      </c>
      <c r="Y172" s="46">
        <f>'Adubos e corretivos'!F75</f>
        <v>0</v>
      </c>
      <c r="Z172" s="46">
        <f>'Adubos e corretivos'!G75</f>
        <v>0</v>
      </c>
      <c r="AA172" s="46">
        <f>'Adubos e corretivos'!H75</f>
        <v>0</v>
      </c>
      <c r="AB172" s="46">
        <f>'Adubos e corretivos'!I75</f>
        <v>0</v>
      </c>
      <c r="AC172" s="46">
        <f>'Adubos e corretivos'!J75</f>
        <v>0</v>
      </c>
      <c r="AD172" s="46">
        <f>'Adubos e corretivos'!K75</f>
        <v>1.5</v>
      </c>
      <c r="AE172" s="46">
        <f>'Adubos e corretivos'!L75</f>
        <v>10</v>
      </c>
      <c r="AF172" s="46">
        <f>'Adubos e corretivos'!M75</f>
        <v>2</v>
      </c>
      <c r="AG172" s="46">
        <f>'Adubos e corretivos'!N75</f>
        <v>5</v>
      </c>
      <c r="AH172" s="46">
        <f>'Adubos e corretivos'!O75</f>
        <v>6</v>
      </c>
      <c r="AI172" s="46">
        <f>'Adubos e corretivos'!P75</f>
        <v>0</v>
      </c>
      <c r="AJ172" s="46">
        <f>'Adubos e corretivos'!Q75</f>
        <v>0.5</v>
      </c>
      <c r="AK172" s="46">
        <f>'Adubos e corretivos'!R75</f>
        <v>0</v>
      </c>
      <c r="AL172" s="46">
        <f>'Adubos e corretivos'!S75</f>
        <v>0</v>
      </c>
      <c r="AM172" s="46">
        <f>'Adubos e corretivos'!T75</f>
        <v>0</v>
      </c>
      <c r="AN172" s="46">
        <f>'Adubos e corretivos'!U75</f>
        <v>0</v>
      </c>
      <c r="AO172" s="46">
        <f>'Adubos e corretivos'!V75</f>
        <v>0</v>
      </c>
    </row>
    <row r="173" spans="11:44" ht="20.25" customHeight="1" x14ac:dyDescent="0.25">
      <c r="K173" s="79"/>
      <c r="L173" s="79"/>
      <c r="M173" s="79"/>
      <c r="N173" s="79"/>
      <c r="O173" s="85"/>
      <c r="P173" s="85"/>
      <c r="Q173" s="85"/>
      <c r="R173" s="79"/>
      <c r="U173" s="294"/>
      <c r="V173" s="46" t="str">
        <f>'Adubos e corretivos'!C76</f>
        <v>Molibdato de sódio</v>
      </c>
      <c r="W173" s="46">
        <f>'Adubos e corretivos'!D76</f>
        <v>154</v>
      </c>
      <c r="X173" s="46">
        <f>'Adubos e corretivos'!E76</f>
        <v>0</v>
      </c>
      <c r="Y173" s="46">
        <f>'Adubos e corretivos'!F76</f>
        <v>0</v>
      </c>
      <c r="Z173" s="46">
        <f>'Adubos e corretivos'!G76</f>
        <v>0</v>
      </c>
      <c r="AA173" s="46">
        <f>'Adubos e corretivos'!H76</f>
        <v>0</v>
      </c>
      <c r="AB173" s="46">
        <f>'Adubos e corretivos'!I76</f>
        <v>0</v>
      </c>
      <c r="AC173" s="46">
        <f>'Adubos e corretivos'!J76</f>
        <v>0</v>
      </c>
      <c r="AD173" s="46">
        <f>'Adubos e corretivos'!K76</f>
        <v>0</v>
      </c>
      <c r="AE173" s="46">
        <f>'Adubos e corretivos'!L76</f>
        <v>0</v>
      </c>
      <c r="AF173" s="46">
        <f>'Adubos e corretivos'!M76</f>
        <v>0</v>
      </c>
      <c r="AG173" s="46">
        <f>'Adubos e corretivos'!N76</f>
        <v>0</v>
      </c>
      <c r="AH173" s="46">
        <f>'Adubos e corretivos'!O76</f>
        <v>0</v>
      </c>
      <c r="AI173" s="46">
        <f>'Adubos e corretivos'!P76</f>
        <v>0</v>
      </c>
      <c r="AJ173" s="46">
        <f>'Adubos e corretivos'!Q76</f>
        <v>39</v>
      </c>
      <c r="AK173" s="46">
        <f>'Adubos e corretivos'!R76</f>
        <v>0</v>
      </c>
      <c r="AL173" s="46">
        <f>'Adubos e corretivos'!S76</f>
        <v>0</v>
      </c>
      <c r="AM173" s="46">
        <f>'Adubos e corretivos'!T76</f>
        <v>0</v>
      </c>
      <c r="AN173" s="46">
        <f>'Adubos e corretivos'!U76</f>
        <v>0</v>
      </c>
      <c r="AO173" s="46">
        <f>'Adubos e corretivos'!V76</f>
        <v>0</v>
      </c>
    </row>
    <row r="174" spans="11:44" ht="20.25" customHeight="1" x14ac:dyDescent="0.25">
      <c r="K174" s="79"/>
      <c r="L174" s="79"/>
      <c r="M174" s="79"/>
      <c r="N174" s="79"/>
      <c r="O174" s="79"/>
      <c r="P174" s="79"/>
      <c r="Q174" s="79"/>
      <c r="R174" s="79"/>
      <c r="U174" s="294"/>
      <c r="V174" s="46" t="str">
        <f>'Adubos e corretivos'!C77</f>
        <v>Sulfato de cobre</v>
      </c>
      <c r="W174" s="46">
        <f>'Adubos e corretivos'!D77</f>
        <v>11.04</v>
      </c>
      <c r="X174" s="46">
        <f>'Adubos e corretivos'!E77</f>
        <v>0</v>
      </c>
      <c r="Y174" s="46">
        <f>'Adubos e corretivos'!F77</f>
        <v>0</v>
      </c>
      <c r="Z174" s="46">
        <f>'Adubos e corretivos'!G77</f>
        <v>0</v>
      </c>
      <c r="AA174" s="46">
        <f>'Adubos e corretivos'!H77</f>
        <v>0</v>
      </c>
      <c r="AB174" s="46">
        <f>'Adubos e corretivos'!I77</f>
        <v>0</v>
      </c>
      <c r="AC174" s="46">
        <f>'Adubos e corretivos'!J77</f>
        <v>0</v>
      </c>
      <c r="AD174" s="46">
        <f>'Adubos e corretivos'!K77</f>
        <v>0</v>
      </c>
      <c r="AE174" s="46">
        <f>'Adubos e corretivos'!L77</f>
        <v>12</v>
      </c>
      <c r="AF174" s="46">
        <f>'Adubos e corretivos'!M77</f>
        <v>0</v>
      </c>
      <c r="AG174" s="46">
        <f>'Adubos e corretivos'!N77</f>
        <v>0</v>
      </c>
      <c r="AH174" s="46">
        <f>'Adubos e corretivos'!O77</f>
        <v>0</v>
      </c>
      <c r="AI174" s="46">
        <f>'Adubos e corretivos'!P77</f>
        <v>25</v>
      </c>
      <c r="AJ174" s="46">
        <f>'Adubos e corretivos'!Q77</f>
        <v>0</v>
      </c>
      <c r="AK174" s="46">
        <f>'Adubos e corretivos'!R77</f>
        <v>0</v>
      </c>
      <c r="AL174" s="46">
        <f>'Adubos e corretivos'!S77</f>
        <v>0</v>
      </c>
      <c r="AM174" s="46">
        <f>'Adubos e corretivos'!T77</f>
        <v>0</v>
      </c>
      <c r="AN174" s="46">
        <f>'Adubos e corretivos'!U77</f>
        <v>0</v>
      </c>
      <c r="AO174" s="46">
        <f>'Adubos e corretivos'!V77</f>
        <v>0</v>
      </c>
    </row>
    <row r="175" spans="11:44" ht="20.25" customHeight="1" x14ac:dyDescent="0.25">
      <c r="K175" s="79"/>
      <c r="L175" s="79"/>
      <c r="M175" s="79"/>
      <c r="N175" s="79"/>
      <c r="O175" s="85"/>
      <c r="P175" s="85"/>
      <c r="Q175" s="85"/>
      <c r="R175" s="79"/>
      <c r="S175" s="79"/>
      <c r="U175" s="294"/>
      <c r="V175" s="46" t="str">
        <f>'Adubos e corretivos'!C78</f>
        <v>Sulfato de manganês</v>
      </c>
      <c r="W175" s="46">
        <f>'Adubos e corretivos'!D78</f>
        <v>6.72</v>
      </c>
      <c r="X175" s="46">
        <f>'Adubos e corretivos'!E78</f>
        <v>0</v>
      </c>
      <c r="Y175" s="46">
        <f>'Adubos e corretivos'!F78</f>
        <v>0</v>
      </c>
      <c r="Z175" s="46">
        <f>'Adubos e corretivos'!G78</f>
        <v>0</v>
      </c>
      <c r="AA175" s="46">
        <f>'Adubos e corretivos'!H78</f>
        <v>0</v>
      </c>
      <c r="AB175" s="46">
        <f>'Adubos e corretivos'!I78</f>
        <v>0</v>
      </c>
      <c r="AC175" s="46">
        <f>'Adubos e corretivos'!J78</f>
        <v>0</v>
      </c>
      <c r="AD175" s="46">
        <f>'Adubos e corretivos'!K78</f>
        <v>0</v>
      </c>
      <c r="AE175" s="46">
        <f>'Adubos e corretivos'!L78</f>
        <v>21</v>
      </c>
      <c r="AF175" s="46">
        <f>'Adubos e corretivos'!M78</f>
        <v>0</v>
      </c>
      <c r="AG175" s="46">
        <f>'Adubos e corretivos'!N78</f>
        <v>26</v>
      </c>
      <c r="AH175" s="46">
        <f>'Adubos e corretivos'!O78</f>
        <v>0</v>
      </c>
      <c r="AI175" s="46">
        <f>'Adubos e corretivos'!P78</f>
        <v>0</v>
      </c>
      <c r="AJ175" s="46">
        <f>'Adubos e corretivos'!Q78</f>
        <v>0</v>
      </c>
      <c r="AK175" s="46">
        <f>'Adubos e corretivos'!R78</f>
        <v>0</v>
      </c>
      <c r="AL175" s="46">
        <f>'Adubos e corretivos'!S78</f>
        <v>0</v>
      </c>
      <c r="AM175" s="46">
        <f>'Adubos e corretivos'!T78</f>
        <v>0</v>
      </c>
      <c r="AN175" s="46">
        <f>'Adubos e corretivos'!U78</f>
        <v>0</v>
      </c>
      <c r="AO175" s="46">
        <f>'Adubos e corretivos'!V78</f>
        <v>0</v>
      </c>
    </row>
    <row r="176" spans="11:44" ht="20.25" customHeight="1" x14ac:dyDescent="0.25">
      <c r="K176" s="79"/>
      <c r="L176" s="79"/>
      <c r="M176" s="79"/>
      <c r="N176" s="79"/>
      <c r="O176" s="79"/>
      <c r="P176" s="79"/>
      <c r="Q176" s="79"/>
      <c r="R176" s="79"/>
      <c r="S176" s="79"/>
      <c r="U176" s="294"/>
      <c r="V176" s="46" t="str">
        <f>'Adubos e corretivos'!C79</f>
        <v>Sulfato de zinco</v>
      </c>
      <c r="W176" s="46">
        <f>'Adubos e corretivos'!D79</f>
        <v>6.16</v>
      </c>
      <c r="X176" s="46">
        <f>'Adubos e corretivos'!E79</f>
        <v>0</v>
      </c>
      <c r="Y176" s="46">
        <f>'Adubos e corretivos'!F79</f>
        <v>0</v>
      </c>
      <c r="Z176" s="46">
        <f>'Adubos e corretivos'!G79</f>
        <v>0</v>
      </c>
      <c r="AA176" s="46">
        <f>'Adubos e corretivos'!H79</f>
        <v>0</v>
      </c>
      <c r="AB176" s="46">
        <f>'Adubos e corretivos'!I79</f>
        <v>0</v>
      </c>
      <c r="AC176" s="46">
        <f>'Adubos e corretivos'!J79</f>
        <v>0</v>
      </c>
      <c r="AD176" s="46">
        <f>'Adubos e corretivos'!K79</f>
        <v>0</v>
      </c>
      <c r="AE176" s="46">
        <f>'Adubos e corretivos'!L79</f>
        <v>17</v>
      </c>
      <c r="AF176" s="46">
        <f>'Adubos e corretivos'!M79</f>
        <v>0</v>
      </c>
      <c r="AG176" s="46">
        <f>'Adubos e corretivos'!N79</f>
        <v>0</v>
      </c>
      <c r="AH176" s="46">
        <f>'Adubos e corretivos'!O79</f>
        <v>35</v>
      </c>
      <c r="AI176" s="46">
        <f>'Adubos e corretivos'!P79</f>
        <v>0</v>
      </c>
      <c r="AJ176" s="46">
        <f>'Adubos e corretivos'!Q79</f>
        <v>0</v>
      </c>
      <c r="AK176" s="46">
        <f>'Adubos e corretivos'!R79</f>
        <v>0</v>
      </c>
      <c r="AL176" s="46">
        <f>'Adubos e corretivos'!S79</f>
        <v>0</v>
      </c>
      <c r="AM176" s="46">
        <f>'Adubos e corretivos'!T79</f>
        <v>0</v>
      </c>
      <c r="AN176" s="46">
        <f>'Adubos e corretivos'!U79</f>
        <v>0</v>
      </c>
      <c r="AO176" s="46">
        <f>'Adubos e corretivos'!V79</f>
        <v>0</v>
      </c>
    </row>
    <row r="177" spans="11:41" ht="20.25" customHeight="1" x14ac:dyDescent="0.25">
      <c r="K177" s="79"/>
      <c r="L177" s="79"/>
      <c r="M177" s="79"/>
      <c r="N177" s="79"/>
      <c r="O177" s="79"/>
      <c r="P177" s="79"/>
      <c r="Q177" s="79"/>
      <c r="R177" s="79"/>
      <c r="S177" s="79"/>
      <c r="U177" s="294"/>
      <c r="V177" s="46" t="str">
        <f>'Adubos e corretivos'!C80</f>
        <v>Ferrelene</v>
      </c>
      <c r="W177" s="46">
        <f>'Adubos e corretivos'!D80</f>
        <v>78</v>
      </c>
      <c r="X177" s="46">
        <f>'Adubos e corretivos'!E80</f>
        <v>0</v>
      </c>
      <c r="Y177" s="46">
        <f>'Adubos e corretivos'!F80</f>
        <v>0</v>
      </c>
      <c r="Z177" s="46">
        <f>'Adubos e corretivos'!G80</f>
        <v>0</v>
      </c>
      <c r="AA177" s="46">
        <f>'Adubos e corretivos'!H80</f>
        <v>0</v>
      </c>
      <c r="AB177" s="46">
        <f>'Adubos e corretivos'!I80</f>
        <v>0</v>
      </c>
      <c r="AC177" s="46">
        <f>'Adubos e corretivos'!J80</f>
        <v>0</v>
      </c>
      <c r="AD177" s="46">
        <f>'Adubos e corretivos'!K80</f>
        <v>0</v>
      </c>
      <c r="AE177" s="46">
        <f>'Adubos e corretivos'!L80</f>
        <v>0</v>
      </c>
      <c r="AF177" s="46">
        <f>'Adubos e corretivos'!M80</f>
        <v>0</v>
      </c>
      <c r="AG177" s="46">
        <f>'Adubos e corretivos'!N80</f>
        <v>0</v>
      </c>
      <c r="AH177" s="46">
        <f>'Adubos e corretivos'!O80</f>
        <v>0</v>
      </c>
      <c r="AI177" s="46">
        <f>'Adubos e corretivos'!P80</f>
        <v>0</v>
      </c>
      <c r="AJ177" s="46">
        <f>'Adubos e corretivos'!Q80</f>
        <v>0</v>
      </c>
      <c r="AK177" s="46">
        <f>'Adubos e corretivos'!R80</f>
        <v>6</v>
      </c>
      <c r="AL177" s="46">
        <f>'Adubos e corretivos'!S80</f>
        <v>0</v>
      </c>
      <c r="AM177" s="46">
        <f>'Adubos e corretivos'!T80</f>
        <v>0</v>
      </c>
      <c r="AN177" s="46">
        <f>'Adubos e corretivos'!U80</f>
        <v>0</v>
      </c>
      <c r="AO177" s="46">
        <f>'Adubos e corretivos'!V80</f>
        <v>0</v>
      </c>
    </row>
    <row r="178" spans="11:41" ht="20.25" customHeight="1" x14ac:dyDescent="0.25">
      <c r="K178" s="79"/>
      <c r="L178" s="79"/>
      <c r="M178" s="79"/>
      <c r="N178" s="79"/>
      <c r="O178" s="79"/>
      <c r="P178" s="79"/>
      <c r="Q178" s="79"/>
      <c r="R178" s="79"/>
      <c r="S178" s="79"/>
      <c r="U178" s="294"/>
      <c r="V178" s="46" t="str">
        <f>'Adubos e corretivos'!C81</f>
        <v>FTE BR 12</v>
      </c>
      <c r="W178" s="46">
        <f>'Adubos e corretivos'!D81</f>
        <v>0</v>
      </c>
      <c r="X178" s="46">
        <f>'Adubos e corretivos'!E81</f>
        <v>0</v>
      </c>
      <c r="Y178" s="46">
        <f>'Adubos e corretivos'!F81</f>
        <v>0</v>
      </c>
      <c r="Z178" s="46">
        <f>'Adubos e corretivos'!G81</f>
        <v>0</v>
      </c>
      <c r="AA178" s="46">
        <f>'Adubos e corretivos'!H81</f>
        <v>0</v>
      </c>
      <c r="AB178" s="46">
        <f>'Adubos e corretivos'!I81</f>
        <v>0</v>
      </c>
      <c r="AC178" s="46">
        <f>'Adubos e corretivos'!J81</f>
        <v>0</v>
      </c>
      <c r="AD178" s="46">
        <f>'Adubos e corretivos'!K81</f>
        <v>0</v>
      </c>
      <c r="AE178" s="46">
        <f>'Adubos e corretivos'!L81</f>
        <v>3.9</v>
      </c>
      <c r="AF178" s="46">
        <f>'Adubos e corretivos'!M81</f>
        <v>1.8</v>
      </c>
      <c r="AG178" s="46">
        <f>'Adubos e corretivos'!N81</f>
        <v>2</v>
      </c>
      <c r="AH178" s="46">
        <f>'Adubos e corretivos'!O81</f>
        <v>9</v>
      </c>
      <c r="AI178" s="46">
        <f>'Adubos e corretivos'!P81</f>
        <v>0.85</v>
      </c>
      <c r="AJ178" s="46">
        <f>'Adubos e corretivos'!Q81</f>
        <v>0</v>
      </c>
      <c r="AK178" s="46">
        <f>'Adubos e corretivos'!R81</f>
        <v>0</v>
      </c>
      <c r="AL178" s="46">
        <f>'Adubos e corretivos'!S81</f>
        <v>0</v>
      </c>
      <c r="AM178" s="46">
        <f>'Adubos e corretivos'!T81</f>
        <v>0</v>
      </c>
      <c r="AN178" s="46">
        <f>'Adubos e corretivos'!U81</f>
        <v>0</v>
      </c>
      <c r="AO178" s="46">
        <f>'Adubos e corretivos'!V81</f>
        <v>0</v>
      </c>
    </row>
    <row r="179" spans="11:41" ht="20.25" customHeight="1" x14ac:dyDescent="0.25">
      <c r="K179" s="79"/>
      <c r="L179" s="79"/>
      <c r="M179" s="79"/>
      <c r="N179" s="79"/>
      <c r="O179" s="79"/>
      <c r="P179" s="79"/>
      <c r="Q179" s="79"/>
      <c r="R179" s="79"/>
      <c r="S179" s="79"/>
      <c r="U179" s="294"/>
      <c r="V179" s="46" t="str">
        <f>'Adubos e corretivos'!C82</f>
        <v>Gran 12</v>
      </c>
      <c r="W179" s="46">
        <f>'Adubos e corretivos'!D82</f>
        <v>2.72</v>
      </c>
      <c r="X179" s="46">
        <f>'Adubos e corretivos'!E82</f>
        <v>0</v>
      </c>
      <c r="Y179" s="46">
        <f>'Adubos e corretivos'!F82</f>
        <v>0</v>
      </c>
      <c r="Z179" s="46">
        <f>'Adubos e corretivos'!G82</f>
        <v>0</v>
      </c>
      <c r="AA179" s="46">
        <f>'Adubos e corretivos'!H82</f>
        <v>0</v>
      </c>
      <c r="AB179" s="46">
        <f>'Adubos e corretivos'!I82</f>
        <v>0</v>
      </c>
      <c r="AC179" s="46">
        <f>'Adubos e corretivos'!J82</f>
        <v>1.5</v>
      </c>
      <c r="AD179" s="46">
        <f>'Adubos e corretivos'!K82</f>
        <v>0</v>
      </c>
      <c r="AE179" s="46">
        <f>'Adubos e corretivos'!L82</f>
        <v>3.2</v>
      </c>
      <c r="AF179" s="46">
        <f>'Adubos e corretivos'!M82</f>
        <v>1.8</v>
      </c>
      <c r="AG179" s="46">
        <f>'Adubos e corretivos'!N82</f>
        <v>2.1</v>
      </c>
      <c r="AH179" s="46">
        <f>'Adubos e corretivos'!O82</f>
        <v>9</v>
      </c>
      <c r="AI179" s="46">
        <f>'Adubos e corretivos'!P82</f>
        <v>0.85</v>
      </c>
      <c r="AJ179" s="46">
        <f>'Adubos e corretivos'!Q82</f>
        <v>0.1</v>
      </c>
      <c r="AK179" s="46">
        <f>'Adubos e corretivos'!R82</f>
        <v>0</v>
      </c>
      <c r="AL179" s="46">
        <f>'Adubos e corretivos'!S82</f>
        <v>0</v>
      </c>
      <c r="AM179" s="46">
        <f>'Adubos e corretivos'!T82</f>
        <v>0</v>
      </c>
      <c r="AN179" s="46">
        <f>'Adubos e corretivos'!U82</f>
        <v>0</v>
      </c>
      <c r="AO179" s="46">
        <f>'Adubos e corretivos'!V82</f>
        <v>0</v>
      </c>
    </row>
  </sheetData>
  <mergeCells count="232">
    <mergeCell ref="M2:R2"/>
    <mergeCell ref="U3:X5"/>
    <mergeCell ref="Y3:AD6"/>
    <mergeCell ref="M4:N4"/>
    <mergeCell ref="O4:P4"/>
    <mergeCell ref="AP4:AP5"/>
    <mergeCell ref="AQ4:AR5"/>
    <mergeCell ref="AV4:AV5"/>
    <mergeCell ref="M5:N25"/>
    <mergeCell ref="V6:X6"/>
    <mergeCell ref="AQ6:AR6"/>
    <mergeCell ref="Z7:AB7"/>
    <mergeCell ref="AF7:AM7"/>
    <mergeCell ref="AQ7:AR7"/>
    <mergeCell ref="AD8:AD11"/>
    <mergeCell ref="AG8:AH8"/>
    <mergeCell ref="AI8:AJ8"/>
    <mergeCell ref="AQ8:AR8"/>
    <mergeCell ref="AF15:AF17"/>
    <mergeCell ref="AJ15:AJ17"/>
    <mergeCell ref="AK15:AK17"/>
    <mergeCell ref="AL15:AL17"/>
    <mergeCell ref="AM15:AM17"/>
    <mergeCell ref="Z21:AB21"/>
    <mergeCell ref="B9:I9"/>
    <mergeCell ref="AF9:AF11"/>
    <mergeCell ref="AJ9:AJ11"/>
    <mergeCell ref="AK9:AK11"/>
    <mergeCell ref="AL9:AL11"/>
    <mergeCell ref="AM9:AM11"/>
    <mergeCell ref="AP10:AP11"/>
    <mergeCell ref="AQ10:AR11"/>
    <mergeCell ref="AV10:AV11"/>
    <mergeCell ref="C11:I11"/>
    <mergeCell ref="C12:I12"/>
    <mergeCell ref="AF12:AF14"/>
    <mergeCell ref="AJ12:AJ14"/>
    <mergeCell ref="AK12:AK14"/>
    <mergeCell ref="AL12:AL14"/>
    <mergeCell ref="AM12:AM14"/>
    <mergeCell ref="AQ12:AR12"/>
    <mergeCell ref="C13:I13"/>
    <mergeCell ref="AQ13:AR13"/>
    <mergeCell ref="C14:G14"/>
    <mergeCell ref="AQ14:AR14"/>
    <mergeCell ref="B16:I16"/>
    <mergeCell ref="AP16:AP17"/>
    <mergeCell ref="AQ16:AR17"/>
    <mergeCell ref="AV16:AV17"/>
    <mergeCell ref="U17:X19"/>
    <mergeCell ref="Y17:AD20"/>
    <mergeCell ref="B18:D18"/>
    <mergeCell ref="F18:H18"/>
    <mergeCell ref="AF18:AF20"/>
    <mergeCell ref="AJ18:AJ20"/>
    <mergeCell ref="AK18:AK20"/>
    <mergeCell ref="AL18:AL20"/>
    <mergeCell ref="AD22:AD23"/>
    <mergeCell ref="AP25:AP26"/>
    <mergeCell ref="AQ25:AR26"/>
    <mergeCell ref="B26:I26"/>
    <mergeCell ref="U26:Z26"/>
    <mergeCell ref="AM18:AM20"/>
    <mergeCell ref="AQ18:AR18"/>
    <mergeCell ref="AQ19:AR19"/>
    <mergeCell ref="B20:E20"/>
    <mergeCell ref="V20:X20"/>
    <mergeCell ref="AQ20:AR20"/>
    <mergeCell ref="B27:C28"/>
    <mergeCell ref="E27:I27"/>
    <mergeCell ref="AP27:AP36"/>
    <mergeCell ref="AQ27:AR27"/>
    <mergeCell ref="E28:I28"/>
    <mergeCell ref="AQ28:AR28"/>
    <mergeCell ref="B29:C30"/>
    <mergeCell ref="E29:I29"/>
    <mergeCell ref="M29:N34"/>
    <mergeCell ref="O29:Q29"/>
    <mergeCell ref="AB29:AC29"/>
    <mergeCell ref="AQ29:AR29"/>
    <mergeCell ref="E30:I30"/>
    <mergeCell ref="AQ30:AR30"/>
    <mergeCell ref="B31:I33"/>
    <mergeCell ref="O31:Q31"/>
    <mergeCell ref="AQ31:AR31"/>
    <mergeCell ref="AQ32:AR32"/>
    <mergeCell ref="O33:Q33"/>
    <mergeCell ref="AQ33:AR33"/>
    <mergeCell ref="B34:I34"/>
    <mergeCell ref="O34:Q34"/>
    <mergeCell ref="AQ34:AR34"/>
    <mergeCell ref="B35:C36"/>
    <mergeCell ref="E35:I35"/>
    <mergeCell ref="AB35:AC35"/>
    <mergeCell ref="AQ35:AR35"/>
    <mergeCell ref="E36:I36"/>
    <mergeCell ref="M36:R36"/>
    <mergeCell ref="AB36:AC36"/>
    <mergeCell ref="AQ36:AR36"/>
    <mergeCell ref="B37:I38"/>
    <mergeCell ref="M38:N42"/>
    <mergeCell ref="O38:Q38"/>
    <mergeCell ref="AB38:AC38"/>
    <mergeCell ref="B39:I39"/>
    <mergeCell ref="P39:Q39"/>
    <mergeCell ref="AB39:AC39"/>
    <mergeCell ref="AP39:AQ39"/>
    <mergeCell ref="B40:C40"/>
    <mergeCell ref="B42:C42"/>
    <mergeCell ref="E42:I42"/>
    <mergeCell ref="O42:Q42"/>
    <mergeCell ref="AP42:AQ42"/>
    <mergeCell ref="B43:C43"/>
    <mergeCell ref="E43:I43"/>
    <mergeCell ref="AP43:AQ43"/>
    <mergeCell ref="E40:I40"/>
    <mergeCell ref="AP40:AQ40"/>
    <mergeCell ref="B41:C41"/>
    <mergeCell ref="E41:I41"/>
    <mergeCell ref="O41:Q41"/>
    <mergeCell ref="AP41:AQ41"/>
    <mergeCell ref="B44:C44"/>
    <mergeCell ref="E44:I44"/>
    <mergeCell ref="M44:R44"/>
    <mergeCell ref="AP44:AQ44"/>
    <mergeCell ref="B45:C45"/>
    <mergeCell ref="E45:I45"/>
    <mergeCell ref="O45:Q46"/>
    <mergeCell ref="U45:V45"/>
    <mergeCell ref="X45:Z45"/>
    <mergeCell ref="B46:C46"/>
    <mergeCell ref="X48:Y48"/>
    <mergeCell ref="B49:C49"/>
    <mergeCell ref="E49:I49"/>
    <mergeCell ref="X49:Y49"/>
    <mergeCell ref="B50:I53"/>
    <mergeCell ref="O50:P50"/>
    <mergeCell ref="E46:I46"/>
    <mergeCell ref="M46:N50"/>
    <mergeCell ref="X46:Y46"/>
    <mergeCell ref="B47:C47"/>
    <mergeCell ref="E47:I47"/>
    <mergeCell ref="O47:P47"/>
    <mergeCell ref="X47:Y47"/>
    <mergeCell ref="B48:C48"/>
    <mergeCell ref="E48:I48"/>
    <mergeCell ref="O48:Q49"/>
    <mergeCell ref="AT50:AW50"/>
    <mergeCell ref="B54:I54"/>
    <mergeCell ref="M54:N68"/>
    <mergeCell ref="O54:Q54"/>
    <mergeCell ref="U54:U55"/>
    <mergeCell ref="V54:V55"/>
    <mergeCell ref="W54:W55"/>
    <mergeCell ref="X54:AA54"/>
    <mergeCell ref="AP54:AP55"/>
    <mergeCell ref="AQ54:AQ55"/>
    <mergeCell ref="AS54:AS55"/>
    <mergeCell ref="B55:C55"/>
    <mergeCell ref="E55:I55"/>
    <mergeCell ref="O55:Q55"/>
    <mergeCell ref="B56:C56"/>
    <mergeCell ref="E56:I56"/>
    <mergeCell ref="O56:Q64"/>
    <mergeCell ref="U56:U68"/>
    <mergeCell ref="B57:C57"/>
    <mergeCell ref="E57:I57"/>
    <mergeCell ref="B60:I63"/>
    <mergeCell ref="B64:E66"/>
    <mergeCell ref="F64:I66"/>
    <mergeCell ref="O66:Q67"/>
    <mergeCell ref="O92:P92"/>
    <mergeCell ref="B67:E67"/>
    <mergeCell ref="F67:I67"/>
    <mergeCell ref="AQ57:AR57"/>
    <mergeCell ref="B58:C58"/>
    <mergeCell ref="E58:I58"/>
    <mergeCell ref="AQ58:AR58"/>
    <mergeCell ref="B59:C59"/>
    <mergeCell ref="E59:I59"/>
    <mergeCell ref="AQ59:AR59"/>
    <mergeCell ref="O83:P83"/>
    <mergeCell ref="O84:P84"/>
    <mergeCell ref="U85:U86"/>
    <mergeCell ref="O94:Q94"/>
    <mergeCell ref="O68:Q68"/>
    <mergeCell ref="U71:U72"/>
    <mergeCell ref="V71:V72"/>
    <mergeCell ref="W71:W72"/>
    <mergeCell ref="X71:Z71"/>
    <mergeCell ref="M72:N92"/>
    <mergeCell ref="O72:Q72"/>
    <mergeCell ref="O73:Q73"/>
    <mergeCell ref="U73:U82"/>
    <mergeCell ref="O74:P74"/>
    <mergeCell ref="V85:V86"/>
    <mergeCell ref="W85:W86"/>
    <mergeCell ref="O86:Q86"/>
    <mergeCell ref="O75:P75"/>
    <mergeCell ref="O76:P76"/>
    <mergeCell ref="O78:Q78"/>
    <mergeCell ref="O80:Q80"/>
    <mergeCell ref="O81:Q81"/>
    <mergeCell ref="O82:P82"/>
    <mergeCell ref="O88:Q88"/>
    <mergeCell ref="O89:Q89"/>
    <mergeCell ref="O90:P90"/>
    <mergeCell ref="O91:P91"/>
    <mergeCell ref="U170:U179"/>
    <mergeCell ref="X98:AO98"/>
    <mergeCell ref="X85:AE85"/>
    <mergeCell ref="U115:U130"/>
    <mergeCell ref="U131:U150"/>
    <mergeCell ref="U151:U159"/>
    <mergeCell ref="N158:P158"/>
    <mergeCell ref="N159:P159"/>
    <mergeCell ref="U160:U169"/>
    <mergeCell ref="M100:N100"/>
    <mergeCell ref="U100:U114"/>
    <mergeCell ref="M104:N109"/>
    <mergeCell ref="O104:Q104"/>
    <mergeCell ref="O105:Q105"/>
    <mergeCell ref="O106:Q106"/>
    <mergeCell ref="O107:Q107"/>
    <mergeCell ref="O108:Q108"/>
    <mergeCell ref="O109:Q109"/>
    <mergeCell ref="M98:N98"/>
    <mergeCell ref="U98:U99"/>
    <mergeCell ref="V98:V99"/>
    <mergeCell ref="W98:W99"/>
    <mergeCell ref="M99:N99"/>
    <mergeCell ref="U87:U95"/>
  </mergeCells>
  <dataValidations count="5">
    <dataValidation type="list" allowBlank="1" showInputMessage="1" showErrorMessage="1" sqref="O105:Q109">
      <formula1>$V$170:$V$179</formula1>
    </dataValidation>
    <dataValidation type="list" allowBlank="1" showInputMessage="1" showErrorMessage="1" sqref="O42:Q42">
      <formula1>$AK$29:$AK$38</formula1>
    </dataValidation>
    <dataValidation type="list" allowBlank="1" showInputMessage="1" showErrorMessage="1" sqref="Q82:Q84 Q90:Q92 Q74:Q76 Q47 Q50">
      <formula1>$AI$29:$AI$40</formula1>
    </dataValidation>
    <dataValidation type="list" allowBlank="1" showInputMessage="1" showErrorMessage="1" sqref="P39:Q39">
      <formula1>$AE$31:$AE$34</formula1>
    </dataValidation>
    <dataValidation type="list" allowBlank="1" showInputMessage="1" showErrorMessage="1" sqref="O68 O176 N159 O174">
      <formula1>$AG$29:$AG$30</formula1>
    </dataValidation>
  </dataValidations>
  <hyperlinks>
    <hyperlink ref="M4:N4" location="Apresentação!A1" display="Voltar"/>
  </hyperlinks>
  <pageMargins left="0.19685039370078741" right="0" top="0.59055118110236227" bottom="0.39370078740157483" header="0.19685039370078741" footer="0"/>
  <pageSetup paperSize="9" scale="58" orientation="portrait" r:id="rId1"/>
  <headerFooter>
    <oddHeader>&amp;C&amp;"+,Negrito"&amp;24&amp;A</oddHeader>
    <oddFooter>&amp;CBrasília – Patrimônio Cultural da Humanidade        
 SAIN - PARQUE ESTAÇÃO BIOLÓGICA - ED. EMATER-DF – BRASÍLIA-DF - CEP 70.770-915 
 Fone: (61) 3340-3030 - Fax: (61) 3340-3006 
          E-mail : emater@emater.df.gov.br     Site: www.emater.df.gov.br</oddFoot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'Adubos e corretivos'!$C$3:$C$62</xm:f>
          </x14:formula1>
          <xm:sqref>O74:P76 O82:P84 O90:P92</xm:sqref>
        </x14:dataValidation>
        <x14:dataValidation type="list" allowBlank="1" showInputMessage="1" showErrorMessage="1">
          <x14:formula1>
            <xm:f>'Adubos e corretivos'!$C$63:$C$72</xm:f>
          </x14:formula1>
          <xm:sqref>O50:P50</xm:sqref>
        </x14:dataValidation>
        <x14:dataValidation type="list" allowBlank="1" showInputMessage="1" showErrorMessage="1">
          <x14:formula1>
            <xm:f>'Adubos e corretivos'!$C$104:$C$113</xm:f>
          </x14:formula1>
          <xm:sqref>O55:Q55</xm:sqref>
        </x14:dataValidation>
        <x14:dataValidation type="list" allowBlank="1" showInputMessage="1" showErrorMessage="1">
          <x14:formula1>
            <xm:f>'Adubos e corretivos'!$C$87:$C$99</xm:f>
          </x14:formula1>
          <xm:sqref>O47:P47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29</vt:i4>
      </vt:variant>
      <vt:variant>
        <vt:lpstr>Intervalos nomeados</vt:lpstr>
      </vt:variant>
      <vt:variant>
        <vt:i4>23</vt:i4>
      </vt:variant>
    </vt:vector>
  </HeadingPairs>
  <TitlesOfParts>
    <vt:vector size="52" baseType="lpstr">
      <vt:lpstr>Apresentação</vt:lpstr>
      <vt:lpstr>Culturas</vt:lpstr>
      <vt:lpstr>Adubos e corretivos</vt:lpstr>
      <vt:lpstr>Análise de solo</vt:lpstr>
      <vt:lpstr>Análise foliar</vt:lpstr>
      <vt:lpstr>Abacate formação</vt:lpstr>
      <vt:lpstr>Abacate produção</vt:lpstr>
      <vt:lpstr>Abacaxi produção</vt:lpstr>
      <vt:lpstr>Acerola formação</vt:lpstr>
      <vt:lpstr>Acerola produção</vt:lpstr>
      <vt:lpstr>Banana formação</vt:lpstr>
      <vt:lpstr>Banana produção</vt:lpstr>
      <vt:lpstr>Citros formação</vt:lpstr>
      <vt:lpstr>Citros produção</vt:lpstr>
      <vt:lpstr>Goiaba formação</vt:lpstr>
      <vt:lpstr>Goiaba produção</vt:lpstr>
      <vt:lpstr>Graviola formação</vt:lpstr>
      <vt:lpstr>Graviola produção</vt:lpstr>
      <vt:lpstr>Mamão produção</vt:lpstr>
      <vt:lpstr>Manga formação</vt:lpstr>
      <vt:lpstr>Manga produção</vt:lpstr>
      <vt:lpstr>Maracujá produção</vt:lpstr>
      <vt:lpstr>Pitaya formação</vt:lpstr>
      <vt:lpstr>Pitaya produção</vt:lpstr>
      <vt:lpstr>Pupunha formação e produção</vt:lpstr>
      <vt:lpstr>Seringueira formação e produção</vt:lpstr>
      <vt:lpstr>Saturação de base e PRNT</vt:lpstr>
      <vt:lpstr>Espaçamentos</vt:lpstr>
      <vt:lpstr>Conversão de unidades</vt:lpstr>
      <vt:lpstr>'Abacate formação'!Area_de_impressao</vt:lpstr>
      <vt:lpstr>'Abacate produção'!Area_de_impressao</vt:lpstr>
      <vt:lpstr>'Abacaxi produção'!Area_de_impressao</vt:lpstr>
      <vt:lpstr>'Acerola formação'!Area_de_impressao</vt:lpstr>
      <vt:lpstr>'Acerola produção'!Area_de_impressao</vt:lpstr>
      <vt:lpstr>'Análise de solo'!Area_de_impressao</vt:lpstr>
      <vt:lpstr>'Análise foliar'!Area_de_impressao</vt:lpstr>
      <vt:lpstr>'Banana formação'!Area_de_impressao</vt:lpstr>
      <vt:lpstr>'Banana produção'!Area_de_impressao</vt:lpstr>
      <vt:lpstr>'Citros formação'!Area_de_impressao</vt:lpstr>
      <vt:lpstr>'Citros produção'!Area_de_impressao</vt:lpstr>
      <vt:lpstr>'Goiaba formação'!Area_de_impressao</vt:lpstr>
      <vt:lpstr>'Goiaba produção'!Area_de_impressao</vt:lpstr>
      <vt:lpstr>'Graviola formação'!Area_de_impressao</vt:lpstr>
      <vt:lpstr>'Graviola produção'!Area_de_impressao</vt:lpstr>
      <vt:lpstr>'Mamão produção'!Area_de_impressao</vt:lpstr>
      <vt:lpstr>'Manga formação'!Area_de_impressao</vt:lpstr>
      <vt:lpstr>'Manga produção'!Area_de_impressao</vt:lpstr>
      <vt:lpstr>'Maracujá produção'!Area_de_impressao</vt:lpstr>
      <vt:lpstr>'Pitaya formação'!Area_de_impressao</vt:lpstr>
      <vt:lpstr>'Pitaya produção'!Area_de_impressao</vt:lpstr>
      <vt:lpstr>'Pupunha formação e produção'!Area_de_impressao</vt:lpstr>
      <vt:lpstr>'Seringueira formação e produção'!Area_de_impressao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tecnico</dc:creator>
  <cp:lastModifiedBy>Edna</cp:lastModifiedBy>
  <cp:lastPrinted>2020-06-23T17:07:26Z</cp:lastPrinted>
  <dcterms:created xsi:type="dcterms:W3CDTF">2020-03-27T13:09:22Z</dcterms:created>
  <dcterms:modified xsi:type="dcterms:W3CDTF">2020-06-23T18:53:13Z</dcterms:modified>
</cp:coreProperties>
</file>