
<file path=[Content_Types].xml><?xml version="1.0" encoding="utf-8"?>
<Types xmlns="http://schemas.openxmlformats.org/package/2006/content-types">
  <Default Extension="doc" ContentType="application/msword"/>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drawings/drawing9.xml" ContentType="application/vnd.openxmlformats-officedocument.drawing+xml"/>
  <Override PartName="/xl/comments6.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comments8.xml" ContentType="application/vnd.openxmlformats-officedocument.spreadsheetml.comments+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drawings/drawing14.xml" ContentType="application/vnd.openxmlformats-officedocument.drawingml.chartshapes+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15.xml" ContentType="application/vnd.openxmlformats-officedocument.drawing+xml"/>
  <Override PartName="/xl/charts/chart3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codeName="חוברת_עבודה_זו"/>
  <mc:AlternateContent xmlns:mc="http://schemas.openxmlformats.org/markup-compatibility/2006">
    <mc:Choice Requires="x15">
      <x15ac:absPath xmlns:x15ac="http://schemas.microsoft.com/office/spreadsheetml/2010/11/ac" url="C:\Users\bend\Downloads\"/>
    </mc:Choice>
  </mc:AlternateContent>
  <xr:revisionPtr revIDLastSave="0" documentId="8_{81862116-1705-4155-803C-93C308381B3A}" xr6:coauthVersionLast="47" xr6:coauthVersionMax="47" xr10:uidLastSave="{00000000-0000-0000-0000-000000000000}"/>
  <bookViews>
    <workbookView xWindow="28680" yWindow="-795" windowWidth="29040" windowHeight="15720" tabRatio="878" xr2:uid="{00000000-000D-0000-FFFF-FFFF00000000}"/>
  </bookViews>
  <sheets>
    <sheet name="IC&amp;CF&amp;BS" sheetId="95" r:id="rId1"/>
    <sheet name="Reported Rev.. Split" sheetId="96" r:id="rId2"/>
    <sheet name="DCF 1.6.2025" sheetId="99" r:id="rId3"/>
    <sheet name="Q2.25F" sheetId="105" r:id="rId4"/>
    <sheet name="Final Potash Pricing Q1.25" sheetId="97" r:id="rId5"/>
    <sheet name="Consolidated Sector Results" sheetId="98" r:id="rId6"/>
    <sheet name="ייצור שנתי בעתיד" sheetId="63" r:id="rId7"/>
    <sheet name="ריכוז תוצאות EBITDA ו- FFO" sheetId="101" state="hidden" r:id="rId8"/>
    <sheet name="היצע מול ביקוש ברנשטיין" sheetId="104" state="hidden" r:id="rId9"/>
    <sheet name="Comps" sheetId="102" r:id="rId10"/>
    <sheet name="ביצועים מול Peer" sheetId="100" state="hidden" r:id="rId11"/>
    <sheet name="השפעת גידול במכירות על על' המכר" sheetId="83" state="hidden" r:id="rId12"/>
    <sheet name=" מאזן ויחסי יעילות תפעולית" sheetId="2" state="hidden" r:id="rId13"/>
    <sheet name="ביאור עלות מכר והנהלה וכלליות" sheetId="66" state="hidden" r:id="rId14"/>
    <sheet name="השקעה ברכוש קבוע" sheetId="20" state="hidden" r:id="rId15"/>
    <sheet name="תחשיב Wacc" sheetId="25" state="hidden" r:id="rId16"/>
    <sheet name="תמלוגים" sheetId="34" state="hidden" r:id="rId17"/>
    <sheet name="דיבידנדים שנים קודמות" sheetId="54" state="hidden" r:id="rId18"/>
    <sheet name="נתחי שוק סין, הודו, ברזיל" sheetId="52" state="hidden" r:id="rId19"/>
    <sheet name="מיזוג כיל-פוטאש" sheetId="57" state="hidden" r:id="rId20"/>
    <sheet name="כושר ייצור פוטנציאלי" sheetId="16" state="hidden" r:id="rId21"/>
    <sheet name="קציר מלח - רגישות" sheetId="32" state="hidden" r:id="rId22"/>
    <sheet name="Potash" sheetId="13" state="hidden" r:id="rId23"/>
    <sheet name="מחיר לטון אשלג מול מנית כיל" sheetId="21" state="hidden" r:id="rId24"/>
  </sheets>
  <definedNames>
    <definedName name="ds" localSheetId="2">OFFSET(#REF!,0,0,COUNTA(#REF!)-1)</definedName>
    <definedName name="ds" localSheetId="4">OFFSET(#REF!,0,0,COUNTA(#REF!)-1)</definedName>
    <definedName name="ds" localSheetId="0">OFFSET(#REF!,0,0,COUNTA(#REF!)-1)</definedName>
    <definedName name="ds" localSheetId="1">OFFSET(#REF!,0,0,COUNTA(#REF!)-1)</definedName>
    <definedName name="ds">OFFSET(#REF!,0,0,COUNTA(#REF!)-1)</definedName>
    <definedName name="F">#N/A</definedName>
    <definedName name="GraphAA" localSheetId="2">OFFSET(#REF!,0,0,COUNTA(#REF!)-1)</definedName>
    <definedName name="GraphAA" localSheetId="4">OFFSET(#REF!,0,0,COUNTA(#REF!)-1)</definedName>
    <definedName name="GraphAA" localSheetId="0">OFFSET(#REF!,0,0,COUNTA(#REF!)-1)</definedName>
    <definedName name="GraphAA" localSheetId="1">OFFSET(#REF!,0,0,COUNTA(#REF!)-1)</definedName>
    <definedName name="GraphAA">OFFSET(#REF!,0,0,COUNTA(#REF!)-1)</definedName>
    <definedName name="GraphBB" localSheetId="2">OFFSET(#REF!,0,0,COUNTA(#REF!)-1)</definedName>
    <definedName name="GraphBB" localSheetId="4">OFFSET(#REF!,0,0,COUNTA(#REF!)-1)</definedName>
    <definedName name="GraphBB" localSheetId="0">OFFSET(#REF!,0,0,COUNTA(#REF!)-1)</definedName>
    <definedName name="GraphBB" localSheetId="1">OFFSET(#REF!,0,0,COUNTA(#REF!)-1)</definedName>
    <definedName name="GraphBB">OFFSET(#REF!,0,0,COUNTA(#REF!)-1)</definedName>
    <definedName name="GraphCC" localSheetId="2">OFFSET(#REF!,0,0,COUNTA(#REF!)-1)</definedName>
    <definedName name="GraphCC" localSheetId="4">OFFSET(#REF!,0,0,COUNTA(#REF!)-1)</definedName>
    <definedName name="GraphCC" localSheetId="0">OFFSET(#REF!,0,0,COUNTA(#REF!)-1)</definedName>
    <definedName name="GraphCC" localSheetId="1">OFFSET(#REF!,0,0,COUNTA(#REF!)-1)</definedName>
    <definedName name="GraphCC">OFFSET(#REF!,0,0,COUNTA(#REF!)-1)</definedName>
    <definedName name="GraphDD" localSheetId="2">OFFSET(#REF!,0,0,COUNTA(#REF!)-1)</definedName>
    <definedName name="GraphDD" localSheetId="4">OFFSET(#REF!,0,0,COUNTA(#REF!)-1)</definedName>
    <definedName name="GraphDD" localSheetId="0">OFFSET(#REF!,0,0,COUNTA(#REF!)-1)</definedName>
    <definedName name="GraphDD" localSheetId="1">OFFSET(#REF!,0,0,COUNTA(#REF!)-1)</definedName>
    <definedName name="GraphDD">OFFSET(#REF!,0,0,COUNTA(#REF!)-1)</definedName>
    <definedName name="GraphEE" localSheetId="2">OFFSET(#REF!,0,0,COUNTA(#REF!)-1)</definedName>
    <definedName name="GraphEE" localSheetId="4">OFFSET(#REF!,0,0,COUNTA(#REF!)-1)</definedName>
    <definedName name="GraphEE" localSheetId="0">OFFSET(#REF!,0,0,COUNTA(#REF!)-1)</definedName>
    <definedName name="GraphEE" localSheetId="1">OFFSET(#REF!,0,0,COUNTA(#REF!)-1)</definedName>
    <definedName name="GraphEE">OFFSET(#REF!,0,0,COUNTA(#REF!)-1)</definedName>
    <definedName name="GraphFF" localSheetId="2">OFFSET(#REF!,0,0,COUNTA(#REF!)-1)</definedName>
    <definedName name="GraphFF" localSheetId="4">OFFSET(#REF!,0,0,COUNTA(#REF!)-1)</definedName>
    <definedName name="GraphFF" localSheetId="0">OFFSET(#REF!,0,0,COUNTA(#REF!)-1)</definedName>
    <definedName name="GraphFF" localSheetId="1">OFFSET(#REF!,0,0,COUNTA(#REF!)-1)</definedName>
    <definedName name="GraphFF">OFFSET(#REF!,0,0,COUNTA(#REF!)-1)</definedName>
    <definedName name="GraphGG" localSheetId="2">OFFSET(#REF!,0,0,COUNTA(#REF!)-1)</definedName>
    <definedName name="GraphGG" localSheetId="4">OFFSET(#REF!,0,0,COUNTA(#REF!)-1)</definedName>
    <definedName name="GraphGG" localSheetId="0">OFFSET(#REF!,0,0,COUNTA(#REF!)-1)</definedName>
    <definedName name="GraphGG" localSheetId="1">OFFSET(#REF!,0,0,COUNTA(#REF!)-1)</definedName>
    <definedName name="GraphGG">OFFSET(#REF!,0,0,COUNTA(#REF!)-1)</definedName>
    <definedName name="GraphHH" localSheetId="2">OFFSET(#REF!,0,0,COUNTA(#REF!)-1)</definedName>
    <definedName name="GraphHH" localSheetId="4">OFFSET(#REF!,0,0,COUNTA(#REF!)-1)</definedName>
    <definedName name="GraphHH" localSheetId="0">OFFSET(#REF!,0,0,COUNTA(#REF!)-1)</definedName>
    <definedName name="GraphHH" localSheetId="1">OFFSET(#REF!,0,0,COUNTA(#REF!)-1)</definedName>
    <definedName name="GraphHH">OFFSET(#REF!,0,0,COUNTA(#REF!)-1)</definedName>
    <definedName name="GraphII" localSheetId="2">OFFSET(#REF!,0,0,COUNTA(#REF!)-1)</definedName>
    <definedName name="GraphII" localSheetId="4">OFFSET(#REF!,0,0,COUNTA(#REF!)-1)</definedName>
    <definedName name="GraphII" localSheetId="0">OFFSET(#REF!,0,0,COUNTA(#REF!)-1)</definedName>
    <definedName name="GraphII" localSheetId="1">OFFSET(#REF!,0,0,COUNTA(#REF!)-1)</definedName>
    <definedName name="GraphII">OFFSET(#REF!,0,0,COUNTA(#REF!)-1)</definedName>
    <definedName name="GraphJJ" localSheetId="2">OFFSET(#REF!,0,0,COUNTA(#REF!)-1)</definedName>
    <definedName name="GraphJJ" localSheetId="4">OFFSET(#REF!,0,0,COUNTA(#REF!)-1)</definedName>
    <definedName name="GraphJJ" localSheetId="0">OFFSET(#REF!,0,0,COUNTA(#REF!)-1)</definedName>
    <definedName name="GraphJJ" localSheetId="1">OFFSET(#REF!,0,0,COUNTA(#REF!)-1)</definedName>
    <definedName name="GraphJJ">OFFSET(#REF!,0,0,COUNTA(#REF!)-1)</definedName>
    <definedName name="GraphKK" localSheetId="2">OFFSET(#REF!,0,0,COUNTA(#REF!)-1)</definedName>
    <definedName name="GraphKK" localSheetId="4">OFFSET(#REF!,0,0,COUNTA(#REF!)-1)</definedName>
    <definedName name="GraphKK" localSheetId="0">OFFSET(#REF!,0,0,COUNTA(#REF!)-1)</definedName>
    <definedName name="GraphKK" localSheetId="1">OFFSET(#REF!,0,0,COUNTA(#REF!)-1)</definedName>
    <definedName name="GraphKK">OFFSET(#REF!,0,0,COUNTA(#REF!)-1)</definedName>
    <definedName name="GraphLL" localSheetId="2">OFFSET(#REF!,0,0,COUNTA(#REF!)-1)</definedName>
    <definedName name="GraphLL" localSheetId="4">OFFSET(#REF!,0,0,COUNTA(#REF!)-1)</definedName>
    <definedName name="GraphLL" localSheetId="0">OFFSET(#REF!,0,0,COUNTA(#REF!)-1)</definedName>
    <definedName name="GraphLL" localSheetId="1">OFFSET(#REF!,0,0,COUNTA(#REF!)-1)</definedName>
    <definedName name="GraphLL">OFFSET(#REF!,0,0,COUNTA(#REF!)-1)</definedName>
    <definedName name="GraphMM" localSheetId="2">OFFSET(#REF!,0,0,COUNTA(#REF!)-1)</definedName>
    <definedName name="GraphMM" localSheetId="4">OFFSET(#REF!,0,0,COUNTA(#REF!)-1)</definedName>
    <definedName name="GraphMM" localSheetId="0">OFFSET(#REF!,0,0,COUNTA(#REF!)-1)</definedName>
    <definedName name="GraphMM" localSheetId="1">OFFSET(#REF!,0,0,COUNTA(#REF!)-1)</definedName>
    <definedName name="GraphMM">OFFSET(#REF!,0,0,COUNTA(#REF!)-1)</definedName>
    <definedName name="GraphNN" localSheetId="2">OFFSET(#REF!,0,0,COUNTA(#REF!)-1)</definedName>
    <definedName name="GraphNN" localSheetId="4">OFFSET(#REF!,0,0,COUNTA(#REF!)-1)</definedName>
    <definedName name="GraphNN" localSheetId="0">OFFSET(#REF!,0,0,COUNTA(#REF!)-1)</definedName>
    <definedName name="GraphNN" localSheetId="1">OFFSET(#REF!,0,0,COUNTA(#REF!)-1)</definedName>
    <definedName name="GraphNN">OFFSET(#REF!,0,0,COUNTA(#REF!)-1)</definedName>
    <definedName name="GraphOO" localSheetId="2">OFFSET(#REF!,0,0,COUNTA(#REF!)-1)</definedName>
    <definedName name="GraphOO" localSheetId="4">OFFSET(#REF!,0,0,COUNTA(#REF!)-1)</definedName>
    <definedName name="GraphOO" localSheetId="0">OFFSET(#REF!,0,0,COUNTA(#REF!)-1)</definedName>
    <definedName name="GraphOO" localSheetId="1">OFFSET(#REF!,0,0,COUNTA(#REF!)-1)</definedName>
    <definedName name="GraphOO">OFFSET(#REF!,0,0,COUNTA(#REF!)-1)</definedName>
    <definedName name="GraphPP" localSheetId="2">OFFSET(#REF!,0,0,COUNTA(#REF!)-1)</definedName>
    <definedName name="GraphPP" localSheetId="4">OFFSET(#REF!,0,0,COUNTA(#REF!)-1)</definedName>
    <definedName name="GraphPP" localSheetId="0">OFFSET(#REF!,0,0,COUNTA(#REF!)-1)</definedName>
    <definedName name="GraphPP" localSheetId="1">OFFSET(#REF!,0,0,COUNTA(#REF!)-1)</definedName>
    <definedName name="GraphPP">OFFSET(#REF!,0,0,COUNTA(#REF!)-1)</definedName>
    <definedName name="idioma" localSheetId="2">#REF!</definedName>
    <definedName name="idioma" localSheetId="4">#REF!</definedName>
    <definedName name="idioma" localSheetId="0">#REF!</definedName>
    <definedName name="idioma" localSheetId="1">#REF!</definedName>
    <definedName name="idioma" localSheetId="6">#REF!</definedName>
    <definedName name="idioma">#REF!</definedName>
    <definedName name="J" localSheetId="2">#REF!</definedName>
    <definedName name="J" localSheetId="4">#REF!</definedName>
    <definedName name="J" localSheetId="0">#REF!</definedName>
    <definedName name="J" localSheetId="1">#REF!</definedName>
    <definedName name="J">#REF!</definedName>
    <definedName name="K" localSheetId="2">#REF!</definedName>
    <definedName name="K" localSheetId="4">#REF!</definedName>
    <definedName name="K" localSheetId="0">#REF!</definedName>
    <definedName name="K" localSheetId="1">#REF!</definedName>
    <definedName name="K">#REF!</definedName>
    <definedName name="L" localSheetId="2">#REF!</definedName>
    <definedName name="L" localSheetId="4">#REF!</definedName>
    <definedName name="L" localSheetId="0">#REF!</definedName>
    <definedName name="L" localSheetId="1">#REF!</definedName>
    <definedName name="L">#REF!</definedName>
    <definedName name="POTASH" localSheetId="2">#REF!</definedName>
    <definedName name="POTASH" localSheetId="4">#REF!</definedName>
    <definedName name="POTASH" localSheetId="0">#REF!</definedName>
    <definedName name="POTASH" localSheetId="1">#REF!</definedName>
    <definedName name="POTASH" localSheetId="6">#REF!</definedName>
    <definedName name="POTASH">#REF!</definedName>
    <definedName name="_xlnm.Print_Area" localSheetId="12">' מאזן ויחסי יעילות תפעולית'!$A$4:$R$56</definedName>
    <definedName name="_xlnm.Print_Area" localSheetId="2">'DCF 1.6.2025'!$A$3:$AG$52</definedName>
    <definedName name="_xlnm.Print_Area" localSheetId="4">'Final Potash Pricing Q1.25'!$A$3:$AZ$42</definedName>
    <definedName name="_xlnm.Print_Area" localSheetId="14">'השקעה ברכוש קבוע'!$B$3:$BF$23</definedName>
    <definedName name="_xlnm.Print_Area" localSheetId="20">'כושר ייצור פוטנציאלי'!$B$4:$I$26</definedName>
    <definedName name="_xlnm.Print_Area" localSheetId="23">'מחיר לטון אשלג מול מנית כיל'!$A$2:$AF$7</definedName>
    <definedName name="_xlnm.Print_Titles" localSheetId="2">'DCF 1.6.2025'!$3:$3</definedName>
    <definedName name="_xlnm.Print_Titles" localSheetId="22">Potash!$A$1:$A$65536,Potash!$A$1:$IV$6</definedName>
    <definedName name="_xlnm.Print_Titles" localSheetId="23">'מחיר לטון אשלג מול מנית כיל'!$A:$A</definedName>
    <definedName name="yieldNOI" localSheetId="2">#REF!</definedName>
    <definedName name="yieldNOI" localSheetId="4">#REF!</definedName>
    <definedName name="yieldNOI" localSheetId="0">#REF!</definedName>
    <definedName name="yieldNOI" localSheetId="1">#REF!</definedName>
    <definedName name="yieldNOI">#REF!</definedName>
    <definedName name="דולר" localSheetId="2">#REF!</definedName>
    <definedName name="דולר" localSheetId="4">#REF!</definedName>
    <definedName name="דולר" localSheetId="0">#REF!</definedName>
    <definedName name="דולר" localSheetId="1">#REF!</definedName>
    <definedName name="דולר">#REF!</definedName>
    <definedName name="י" localSheetId="2">#REF!</definedName>
    <definedName name="י" localSheetId="4">#REF!</definedName>
    <definedName name="י" localSheetId="0">#REF!</definedName>
    <definedName name="י" localSheetId="1">#REF!</definedName>
    <definedName name="י">#REF!</definedName>
    <definedName name="יורו" localSheetId="2">#REF!</definedName>
    <definedName name="יורו" localSheetId="4">#REF!</definedName>
    <definedName name="יורו" localSheetId="0">#REF!</definedName>
    <definedName name="יורו" localSheetId="1">#REF!</definedName>
    <definedName name="יורו">#REF!</definedName>
    <definedName name="קנדי" localSheetId="2">#REF!</definedName>
    <definedName name="קנדי" localSheetId="4">#REF!</definedName>
    <definedName name="קנדי" localSheetId="0">#REF!</definedName>
    <definedName name="קנדי" localSheetId="1">#REF!</definedName>
    <definedName name="קנדי">#REF!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58" i="99" l="1"/>
  <c r="I29" i="105" l="1"/>
  <c r="I28" i="105"/>
  <c r="I27" i="105"/>
  <c r="I26" i="105"/>
  <c r="I25" i="105"/>
  <c r="I24" i="105"/>
  <c r="I23" i="105"/>
  <c r="I21" i="105"/>
  <c r="I20" i="105"/>
  <c r="I19" i="105"/>
  <c r="I17" i="105"/>
  <c r="I16" i="105"/>
  <c r="I15" i="105"/>
  <c r="I13" i="105"/>
  <c r="I12" i="105"/>
  <c r="I11" i="105"/>
  <c r="I10" i="105"/>
  <c r="I9" i="105"/>
  <c r="BA40" i="99"/>
  <c r="BA38" i="99"/>
  <c r="BA35" i="99"/>
  <c r="BA32" i="99"/>
  <c r="BA31" i="99"/>
  <c r="BA27" i="99"/>
  <c r="BA25" i="99"/>
  <c r="BA24" i="99"/>
  <c r="BA22" i="99"/>
  <c r="BA20" i="99"/>
  <c r="BA18" i="99"/>
  <c r="BA17" i="99"/>
  <c r="BA16" i="99"/>
  <c r="BA12" i="99"/>
  <c r="BA11" i="99"/>
  <c r="BA10" i="99"/>
  <c r="BA21" i="99" s="1"/>
  <c r="BA9" i="99"/>
  <c r="BA8" i="99"/>
  <c r="BA7" i="99"/>
  <c r="BA6" i="99"/>
  <c r="BV40" i="97"/>
  <c r="BV34" i="97"/>
  <c r="BV33" i="97"/>
  <c r="BV21" i="97"/>
  <c r="BV141" i="97"/>
  <c r="BV140" i="97"/>
  <c r="BV42" i="97"/>
  <c r="BV36" i="97"/>
  <c r="BV38" i="97" s="1"/>
  <c r="BV31" i="97"/>
  <c r="BV32" i="97" s="1"/>
  <c r="BV23" i="97"/>
  <c r="BV19" i="97"/>
  <c r="M42" i="96"/>
  <c r="O86" i="95"/>
  <c r="O56" i="95"/>
  <c r="O10" i="95"/>
  <c r="O237" i="95" s="1"/>
  <c r="O250" i="95"/>
  <c r="O251" i="95" s="1"/>
  <c r="O249" i="95"/>
  <c r="O246" i="95"/>
  <c r="O245" i="95"/>
  <c r="O247" i="95" s="1"/>
  <c r="O238" i="95"/>
  <c r="O234" i="95"/>
  <c r="O231" i="95"/>
  <c r="O156" i="95"/>
  <c r="O153" i="95"/>
  <c r="O152" i="95"/>
  <c r="O148" i="95"/>
  <c r="O147" i="95"/>
  <c r="O146" i="95"/>
  <c r="O143" i="95"/>
  <c r="O142" i="95"/>
  <c r="O140" i="95"/>
  <c r="O139" i="95"/>
  <c r="O141" i="95" s="1"/>
  <c r="O128" i="95"/>
  <c r="O122" i="95"/>
  <c r="O115" i="95"/>
  <c r="O108" i="95"/>
  <c r="O101" i="95"/>
  <c r="O87" i="95"/>
  <c r="O80" i="95"/>
  <c r="O69" i="95"/>
  <c r="O257" i="95" s="1"/>
  <c r="O58" i="95"/>
  <c r="O43" i="95"/>
  <c r="O38" i="95"/>
  <c r="O35" i="95"/>
  <c r="O34" i="95"/>
  <c r="O33" i="95"/>
  <c r="O31" i="95"/>
  <c r="O29" i="95"/>
  <c r="O28" i="95"/>
  <c r="O27" i="95"/>
  <c r="O25" i="95"/>
  <c r="O22" i="95"/>
  <c r="O13" i="95"/>
  <c r="O241" i="95" s="1"/>
  <c r="O5" i="95"/>
  <c r="O9" i="95" s="1"/>
  <c r="M48" i="96"/>
  <c r="M47" i="96"/>
  <c r="M46" i="96"/>
  <c r="M45" i="96"/>
  <c r="M44" i="96"/>
  <c r="M39" i="96"/>
  <c r="M41" i="96" s="1"/>
  <c r="M29" i="96"/>
  <c r="M28" i="96"/>
  <c r="M27" i="96"/>
  <c r="M26" i="96"/>
  <c r="M25" i="96"/>
  <c r="M24" i="96"/>
  <c r="M12" i="96"/>
  <c r="M16" i="96" s="1"/>
  <c r="AH65" i="99"/>
  <c r="BB24" i="99"/>
  <c r="F29" i="102"/>
  <c r="E29" i="102"/>
  <c r="F28" i="102"/>
  <c r="E28" i="102"/>
  <c r="G29" i="102"/>
  <c r="G28" i="102"/>
  <c r="H28" i="102"/>
  <c r="H29" i="102"/>
  <c r="BB27" i="99"/>
  <c r="BB25" i="99"/>
  <c r="BD32" i="99"/>
  <c r="CB37" i="97"/>
  <c r="AS64" i="97"/>
  <c r="AS63" i="97"/>
  <c r="AI64" i="97"/>
  <c r="AI63" i="97"/>
  <c r="AD63" i="97"/>
  <c r="AX63" i="97" s="1"/>
  <c r="AD62" i="97"/>
  <c r="AS55" i="97"/>
  <c r="AI62" i="97" s="1"/>
  <c r="AS62" i="97" s="1"/>
  <c r="AD56" i="97"/>
  <c r="AX56" i="97" s="1"/>
  <c r="AD55" i="97"/>
  <c r="AS50" i="97"/>
  <c r="AS49" i="97"/>
  <c r="AS48" i="97"/>
  <c r="AD49" i="97"/>
  <c r="AX49" i="97" s="1"/>
  <c r="AD48" i="97"/>
  <c r="AD50" i="97" s="1"/>
  <c r="AX50" i="97" s="1"/>
  <c r="BV16" i="97" l="1"/>
  <c r="BV41" i="97" s="1"/>
  <c r="BV39" i="97" s="1"/>
  <c r="AX62" i="97"/>
  <c r="AD64" i="97"/>
  <c r="AX48" i="97"/>
  <c r="AX51" i="97" s="1"/>
  <c r="M13" i="96"/>
  <c r="M19" i="96"/>
  <c r="M49" i="96"/>
  <c r="M17" i="96"/>
  <c r="M18" i="96"/>
  <c r="O144" i="95"/>
  <c r="O145" i="95" s="1"/>
  <c r="O149" i="95" s="1"/>
  <c r="O135" i="95" s="1"/>
  <c r="O131" i="95"/>
  <c r="O134" i="95" s="1"/>
  <c r="O116" i="95"/>
  <c r="O239" i="95"/>
  <c r="O30" i="95"/>
  <c r="O26" i="95"/>
  <c r="O233" i="95"/>
  <c r="O235" i="95" s="1"/>
  <c r="O15" i="95"/>
  <c r="O32" i="95"/>
  <c r="O242" i="95"/>
  <c r="O243" i="95" s="1"/>
  <c r="O36" i="95"/>
  <c r="M20" i="96"/>
  <c r="CB41" i="97"/>
  <c r="CB42" i="97" s="1"/>
  <c r="BE17" i="99" s="1"/>
  <c r="AX64" i="97"/>
  <c r="AX65" i="97" s="1"/>
  <c r="AX55" i="97"/>
  <c r="AD57" i="97"/>
  <c r="AX57" i="97" s="1"/>
  <c r="AX58" i="97" s="1"/>
  <c r="BB7" i="99" s="1"/>
  <c r="BZ41" i="97" s="1"/>
  <c r="BZ42" i="97" s="1"/>
  <c r="BB17" i="99" s="1"/>
  <c r="BY37" i="97" l="1"/>
  <c r="BY41" i="97" s="1"/>
  <c r="BY42" i="97" s="1"/>
  <c r="BA26" i="99" s="1"/>
  <c r="BA28" i="99" s="1"/>
  <c r="CA37" i="97"/>
  <c r="CA41" i="97" s="1"/>
  <c r="CA42" i="97" s="1"/>
  <c r="BD17" i="99" s="1"/>
  <c r="BD7" i="99"/>
  <c r="O132" i="95"/>
  <c r="O253" i="95"/>
  <c r="O37" i="95"/>
  <c r="O17" i="95"/>
  <c r="O248" i="95"/>
  <c r="AZ40" i="99"/>
  <c r="AZ27" i="99"/>
  <c r="BC27" i="99" s="1"/>
  <c r="AZ25" i="99"/>
  <c r="BC25" i="99" s="1"/>
  <c r="AZ24" i="99"/>
  <c r="BC24" i="99" s="1"/>
  <c r="AZ22" i="99"/>
  <c r="AZ20" i="99"/>
  <c r="BC20" i="99" s="1"/>
  <c r="AZ18" i="99"/>
  <c r="BC18" i="99" s="1"/>
  <c r="AZ16" i="99"/>
  <c r="AZ12" i="99"/>
  <c r="AZ11" i="99"/>
  <c r="AZ10" i="99"/>
  <c r="AZ9" i="99"/>
  <c r="AZ8" i="99"/>
  <c r="M29" i="98"/>
  <c r="M27" i="98"/>
  <c r="M20" i="98"/>
  <c r="M18" i="98"/>
  <c r="M17" i="98"/>
  <c r="M26" i="98" s="1"/>
  <c r="M10" i="98"/>
  <c r="M11" i="98" s="1"/>
  <c r="M8" i="98"/>
  <c r="M7" i="98"/>
  <c r="BU40" i="97"/>
  <c r="BU33" i="97"/>
  <c r="BU36" i="97" s="1"/>
  <c r="BU21" i="97"/>
  <c r="BU16" i="97" s="1"/>
  <c r="AZ6" i="99" s="1"/>
  <c r="BU31" i="97"/>
  <c r="BU141" i="97"/>
  <c r="BU140" i="97"/>
  <c r="N48" i="96"/>
  <c r="N47" i="96"/>
  <c r="N46" i="96"/>
  <c r="N45" i="96"/>
  <c r="N44" i="96"/>
  <c r="N39" i="96"/>
  <c r="N29" i="96"/>
  <c r="N28" i="96"/>
  <c r="N27" i="96"/>
  <c r="N26" i="96"/>
  <c r="N25" i="96"/>
  <c r="N24" i="96"/>
  <c r="N12" i="96"/>
  <c r="P56" i="95"/>
  <c r="P242" i="95" s="1"/>
  <c r="P10" i="95"/>
  <c r="P250" i="95"/>
  <c r="P249" i="95"/>
  <c r="P246" i="95"/>
  <c r="P247" i="95" s="1"/>
  <c r="AZ35" i="99" s="1"/>
  <c r="P245" i="95"/>
  <c r="P238" i="95"/>
  <c r="P234" i="95"/>
  <c r="P231" i="95"/>
  <c r="P156" i="95"/>
  <c r="P153" i="95"/>
  <c r="P152" i="95"/>
  <c r="P148" i="95"/>
  <c r="P147" i="95"/>
  <c r="P146" i="95"/>
  <c r="P143" i="95"/>
  <c r="P142" i="95"/>
  <c r="P140" i="95"/>
  <c r="P139" i="95"/>
  <c r="P128" i="95"/>
  <c r="P122" i="95"/>
  <c r="P115" i="95"/>
  <c r="P108" i="95"/>
  <c r="P101" i="95"/>
  <c r="P87" i="95"/>
  <c r="P80" i="95"/>
  <c r="P69" i="95"/>
  <c r="P257" i="95" s="1"/>
  <c r="P43" i="95"/>
  <c r="P38" i="95"/>
  <c r="P35" i="95"/>
  <c r="P34" i="95"/>
  <c r="P33" i="95"/>
  <c r="P31" i="95"/>
  <c r="P29" i="95"/>
  <c r="P28" i="95"/>
  <c r="P27" i="95"/>
  <c r="P25" i="95"/>
  <c r="P13" i="95"/>
  <c r="P36" i="95" s="1"/>
  <c r="P237" i="95"/>
  <c r="P5" i="95"/>
  <c r="P26" i="95" s="1"/>
  <c r="M21" i="98" l="1"/>
  <c r="P141" i="95"/>
  <c r="O45" i="95"/>
  <c r="O39" i="95"/>
  <c r="O19" i="95"/>
  <c r="P251" i="95"/>
  <c r="AZ38" i="99" s="1"/>
  <c r="N18" i="96"/>
  <c r="M30" i="96"/>
  <c r="BU34" i="97"/>
  <c r="AZ23" i="99"/>
  <c r="BC22" i="99"/>
  <c r="BD24" i="99"/>
  <c r="BE24" i="99" s="1"/>
  <c r="BD25" i="99"/>
  <c r="BE25" i="99" s="1"/>
  <c r="M30" i="98"/>
  <c r="BU32" i="97"/>
  <c r="AZ7" i="99"/>
  <c r="AZ21" i="99"/>
  <c r="AZ13" i="99"/>
  <c r="AZ17" i="99"/>
  <c r="AZ19" i="99"/>
  <c r="BU23" i="97"/>
  <c r="BU24" i="97" s="1"/>
  <c r="BV24" i="97" s="1"/>
  <c r="BU19" i="97"/>
  <c r="BU42" i="97"/>
  <c r="BU38" i="97"/>
  <c r="BU41" i="97"/>
  <c r="BU39" i="97" s="1"/>
  <c r="AZ26" i="99"/>
  <c r="AZ28" i="99" s="1"/>
  <c r="N16" i="96"/>
  <c r="N19" i="96"/>
  <c r="N49" i="96"/>
  <c r="N20" i="96"/>
  <c r="N13" i="96"/>
  <c r="N17" i="96"/>
  <c r="N41" i="96"/>
  <c r="P144" i="95"/>
  <c r="P145" i="95" s="1"/>
  <c r="P131" i="95"/>
  <c r="P134" i="95" s="1"/>
  <c r="P116" i="95"/>
  <c r="P58" i="95"/>
  <c r="P239" i="95"/>
  <c r="AZ31" i="99" s="1"/>
  <c r="BC31" i="99" s="1"/>
  <c r="P241" i="95"/>
  <c r="P243" i="95" s="1"/>
  <c r="AZ32" i="99" s="1"/>
  <c r="BB32" i="99" s="1"/>
  <c r="BC32" i="99" s="1"/>
  <c r="P9" i="95"/>
  <c r="P30" i="95"/>
  <c r="N42" i="96" l="1"/>
  <c r="O71" i="95"/>
  <c r="O60" i="95"/>
  <c r="P149" i="95"/>
  <c r="P135" i="95" s="1"/>
  <c r="AM55" i="99"/>
  <c r="P132" i="95"/>
  <c r="P15" i="95"/>
  <c r="P32" i="95"/>
  <c r="P233" i="95"/>
  <c r="P235" i="95" s="1"/>
  <c r="AZ30" i="99" s="1"/>
  <c r="AZ39" i="99" s="1"/>
  <c r="AZ43" i="99" s="1"/>
  <c r="O91" i="95" l="1"/>
  <c r="O254" i="95"/>
  <c r="AZ29" i="99"/>
  <c r="P253" i="95"/>
  <c r="P248" i="95"/>
  <c r="P17" i="95"/>
  <c r="P37" i="95"/>
  <c r="P39" i="95" l="1"/>
  <c r="P19" i="95"/>
  <c r="P45" i="95"/>
  <c r="P71" i="95" l="1"/>
  <c r="P60" i="95"/>
  <c r="P254" i="95" l="1"/>
  <c r="P91" i="95"/>
  <c r="O15" i="102" l="1"/>
  <c r="I15" i="102"/>
  <c r="J15" i="102"/>
  <c r="J74" i="99"/>
  <c r="K74" i="99"/>
  <c r="M74" i="99"/>
  <c r="L32" i="63"/>
  <c r="K32" i="63"/>
  <c r="T6" i="63"/>
  <c r="T5" i="63"/>
  <c r="V6" i="63"/>
  <c r="V5" i="63"/>
  <c r="AC29" i="98"/>
  <c r="S29" i="98"/>
  <c r="Q29" i="98"/>
  <c r="P29" i="98"/>
  <c r="O29" i="98"/>
  <c r="N29" i="98"/>
  <c r="AD29" i="98"/>
  <c r="AC27" i="98"/>
  <c r="S27" i="98"/>
  <c r="Q27" i="98"/>
  <c r="P27" i="98"/>
  <c r="O27" i="98"/>
  <c r="N27" i="98"/>
  <c r="M28" i="98" s="1"/>
  <c r="AD27" i="98"/>
  <c r="AF29" i="98"/>
  <c r="J29" i="98"/>
  <c r="I29" i="98"/>
  <c r="H29" i="98"/>
  <c r="G29" i="98"/>
  <c r="F29" i="98"/>
  <c r="E29" i="98"/>
  <c r="AG29" i="98"/>
  <c r="AF27" i="98"/>
  <c r="J27" i="98"/>
  <c r="I27" i="98"/>
  <c r="H27" i="98"/>
  <c r="G27" i="98"/>
  <c r="F27" i="98"/>
  <c r="E27" i="98"/>
  <c r="AG27" i="98"/>
  <c r="AC20" i="98"/>
  <c r="S20" i="98"/>
  <c r="Q20" i="98"/>
  <c r="P20" i="98"/>
  <c r="O20" i="98"/>
  <c r="N20" i="98"/>
  <c r="AD20" i="98"/>
  <c r="AC18" i="98"/>
  <c r="S18" i="98"/>
  <c r="Q18" i="98"/>
  <c r="P18" i="98"/>
  <c r="O18" i="98"/>
  <c r="N18" i="98"/>
  <c r="M19" i="98" s="1"/>
  <c r="AD18" i="98"/>
  <c r="AC17" i="98"/>
  <c r="S17" i="98"/>
  <c r="R17" i="98"/>
  <c r="Q17" i="98"/>
  <c r="P17" i="98"/>
  <c r="O17" i="98"/>
  <c r="N17" i="98"/>
  <c r="AD17" i="98"/>
  <c r="AF20" i="98"/>
  <c r="J20" i="98"/>
  <c r="I20" i="98"/>
  <c r="H20" i="98"/>
  <c r="G20" i="98"/>
  <c r="F20" i="98"/>
  <c r="E20" i="98"/>
  <c r="AG20" i="98"/>
  <c r="AF18" i="98"/>
  <c r="J18" i="98"/>
  <c r="I18" i="98"/>
  <c r="H18" i="98"/>
  <c r="G18" i="98"/>
  <c r="F18" i="98"/>
  <c r="E18" i="98"/>
  <c r="AC10" i="98"/>
  <c r="S10" i="98"/>
  <c r="Q10" i="98"/>
  <c r="P10" i="98"/>
  <c r="O10" i="98"/>
  <c r="N10" i="98"/>
  <c r="AD10" i="98"/>
  <c r="AC8" i="98"/>
  <c r="S8" i="98"/>
  <c r="Q8" i="98"/>
  <c r="P8" i="98"/>
  <c r="O8" i="98"/>
  <c r="N8" i="98"/>
  <c r="M9" i="98" s="1"/>
  <c r="AD8" i="98"/>
  <c r="N7" i="98"/>
  <c r="O7" i="98"/>
  <c r="P7" i="98"/>
  <c r="Q7" i="98"/>
  <c r="R7" i="98"/>
  <c r="S7" i="98"/>
  <c r="AC7" i="98"/>
  <c r="AD7" i="98"/>
  <c r="E10" i="98"/>
  <c r="F10" i="98"/>
  <c r="G10" i="98"/>
  <c r="F8" i="98"/>
  <c r="G8" i="98"/>
  <c r="H8" i="98"/>
  <c r="E8" i="98"/>
  <c r="BE8" i="99"/>
  <c r="BE16" i="99" s="1"/>
  <c r="BE38" i="99"/>
  <c r="C68" i="96"/>
  <c r="C67" i="96"/>
  <c r="C66" i="96"/>
  <c r="C65" i="96"/>
  <c r="C64" i="96"/>
  <c r="C63" i="96"/>
  <c r="C57" i="96"/>
  <c r="C56" i="96"/>
  <c r="C55" i="96"/>
  <c r="C54" i="96"/>
  <c r="C53" i="96"/>
  <c r="C52" i="96"/>
  <c r="C59" i="96"/>
  <c r="T69" i="96"/>
  <c r="T58" i="96"/>
  <c r="T60" i="96" s="1"/>
  <c r="U69" i="96"/>
  <c r="U58" i="96"/>
  <c r="V69" i="96"/>
  <c r="V58" i="96"/>
  <c r="V60" i="96" s="1"/>
  <c r="W69" i="96"/>
  <c r="W58" i="96"/>
  <c r="W60" i="96" s="1"/>
  <c r="AO40" i="99"/>
  <c r="AW40" i="99"/>
  <c r="AV40" i="99"/>
  <c r="AW27" i="99"/>
  <c r="AV27" i="99"/>
  <c r="AX25" i="99"/>
  <c r="AX24" i="99"/>
  <c r="AX22" i="99"/>
  <c r="AX20" i="99"/>
  <c r="AX18" i="99"/>
  <c r="AX16" i="99"/>
  <c r="AW25" i="99"/>
  <c r="AW24" i="99"/>
  <c r="AW22" i="99"/>
  <c r="AW20" i="99"/>
  <c r="AW18" i="99"/>
  <c r="AW16" i="99"/>
  <c r="AV25" i="99"/>
  <c r="AV24" i="99"/>
  <c r="AV22" i="99"/>
  <c r="AV20" i="99"/>
  <c r="AV18" i="99"/>
  <c r="AV16" i="99"/>
  <c r="AY7" i="99"/>
  <c r="AX12" i="99"/>
  <c r="AX11" i="99"/>
  <c r="AX10" i="99"/>
  <c r="AX9" i="99"/>
  <c r="AW12" i="99"/>
  <c r="AW11" i="99"/>
  <c r="BB11" i="99" s="1"/>
  <c r="BB23" i="99" s="1"/>
  <c r="AW10" i="99"/>
  <c r="AW9" i="99"/>
  <c r="AV12" i="99"/>
  <c r="AV11" i="99"/>
  <c r="AV10" i="99"/>
  <c r="AV9" i="99"/>
  <c r="AX8" i="99"/>
  <c r="AW8" i="99"/>
  <c r="AV8" i="99"/>
  <c r="BW23" i="97"/>
  <c r="BQ33" i="97"/>
  <c r="BS33" i="97"/>
  <c r="BS36" i="97" s="1"/>
  <c r="BS40" i="97"/>
  <c r="BS20" i="97"/>
  <c r="BT22" i="97"/>
  <c r="BT21" i="97" s="1"/>
  <c r="BT157" i="97"/>
  <c r="BT156" i="97"/>
  <c r="BT153" i="97"/>
  <c r="BT146" i="97"/>
  <c r="BT145" i="97"/>
  <c r="BT37" i="97"/>
  <c r="BT32" i="97"/>
  <c r="BT14" i="97"/>
  <c r="BT15" i="97" s="1"/>
  <c r="BT13" i="97"/>
  <c r="BT10" i="97"/>
  <c r="BT11" i="97" s="1"/>
  <c r="BT9" i="97"/>
  <c r="BT7" i="97"/>
  <c r="BN31" i="97"/>
  <c r="BN20" i="97"/>
  <c r="BR40" i="97"/>
  <c r="BR33" i="97"/>
  <c r="BR36" i="97" s="1"/>
  <c r="BR21" i="97"/>
  <c r="BR37" i="97"/>
  <c r="C58" i="96" l="1"/>
  <c r="BB10" i="99"/>
  <c r="BB21" i="99" s="1"/>
  <c r="BB12" i="99"/>
  <c r="BC12" i="99" s="1"/>
  <c r="BD12" i="99" s="1"/>
  <c r="BE12" i="99" s="1"/>
  <c r="BB9" i="99"/>
  <c r="BB19" i="99" s="1"/>
  <c r="BA23" i="99"/>
  <c r="BC11" i="99"/>
  <c r="BC23" i="99" s="1"/>
  <c r="BC10" i="99"/>
  <c r="BC21" i="99" s="1"/>
  <c r="BA19" i="99"/>
  <c r="BA13" i="99"/>
  <c r="BC9" i="99"/>
  <c r="F19" i="98"/>
  <c r="BS38" i="97"/>
  <c r="L74" i="99"/>
  <c r="AB74" i="99" s="1"/>
  <c r="AW23" i="99"/>
  <c r="AW21" i="99"/>
  <c r="AV26" i="99"/>
  <c r="AX17" i="99"/>
  <c r="AX26" i="99"/>
  <c r="AX21" i="99"/>
  <c r="J19" i="98"/>
  <c r="AX23" i="99"/>
  <c r="AW17" i="99"/>
  <c r="AW26" i="99"/>
  <c r="AW19" i="99"/>
  <c r="AX19" i="99"/>
  <c r="G19" i="98"/>
  <c r="H19" i="98"/>
  <c r="E19" i="98"/>
  <c r="I19" i="98"/>
  <c r="AX13" i="99"/>
  <c r="BS34" i="97"/>
  <c r="BT16" i="97"/>
  <c r="BT19" i="97"/>
  <c r="BT23" i="97"/>
  <c r="BR34" i="97"/>
  <c r="BR38" i="97"/>
  <c r="BR16" i="97"/>
  <c r="AW6" i="99" s="1"/>
  <c r="R74" i="99" l="1"/>
  <c r="BR23" i="97"/>
  <c r="BR19" i="97"/>
  <c r="BQ40" i="97"/>
  <c r="BQ36" i="97"/>
  <c r="BQ21" i="97"/>
  <c r="BQ16" i="97" s="1"/>
  <c r="AV6" i="99" s="1"/>
  <c r="BS154" i="97"/>
  <c r="BS151" i="97"/>
  <c r="BS141" i="97"/>
  <c r="BS140" i="97"/>
  <c r="BS31" i="97"/>
  <c r="BS32" i="97" l="1"/>
  <c r="AX7" i="99"/>
  <c r="BQ34" i="97"/>
  <c r="BQ38" i="97"/>
  <c r="BQ23" i="97"/>
  <c r="BQ19" i="97"/>
  <c r="BS42" i="97"/>
  <c r="C40" i="96"/>
  <c r="C38" i="96"/>
  <c r="C37" i="96"/>
  <c r="C36" i="96"/>
  <c r="D29" i="98" s="1"/>
  <c r="C35" i="96"/>
  <c r="D20" i="98" s="1"/>
  <c r="C34" i="96"/>
  <c r="D10" i="98" s="1"/>
  <c r="C33" i="96"/>
  <c r="C11" i="96"/>
  <c r="C10" i="96"/>
  <c r="C9" i="96"/>
  <c r="D27" i="98" s="1"/>
  <c r="C8" i="96"/>
  <c r="D18" i="98" s="1"/>
  <c r="D19" i="98" s="1"/>
  <c r="C7" i="96"/>
  <c r="D8" i="98" s="1"/>
  <c r="C6" i="96"/>
  <c r="C24" i="96" s="1"/>
  <c r="O48" i="96"/>
  <c r="O47" i="96"/>
  <c r="O46" i="96"/>
  <c r="O45" i="96"/>
  <c r="O39" i="96"/>
  <c r="O29" i="96"/>
  <c r="O28" i="96"/>
  <c r="O44" i="96"/>
  <c r="C69" i="96"/>
  <c r="C70" i="96" s="1"/>
  <c r="C60" i="96"/>
  <c r="C29" i="96"/>
  <c r="C28" i="96"/>
  <c r="Q92" i="95"/>
  <c r="Q85" i="95"/>
  <c r="Q83" i="95"/>
  <c r="Q82" i="95"/>
  <c r="Q79" i="95"/>
  <c r="Q78" i="95"/>
  <c r="Q77" i="95"/>
  <c r="Q76" i="95"/>
  <c r="Q75" i="95"/>
  <c r="AX40" i="99" s="1"/>
  <c r="Q74" i="95"/>
  <c r="Q73" i="95"/>
  <c r="Q68" i="95"/>
  <c r="Q67" i="95"/>
  <c r="Q66" i="95"/>
  <c r="Q65" i="95"/>
  <c r="Q64" i="95"/>
  <c r="Q63" i="95"/>
  <c r="Q57" i="95"/>
  <c r="Q246" i="95" s="1"/>
  <c r="Q55" i="95"/>
  <c r="Q54" i="95"/>
  <c r="Q53" i="95"/>
  <c r="Q52" i="95"/>
  <c r="Q238" i="95" s="1"/>
  <c r="Q51" i="95"/>
  <c r="Q50" i="95"/>
  <c r="Q49" i="95"/>
  <c r="Q48" i="95"/>
  <c r="Q47" i="95"/>
  <c r="Q234" i="95" s="1"/>
  <c r="Q46" i="95"/>
  <c r="AX27" i="99" s="1"/>
  <c r="AX28" i="99" s="1"/>
  <c r="Q20" i="95"/>
  <c r="Q16" i="95"/>
  <c r="Q245" i="95" s="1"/>
  <c r="Q14" i="95"/>
  <c r="Q249" i="95" s="1"/>
  <c r="Q12" i="95"/>
  <c r="Q11" i="95"/>
  <c r="Q8" i="95"/>
  <c r="Q7" i="95"/>
  <c r="Q6" i="95"/>
  <c r="Q4" i="95"/>
  <c r="Q3" i="95"/>
  <c r="C56" i="95"/>
  <c r="C242" i="95" s="1"/>
  <c r="C86" i="95"/>
  <c r="C87" i="95" s="1"/>
  <c r="C10" i="95"/>
  <c r="C237" i="95" s="1"/>
  <c r="Q264" i="95"/>
  <c r="Q265" i="95" s="1"/>
  <c r="Q250" i="95"/>
  <c r="Q231" i="95"/>
  <c r="Q156" i="95"/>
  <c r="Q153" i="95"/>
  <c r="Q152" i="95"/>
  <c r="Q146" i="95"/>
  <c r="Q143" i="95"/>
  <c r="Q128" i="95"/>
  <c r="Q142" i="95"/>
  <c r="Q122" i="95"/>
  <c r="Q140" i="95"/>
  <c r="Q139" i="95"/>
  <c r="Q148" i="95"/>
  <c r="Q147" i="95"/>
  <c r="Q108" i="95"/>
  <c r="Q101" i="95"/>
  <c r="Q43" i="95"/>
  <c r="C275" i="95"/>
  <c r="C250" i="95"/>
  <c r="C249" i="95"/>
  <c r="C251" i="95" s="1"/>
  <c r="C246" i="95"/>
  <c r="C245" i="95"/>
  <c r="C247" i="95" s="1"/>
  <c r="C238" i="95"/>
  <c r="C234" i="95"/>
  <c r="C228" i="95"/>
  <c r="C210" i="95"/>
  <c r="C211" i="95" s="1"/>
  <c r="C201" i="95"/>
  <c r="C203" i="95" s="1"/>
  <c r="C204" i="95" s="1"/>
  <c r="C193" i="95"/>
  <c r="C192" i="95"/>
  <c r="C191" i="95"/>
  <c r="C190" i="95"/>
  <c r="C189" i="95"/>
  <c r="C188" i="95"/>
  <c r="C185" i="95"/>
  <c r="C194" i="95" s="1"/>
  <c r="C176" i="95"/>
  <c r="C174" i="95"/>
  <c r="C173" i="95"/>
  <c r="C172" i="95"/>
  <c r="C171" i="95"/>
  <c r="C170" i="95"/>
  <c r="C164" i="95"/>
  <c r="C175" i="95" s="1"/>
  <c r="C156" i="95"/>
  <c r="C153" i="95"/>
  <c r="C152" i="95"/>
  <c r="C148" i="95"/>
  <c r="C147" i="95"/>
  <c r="C146" i="95"/>
  <c r="C143" i="95"/>
  <c r="C142" i="95"/>
  <c r="C140" i="95"/>
  <c r="C139" i="95"/>
  <c r="C141" i="95" s="1"/>
  <c r="C128" i="95"/>
  <c r="C122" i="95"/>
  <c r="C115" i="95"/>
  <c r="C108" i="95"/>
  <c r="C101" i="95"/>
  <c r="C80" i="95"/>
  <c r="C69" i="95"/>
  <c r="C257" i="95" s="1"/>
  <c r="C43" i="95"/>
  <c r="C38" i="95"/>
  <c r="C35" i="95"/>
  <c r="C34" i="95"/>
  <c r="C33" i="95"/>
  <c r="C31" i="95"/>
  <c r="C29" i="95"/>
  <c r="C28" i="95"/>
  <c r="C27" i="95"/>
  <c r="C25" i="95"/>
  <c r="C22" i="95"/>
  <c r="C13" i="95"/>
  <c r="C241" i="95" s="1"/>
  <c r="C5" i="95"/>
  <c r="C26" i="95" s="1"/>
  <c r="BQ141" i="97"/>
  <c r="BQ140" i="97"/>
  <c r="BQ31" i="97"/>
  <c r="BR141" i="97"/>
  <c r="BV154" i="97" s="1"/>
  <c r="BR140" i="97"/>
  <c r="BV151" i="97" s="1"/>
  <c r="BR31" i="97"/>
  <c r="P48" i="96"/>
  <c r="P47" i="96"/>
  <c r="P46" i="96"/>
  <c r="P45" i="96"/>
  <c r="P44" i="96"/>
  <c r="P39" i="96"/>
  <c r="P41" i="96" s="1"/>
  <c r="P29" i="96"/>
  <c r="P28" i="96"/>
  <c r="P27" i="96"/>
  <c r="P26" i="96"/>
  <c r="P25" i="96"/>
  <c r="P24" i="96"/>
  <c r="P12" i="96"/>
  <c r="P16" i="96" s="1"/>
  <c r="R56" i="95"/>
  <c r="C58" i="95" l="1"/>
  <c r="Q80" i="95"/>
  <c r="C27" i="96"/>
  <c r="BQ32" i="97"/>
  <c r="AV7" i="99"/>
  <c r="BT151" i="97"/>
  <c r="BU151" i="97"/>
  <c r="BT154" i="97"/>
  <c r="BT158" i="97" s="1"/>
  <c r="BU154" i="97"/>
  <c r="BR32" i="97"/>
  <c r="AW7" i="99"/>
  <c r="C26" i="96"/>
  <c r="C47" i="96"/>
  <c r="C12" i="96"/>
  <c r="C16" i="96" s="1"/>
  <c r="C48" i="96"/>
  <c r="C45" i="96"/>
  <c r="C25" i="96"/>
  <c r="C46" i="96"/>
  <c r="C44" i="96"/>
  <c r="Q22" i="95"/>
  <c r="P22" i="95"/>
  <c r="Q69" i="95"/>
  <c r="Q86" i="95"/>
  <c r="Q144" i="95"/>
  <c r="BQ41" i="97"/>
  <c r="BQ39" i="97" s="1"/>
  <c r="C39" i="96"/>
  <c r="C41" i="96" s="1"/>
  <c r="O41" i="96"/>
  <c r="O24" i="96"/>
  <c r="O25" i="96"/>
  <c r="AW28" i="99"/>
  <c r="O26" i="96"/>
  <c r="O12" i="96"/>
  <c r="O27" i="96"/>
  <c r="Q131" i="95"/>
  <c r="Q134" i="95" s="1"/>
  <c r="Q141" i="95"/>
  <c r="Q251" i="95"/>
  <c r="AX38" i="99" s="1"/>
  <c r="Q34" i="95"/>
  <c r="Q35" i="95"/>
  <c r="C144" i="95"/>
  <c r="C145" i="95" s="1"/>
  <c r="C149" i="95" s="1"/>
  <c r="C135" i="95" s="1"/>
  <c r="C131" i="95"/>
  <c r="C134" i="95" s="1"/>
  <c r="C116" i="95"/>
  <c r="C243" i="95"/>
  <c r="C239" i="95"/>
  <c r="Q247" i="95"/>
  <c r="AX35" i="99" s="1"/>
  <c r="C166" i="95"/>
  <c r="C167" i="95" s="1"/>
  <c r="Q13" i="95"/>
  <c r="Q29" i="95"/>
  <c r="Q25" i="95"/>
  <c r="Q31" i="95"/>
  <c r="Q115" i="95"/>
  <c r="Q116" i="95" s="1"/>
  <c r="C36" i="95"/>
  <c r="Q38" i="95"/>
  <c r="C30" i="95"/>
  <c r="Q5" i="95"/>
  <c r="Q27" i="95"/>
  <c r="Q33" i="95"/>
  <c r="C186" i="95"/>
  <c r="Q28" i="95"/>
  <c r="C9" i="95"/>
  <c r="C233" i="95" s="1"/>
  <c r="C235" i="95" s="1"/>
  <c r="C177" i="95"/>
  <c r="BQ42" i="97"/>
  <c r="AW13" i="99"/>
  <c r="P17" i="96"/>
  <c r="P18" i="96"/>
  <c r="P49" i="96"/>
  <c r="P19" i="96"/>
  <c r="P20" i="96"/>
  <c r="P13" i="96"/>
  <c r="R10" i="95"/>
  <c r="Q145" i="95" l="1"/>
  <c r="C17" i="96"/>
  <c r="C20" i="96"/>
  <c r="C13" i="96"/>
  <c r="C19" i="96"/>
  <c r="C49" i="96"/>
  <c r="O19" i="96"/>
  <c r="N30" i="96"/>
  <c r="C18" i="96"/>
  <c r="C42" i="96"/>
  <c r="Q149" i="95"/>
  <c r="Q135" i="95" s="1"/>
  <c r="O49" i="96"/>
  <c r="O17" i="96"/>
  <c r="O16" i="96"/>
  <c r="O20" i="96"/>
  <c r="O30" i="96"/>
  <c r="O13" i="96"/>
  <c r="O18" i="96"/>
  <c r="Q132" i="95"/>
  <c r="C132" i="95"/>
  <c r="C253" i="95"/>
  <c r="Q241" i="95"/>
  <c r="Q36" i="95"/>
  <c r="C248" i="95"/>
  <c r="Q26" i="95"/>
  <c r="Q9" i="95"/>
  <c r="C32" i="95"/>
  <c r="C15" i="95"/>
  <c r="R250" i="95"/>
  <c r="R249" i="95"/>
  <c r="R246" i="95"/>
  <c r="R245" i="95"/>
  <c r="R242" i="95"/>
  <c r="R238" i="95"/>
  <c r="R237" i="95"/>
  <c r="R234" i="95"/>
  <c r="R231" i="95"/>
  <c r="R156" i="95"/>
  <c r="R153" i="95"/>
  <c r="R152" i="95"/>
  <c r="R148" i="95"/>
  <c r="R147" i="95"/>
  <c r="R146" i="95"/>
  <c r="R143" i="95"/>
  <c r="R142" i="95"/>
  <c r="R140" i="95"/>
  <c r="R139" i="95"/>
  <c r="R128" i="95"/>
  <c r="R122" i="95"/>
  <c r="R115" i="95"/>
  <c r="R108" i="95"/>
  <c r="R101" i="95"/>
  <c r="R87" i="95"/>
  <c r="R80" i="95"/>
  <c r="R69" i="95"/>
  <c r="R257" i="95" s="1"/>
  <c r="R58" i="95"/>
  <c r="R43" i="95"/>
  <c r="R38" i="95"/>
  <c r="R35" i="95"/>
  <c r="R34" i="95"/>
  <c r="R33" i="95"/>
  <c r="R31" i="95"/>
  <c r="R30" i="95"/>
  <c r="R29" i="95"/>
  <c r="R28" i="95"/>
  <c r="R27" i="95"/>
  <c r="R25" i="95"/>
  <c r="R22" i="95"/>
  <c r="R13" i="95"/>
  <c r="R241" i="95" s="1"/>
  <c r="R243" i="95" s="1"/>
  <c r="AW32" i="99" s="1"/>
  <c r="R5" i="95"/>
  <c r="R9" i="95" s="1"/>
  <c r="P42" i="96" s="1"/>
  <c r="R26" i="95" l="1"/>
  <c r="Q233" i="95"/>
  <c r="Q235" i="95" s="1"/>
  <c r="AX30" i="99" s="1"/>
  <c r="Q32" i="95"/>
  <c r="C37" i="95"/>
  <c r="C17" i="95"/>
  <c r="R144" i="95"/>
  <c r="R251" i="95"/>
  <c r="AW38" i="99" s="1"/>
  <c r="R141" i="95"/>
  <c r="R131" i="95"/>
  <c r="R134" i="95" s="1"/>
  <c r="R116" i="95"/>
  <c r="R247" i="95"/>
  <c r="AW35" i="99" s="1"/>
  <c r="R239" i="95"/>
  <c r="AW31" i="99" s="1"/>
  <c r="R233" i="95"/>
  <c r="R235" i="95" s="1"/>
  <c r="AW30" i="99" s="1"/>
  <c r="AW29" i="99" s="1"/>
  <c r="R32" i="95"/>
  <c r="R15" i="95"/>
  <c r="R36" i="95"/>
  <c r="AX29" i="99" l="1"/>
  <c r="R145" i="95"/>
  <c r="R149" i="95" s="1"/>
  <c r="R135" i="95" s="1"/>
  <c r="C45" i="95"/>
  <c r="C39" i="95"/>
  <c r="C19" i="95"/>
  <c r="R132" i="95"/>
  <c r="R253" i="95"/>
  <c r="R37" i="95"/>
  <c r="R17" i="95"/>
  <c r="R248" i="95"/>
  <c r="Q48" i="96"/>
  <c r="Q47" i="96"/>
  <c r="Q46" i="96"/>
  <c r="Q45" i="96"/>
  <c r="Q44" i="96"/>
  <c r="Q39" i="96"/>
  <c r="Q29" i="96"/>
  <c r="Q28" i="96"/>
  <c r="Q27" i="96"/>
  <c r="Q26" i="96"/>
  <c r="Q25" i="96"/>
  <c r="Q24" i="96"/>
  <c r="Q12" i="96"/>
  <c r="S84" i="95"/>
  <c r="Q84" i="95" s="1"/>
  <c r="Q87" i="95" s="1"/>
  <c r="S56" i="95"/>
  <c r="Q56" i="95" s="1"/>
  <c r="Q58" i="95" s="1"/>
  <c r="S10" i="95"/>
  <c r="S250" i="95"/>
  <c r="S249" i="95"/>
  <c r="S246" i="95"/>
  <c r="S245" i="95"/>
  <c r="S242" i="95"/>
  <c r="S238" i="95"/>
  <c r="S234" i="95"/>
  <c r="S231" i="95"/>
  <c r="S156" i="95"/>
  <c r="S153" i="95"/>
  <c r="S152" i="95"/>
  <c r="S148" i="95"/>
  <c r="S147" i="95"/>
  <c r="S146" i="95"/>
  <c r="S143" i="95"/>
  <c r="S142" i="95"/>
  <c r="S140" i="95"/>
  <c r="S139" i="95"/>
  <c r="S128" i="95"/>
  <c r="S122" i="95"/>
  <c r="S115" i="95"/>
  <c r="S108" i="95"/>
  <c r="S101" i="95"/>
  <c r="S80" i="95"/>
  <c r="S69" i="95"/>
  <c r="S257" i="95" s="1"/>
  <c r="S43" i="95"/>
  <c r="S38" i="95"/>
  <c r="S35" i="95"/>
  <c r="S33" i="95"/>
  <c r="S31" i="95"/>
  <c r="S29" i="95"/>
  <c r="S28" i="95"/>
  <c r="S27" i="95"/>
  <c r="S25" i="95"/>
  <c r="S22" i="95"/>
  <c r="S34" i="95"/>
  <c r="S5" i="95"/>
  <c r="S26" i="95" s="1"/>
  <c r="AU40" i="99"/>
  <c r="AY40" i="99" s="1"/>
  <c r="AU27" i="99"/>
  <c r="AY27" i="99" s="1"/>
  <c r="AU25" i="99"/>
  <c r="AY25" i="99" s="1"/>
  <c r="AU24" i="99"/>
  <c r="AY24" i="99" s="1"/>
  <c r="AU22" i="99"/>
  <c r="AY22" i="99" s="1"/>
  <c r="AY23" i="99" s="1"/>
  <c r="AU20" i="99"/>
  <c r="AY20" i="99" s="1"/>
  <c r="AU18" i="99"/>
  <c r="AY18" i="99" s="1"/>
  <c r="AU16" i="99"/>
  <c r="AY16" i="99" s="1"/>
  <c r="AU12" i="99"/>
  <c r="AY12" i="99" s="1"/>
  <c r="AU11" i="99"/>
  <c r="AY11" i="99" s="1"/>
  <c r="AU10" i="99"/>
  <c r="AY10" i="99" s="1"/>
  <c r="AU9" i="99"/>
  <c r="AY9" i="99" s="1"/>
  <c r="AU8" i="99"/>
  <c r="AY8" i="99" s="1"/>
  <c r="AT7" i="99"/>
  <c r="AT40" i="99"/>
  <c r="AT27" i="99"/>
  <c r="AT25" i="99"/>
  <c r="BG25" i="99" s="1"/>
  <c r="AT24" i="99"/>
  <c r="BG24" i="99" s="1"/>
  <c r="AT22" i="99"/>
  <c r="BG22" i="99" s="1"/>
  <c r="AT20" i="99"/>
  <c r="BG20" i="99" s="1"/>
  <c r="AT18" i="99"/>
  <c r="BG18" i="99" s="1"/>
  <c r="AT16" i="99"/>
  <c r="AT12" i="99"/>
  <c r="AT11" i="99"/>
  <c r="AT9" i="99"/>
  <c r="AT10" i="99"/>
  <c r="AT8" i="99"/>
  <c r="BO40" i="97"/>
  <c r="BO33" i="97"/>
  <c r="BO34" i="97" s="1"/>
  <c r="BO21" i="97"/>
  <c r="BO19" i="97" s="1"/>
  <c r="BP40" i="97"/>
  <c r="BT40" i="97" s="1"/>
  <c r="BP33" i="97"/>
  <c r="BP21" i="97"/>
  <c r="BS21" i="97" s="1"/>
  <c r="BP141" i="97"/>
  <c r="BP140" i="97"/>
  <c r="BP31" i="97"/>
  <c r="BP32" i="97" s="1"/>
  <c r="BO157" i="97"/>
  <c r="BO156" i="97"/>
  <c r="BO153" i="97"/>
  <c r="BO146" i="97"/>
  <c r="BO145" i="97"/>
  <c r="BO37" i="97"/>
  <c r="BO32" i="97"/>
  <c r="BO14" i="97"/>
  <c r="BO15" i="97" s="1"/>
  <c r="BO13" i="97"/>
  <c r="BO10" i="97"/>
  <c r="BO11" i="97" s="1"/>
  <c r="BO9" i="97"/>
  <c r="BO7" i="97"/>
  <c r="S40" i="96"/>
  <c r="S38" i="96"/>
  <c r="S37" i="96"/>
  <c r="S36" i="96"/>
  <c r="R29" i="98" s="1"/>
  <c r="S35" i="96"/>
  <c r="R20" i="98" s="1"/>
  <c r="S34" i="96"/>
  <c r="R10" i="98" s="1"/>
  <c r="S33" i="96"/>
  <c r="BN40" i="97" s="1"/>
  <c r="S11" i="96"/>
  <c r="S29" i="96" s="1"/>
  <c r="S10" i="96"/>
  <c r="S9" i="96"/>
  <c r="R27" i="98" s="1"/>
  <c r="S8" i="96"/>
  <c r="R18" i="98" s="1"/>
  <c r="S7" i="96"/>
  <c r="R8" i="98" s="1"/>
  <c r="S6" i="96"/>
  <c r="BN33" i="97" s="1"/>
  <c r="BN36" i="97" s="1"/>
  <c r="BN42" i="97" s="1"/>
  <c r="R48" i="96"/>
  <c r="R47" i="96"/>
  <c r="R46" i="96"/>
  <c r="R45" i="96"/>
  <c r="R44" i="96"/>
  <c r="R39" i="96"/>
  <c r="R41" i="96" s="1"/>
  <c r="R12" i="96"/>
  <c r="R19" i="96" s="1"/>
  <c r="D69" i="96"/>
  <c r="D70" i="96" s="1"/>
  <c r="D58" i="96"/>
  <c r="D60" i="96" s="1"/>
  <c r="D48" i="96"/>
  <c r="D47" i="96"/>
  <c r="D46" i="96"/>
  <c r="D45" i="96"/>
  <c r="D44" i="96"/>
  <c r="D39" i="96"/>
  <c r="D41" i="96" s="1"/>
  <c r="D29" i="96"/>
  <c r="D28" i="96"/>
  <c r="D27" i="96"/>
  <c r="D26" i="96"/>
  <c r="D25" i="96"/>
  <c r="D24" i="96"/>
  <c r="D12" i="96"/>
  <c r="T10" i="95"/>
  <c r="T30" i="95" s="1"/>
  <c r="U130" i="95"/>
  <c r="U129" i="95"/>
  <c r="U127" i="95"/>
  <c r="U126" i="95"/>
  <c r="U125" i="95"/>
  <c r="U124" i="95"/>
  <c r="U143" i="95" s="1"/>
  <c r="U123" i="95"/>
  <c r="U142" i="95" s="1"/>
  <c r="U121" i="95"/>
  <c r="U140" i="95" s="1"/>
  <c r="U120" i="95"/>
  <c r="U119" i="95"/>
  <c r="U118" i="95"/>
  <c r="U117" i="95"/>
  <c r="U139" i="95" s="1"/>
  <c r="U114" i="95"/>
  <c r="U113" i="95"/>
  <c r="U112" i="95"/>
  <c r="U111" i="95"/>
  <c r="U110" i="95"/>
  <c r="U109" i="95"/>
  <c r="U148" i="95" s="1"/>
  <c r="U107" i="95"/>
  <c r="U106" i="95"/>
  <c r="U105" i="95"/>
  <c r="U104" i="95"/>
  <c r="U103" i="95"/>
  <c r="U102" i="95"/>
  <c r="U92" i="95"/>
  <c r="U85" i="95"/>
  <c r="U84" i="95"/>
  <c r="U83" i="95"/>
  <c r="U82" i="95"/>
  <c r="U79" i="95"/>
  <c r="U78" i="95"/>
  <c r="U77" i="95"/>
  <c r="U76" i="95"/>
  <c r="U75" i="95"/>
  <c r="U60" i="96" s="1"/>
  <c r="U74" i="95"/>
  <c r="U73" i="95"/>
  <c r="U68" i="95"/>
  <c r="U67" i="95"/>
  <c r="U66" i="95"/>
  <c r="U65" i="95"/>
  <c r="U64" i="95"/>
  <c r="U63" i="95"/>
  <c r="U57" i="95"/>
  <c r="U56" i="95"/>
  <c r="U242" i="95" s="1"/>
  <c r="U55" i="95"/>
  <c r="U54" i="95"/>
  <c r="U53" i="95"/>
  <c r="U52" i="95"/>
  <c r="U51" i="95"/>
  <c r="U50" i="95"/>
  <c r="U49" i="95"/>
  <c r="U48" i="95"/>
  <c r="U47" i="95"/>
  <c r="U234" i="95" s="1"/>
  <c r="U46" i="95"/>
  <c r="U16" i="95"/>
  <c r="U245" i="95" s="1"/>
  <c r="U14" i="95"/>
  <c r="U249" i="95" s="1"/>
  <c r="U12" i="95"/>
  <c r="U8" i="95"/>
  <c r="U7" i="95"/>
  <c r="U6" i="95"/>
  <c r="U4" i="95"/>
  <c r="U3" i="95"/>
  <c r="U22" i="95" s="1"/>
  <c r="D86" i="95"/>
  <c r="U86" i="95" s="1"/>
  <c r="D10" i="95"/>
  <c r="D237" i="95" s="1"/>
  <c r="U264" i="95"/>
  <c r="U265" i="95" s="1"/>
  <c r="T250" i="95"/>
  <c r="T249" i="95"/>
  <c r="T246" i="95"/>
  <c r="T245" i="95"/>
  <c r="T242" i="95"/>
  <c r="T238" i="95"/>
  <c r="T234" i="95"/>
  <c r="U231" i="95"/>
  <c r="T231" i="95"/>
  <c r="U156" i="95"/>
  <c r="T156" i="95"/>
  <c r="U153" i="95"/>
  <c r="T153" i="95"/>
  <c r="U152" i="95"/>
  <c r="T152" i="95"/>
  <c r="T148" i="95"/>
  <c r="T147" i="95"/>
  <c r="T146" i="95"/>
  <c r="T143" i="95"/>
  <c r="T142" i="95"/>
  <c r="T140" i="95"/>
  <c r="T139" i="95"/>
  <c r="T128" i="95"/>
  <c r="T122" i="95"/>
  <c r="T115" i="95"/>
  <c r="T108" i="95"/>
  <c r="U147" i="95"/>
  <c r="U101" i="95"/>
  <c r="T101" i="95"/>
  <c r="T87" i="95"/>
  <c r="T80" i="95"/>
  <c r="T69" i="95"/>
  <c r="T257" i="95" s="1"/>
  <c r="T58" i="95"/>
  <c r="U250" i="95"/>
  <c r="U43" i="95"/>
  <c r="T43" i="95"/>
  <c r="T38" i="95"/>
  <c r="T35" i="95"/>
  <c r="T34" i="95"/>
  <c r="T33" i="95"/>
  <c r="T31" i="95"/>
  <c r="T29" i="95"/>
  <c r="T28" i="95"/>
  <c r="T27" i="95"/>
  <c r="T25" i="95"/>
  <c r="U20" i="95"/>
  <c r="T13" i="95"/>
  <c r="T36" i="95" s="1"/>
  <c r="T5" i="95"/>
  <c r="T26" i="95" s="1"/>
  <c r="D275" i="95"/>
  <c r="D250" i="95"/>
  <c r="D249" i="95"/>
  <c r="D246" i="95"/>
  <c r="D245" i="95"/>
  <c r="D242" i="95"/>
  <c r="D238" i="95"/>
  <c r="D234" i="95"/>
  <c r="D228" i="95"/>
  <c r="D210" i="95"/>
  <c r="D211" i="95" s="1"/>
  <c r="D201" i="95"/>
  <c r="D203" i="95" s="1"/>
  <c r="D204" i="95" s="1"/>
  <c r="D193" i="95"/>
  <c r="D192" i="95"/>
  <c r="D191" i="95"/>
  <c r="D190" i="95"/>
  <c r="D189" i="95"/>
  <c r="D188" i="95"/>
  <c r="D185" i="95"/>
  <c r="D194" i="95" s="1"/>
  <c r="D176" i="95"/>
  <c r="D174" i="95"/>
  <c r="D173" i="95"/>
  <c r="D172" i="95"/>
  <c r="D171" i="95"/>
  <c r="D170" i="95"/>
  <c r="D164" i="95"/>
  <c r="D166" i="95" s="1"/>
  <c r="D156" i="95"/>
  <c r="D153" i="95"/>
  <c r="D152" i="95"/>
  <c r="D148" i="95"/>
  <c r="D147" i="95"/>
  <c r="D146" i="95"/>
  <c r="D143" i="95"/>
  <c r="D142" i="95"/>
  <c r="D140" i="95"/>
  <c r="D139" i="95"/>
  <c r="D128" i="95"/>
  <c r="D122" i="95"/>
  <c r="D115" i="95"/>
  <c r="D108" i="95"/>
  <c r="D101" i="95"/>
  <c r="D80" i="95"/>
  <c r="D69" i="95"/>
  <c r="D257" i="95" s="1"/>
  <c r="D58" i="95"/>
  <c r="D43" i="95"/>
  <c r="D38" i="95"/>
  <c r="D35" i="95"/>
  <c r="D34" i="95"/>
  <c r="D33" i="95"/>
  <c r="D31" i="95"/>
  <c r="D29" i="95"/>
  <c r="D28" i="95"/>
  <c r="D27" i="95"/>
  <c r="D25" i="95"/>
  <c r="D22" i="95"/>
  <c r="D13" i="95"/>
  <c r="D241" i="95" s="1"/>
  <c r="D243" i="95" s="1"/>
  <c r="AT32" i="99" s="1"/>
  <c r="D5" i="95"/>
  <c r="D9" i="95" s="1"/>
  <c r="E26" i="98"/>
  <c r="F26" i="98"/>
  <c r="AS18" i="99"/>
  <c r="AR27" i="99"/>
  <c r="BD38" i="99"/>
  <c r="AS24" i="99"/>
  <c r="AS12" i="99"/>
  <c r="AS11" i="99"/>
  <c r="AS22" i="99" s="1"/>
  <c r="AS10" i="99"/>
  <c r="AS20" i="99" s="1"/>
  <c r="AS40" i="99"/>
  <c r="AH25" i="99"/>
  <c r="AH24" i="99"/>
  <c r="AI25" i="99"/>
  <c r="AI24" i="99"/>
  <c r="AJ25" i="99"/>
  <c r="AJ24" i="99"/>
  <c r="AK25" i="99"/>
  <c r="AK24" i="99"/>
  <c r="AL25" i="99"/>
  <c r="AL24" i="99"/>
  <c r="AM24" i="99"/>
  <c r="AM25" i="99"/>
  <c r="AO25" i="99"/>
  <c r="AP25" i="99"/>
  <c r="AQ25" i="99"/>
  <c r="AR25" i="99"/>
  <c r="AG25" i="99"/>
  <c r="AF25" i="99"/>
  <c r="AE25" i="99"/>
  <c r="AD25" i="99"/>
  <c r="AC25" i="99"/>
  <c r="AB25" i="99"/>
  <c r="Z25" i="99"/>
  <c r="Y25" i="99"/>
  <c r="X25" i="99"/>
  <c r="V25" i="99"/>
  <c r="U25" i="99"/>
  <c r="T25" i="99"/>
  <c r="S25" i="99"/>
  <c r="R25" i="99"/>
  <c r="Q25" i="99"/>
  <c r="P25" i="99"/>
  <c r="O25" i="99"/>
  <c r="N25" i="99"/>
  <c r="M25" i="99"/>
  <c r="L25" i="99"/>
  <c r="K25" i="99"/>
  <c r="J25" i="99"/>
  <c r="I25" i="99"/>
  <c r="AR8" i="99"/>
  <c r="AQ8" i="99"/>
  <c r="AR7" i="99"/>
  <c r="AQ7" i="99"/>
  <c r="BL21" i="97"/>
  <c r="BM21" i="97"/>
  <c r="BM40" i="97"/>
  <c r="BL40" i="97"/>
  <c r="BM33" i="97"/>
  <c r="BL33" i="97"/>
  <c r="BL36" i="97" s="1"/>
  <c r="BM154" i="97"/>
  <c r="BM151" i="97"/>
  <c r="BM141" i="97"/>
  <c r="BR154" i="97" s="1"/>
  <c r="BM140" i="97"/>
  <c r="BR151" i="97" s="1"/>
  <c r="BM31" i="97"/>
  <c r="BM32" i="97" s="1"/>
  <c r="BL141" i="97"/>
  <c r="BL140" i="97"/>
  <c r="BL31" i="97"/>
  <c r="BL32" i="97" s="1"/>
  <c r="AR40" i="99"/>
  <c r="AR24" i="99"/>
  <c r="AR22" i="99"/>
  <c r="AR20" i="99"/>
  <c r="AR18" i="99"/>
  <c r="AR16" i="99"/>
  <c r="AR12" i="99"/>
  <c r="AR11" i="99"/>
  <c r="AR10" i="99"/>
  <c r="AR9" i="99"/>
  <c r="AQ40" i="99"/>
  <c r="AQ27" i="99"/>
  <c r="AQ24" i="99"/>
  <c r="AQ22" i="99"/>
  <c r="AQ20" i="99"/>
  <c r="AQ18" i="99"/>
  <c r="AQ16" i="99"/>
  <c r="AQ12" i="99"/>
  <c r="AQ11" i="99"/>
  <c r="AQ10" i="99"/>
  <c r="AQ9" i="99"/>
  <c r="I286" i="95"/>
  <c r="I274" i="95"/>
  <c r="T48" i="96"/>
  <c r="T47" i="96"/>
  <c r="T46" i="96"/>
  <c r="T45" i="96"/>
  <c r="T44" i="96"/>
  <c r="T39" i="96"/>
  <c r="T29" i="96"/>
  <c r="T28" i="96"/>
  <c r="T27" i="96"/>
  <c r="T26" i="96"/>
  <c r="T25" i="96"/>
  <c r="T24" i="96"/>
  <c r="T12" i="96"/>
  <c r="T18" i="96" s="1"/>
  <c r="U48" i="96"/>
  <c r="U47" i="96"/>
  <c r="U46" i="96"/>
  <c r="U45" i="96"/>
  <c r="U44" i="96"/>
  <c r="U39" i="96"/>
  <c r="U41" i="96" s="1"/>
  <c r="U29" i="96"/>
  <c r="U28" i="96"/>
  <c r="U27" i="96"/>
  <c r="U26" i="96"/>
  <c r="U25" i="96"/>
  <c r="U24" i="96"/>
  <c r="U12" i="96"/>
  <c r="U17" i="96" s="1"/>
  <c r="V10" i="95"/>
  <c r="V237" i="95" s="1"/>
  <c r="W11" i="95"/>
  <c r="W34" i="95" s="1"/>
  <c r="W10" i="95"/>
  <c r="W237" i="95" s="1"/>
  <c r="V250" i="95"/>
  <c r="V249" i="95"/>
  <c r="V246" i="95"/>
  <c r="V245" i="95"/>
  <c r="V242" i="95"/>
  <c r="V238" i="95"/>
  <c r="V234" i="95"/>
  <c r="V231" i="95"/>
  <c r="V156" i="95"/>
  <c r="V153" i="95"/>
  <c r="V152" i="95"/>
  <c r="V148" i="95"/>
  <c r="V147" i="95"/>
  <c r="V146" i="95"/>
  <c r="V143" i="95"/>
  <c r="V142" i="95"/>
  <c r="V140" i="95"/>
  <c r="V139" i="95"/>
  <c r="V128" i="95"/>
  <c r="V122" i="95"/>
  <c r="V115" i="95"/>
  <c r="V108" i="95"/>
  <c r="V101" i="95"/>
  <c r="V87" i="95"/>
  <c r="V80" i="95"/>
  <c r="V69" i="95"/>
  <c r="V257" i="95" s="1"/>
  <c r="V58" i="95"/>
  <c r="V43" i="95"/>
  <c r="V38" i="95"/>
  <c r="V35" i="95"/>
  <c r="V34" i="95"/>
  <c r="V33" i="95"/>
  <c r="V31" i="95"/>
  <c r="V29" i="95"/>
  <c r="V28" i="95"/>
  <c r="V27" i="95"/>
  <c r="V25" i="95"/>
  <c r="V22" i="95"/>
  <c r="V13" i="95"/>
  <c r="V241" i="95" s="1"/>
  <c r="V243" i="95" s="1"/>
  <c r="V5" i="95"/>
  <c r="V26" i="95" s="1"/>
  <c r="W250" i="95"/>
  <c r="W249" i="95"/>
  <c r="W246" i="95"/>
  <c r="W245" i="95"/>
  <c r="W242" i="95"/>
  <c r="W238" i="95"/>
  <c r="W234" i="95"/>
  <c r="W231" i="95"/>
  <c r="W156" i="95"/>
  <c r="W153" i="95"/>
  <c r="W152" i="95"/>
  <c r="W148" i="95"/>
  <c r="W147" i="95"/>
  <c r="W146" i="95"/>
  <c r="W143" i="95"/>
  <c r="W142" i="95"/>
  <c r="W140" i="95"/>
  <c r="W139" i="95"/>
  <c r="W128" i="95"/>
  <c r="W122" i="95"/>
  <c r="W115" i="95"/>
  <c r="W108" i="95"/>
  <c r="W101" i="95"/>
  <c r="W87" i="95"/>
  <c r="W80" i="95"/>
  <c r="W69" i="95"/>
  <c r="W257" i="95" s="1"/>
  <c r="W58" i="95"/>
  <c r="W43" i="95"/>
  <c r="W38" i="95"/>
  <c r="W35" i="95"/>
  <c r="W33" i="95"/>
  <c r="W31" i="95"/>
  <c r="W29" i="95"/>
  <c r="W28" i="95"/>
  <c r="W27" i="95"/>
  <c r="W25" i="95"/>
  <c r="W22" i="95"/>
  <c r="W5" i="95"/>
  <c r="W26" i="95" s="1"/>
  <c r="AP7" i="99"/>
  <c r="BK40" i="97"/>
  <c r="BK33" i="97"/>
  <c r="BK36" i="97" s="1"/>
  <c r="BK22" i="97"/>
  <c r="BK154" i="97"/>
  <c r="BK151" i="97"/>
  <c r="BK141" i="97"/>
  <c r="BK140" i="97"/>
  <c r="BK31" i="97"/>
  <c r="BK32" i="97" s="1"/>
  <c r="BJ40" i="97"/>
  <c r="BJ37" i="97"/>
  <c r="BJ33" i="97"/>
  <c r="BJ36" i="97" s="1"/>
  <c r="BJ21" i="97"/>
  <c r="BJ23" i="97" s="1"/>
  <c r="BJ157" i="97"/>
  <c r="BJ156" i="97"/>
  <c r="BJ154" i="97"/>
  <c r="BJ153" i="97"/>
  <c r="BJ151" i="97"/>
  <c r="BJ146" i="97"/>
  <c r="BJ145" i="97"/>
  <c r="BJ32" i="97"/>
  <c r="BJ14" i="97"/>
  <c r="BJ15" i="97" s="1"/>
  <c r="BJ13" i="97"/>
  <c r="BJ10" i="97"/>
  <c r="BJ11" i="97" s="1"/>
  <c r="BJ9" i="97"/>
  <c r="BJ7" i="97"/>
  <c r="AP40" i="99"/>
  <c r="AP27" i="99"/>
  <c r="AP24" i="99"/>
  <c r="AP22" i="99"/>
  <c r="AP20" i="99"/>
  <c r="AP18" i="99"/>
  <c r="AP16" i="99"/>
  <c r="AP12" i="99"/>
  <c r="AP11" i="99"/>
  <c r="AP10" i="99"/>
  <c r="AP9" i="99"/>
  <c r="AP8" i="99"/>
  <c r="AO27" i="99"/>
  <c r="AO24" i="99"/>
  <c r="AO22" i="99"/>
  <c r="AO20" i="99"/>
  <c r="AO18" i="99"/>
  <c r="AO16" i="99"/>
  <c r="AO12" i="99"/>
  <c r="AO11" i="99"/>
  <c r="AO10" i="99"/>
  <c r="AO9" i="99"/>
  <c r="AO8" i="99"/>
  <c r="E69" i="96"/>
  <c r="E70" i="96" s="1"/>
  <c r="E58" i="96"/>
  <c r="E60" i="96" s="1"/>
  <c r="E48" i="96"/>
  <c r="E47" i="96"/>
  <c r="E46" i="96"/>
  <c r="E45" i="96"/>
  <c r="E44" i="96"/>
  <c r="E39" i="96"/>
  <c r="E41" i="96" s="1"/>
  <c r="E29" i="96"/>
  <c r="E28" i="96"/>
  <c r="E27" i="96"/>
  <c r="E26" i="96"/>
  <c r="E25" i="96"/>
  <c r="E24" i="96"/>
  <c r="E12" i="96"/>
  <c r="E16" i="96" s="1"/>
  <c r="V48" i="96"/>
  <c r="V47" i="96"/>
  <c r="V46" i="96"/>
  <c r="V45" i="96"/>
  <c r="V44" i="96"/>
  <c r="V39" i="96"/>
  <c r="V41" i="96" s="1"/>
  <c r="V29" i="96"/>
  <c r="V28" i="96"/>
  <c r="V27" i="96"/>
  <c r="V26" i="96"/>
  <c r="V25" i="96"/>
  <c r="V24" i="96"/>
  <c r="V12" i="96"/>
  <c r="V17" i="96" s="1"/>
  <c r="W144" i="95" l="1"/>
  <c r="AY21" i="99"/>
  <c r="BS23" i="97"/>
  <c r="BS16" i="97"/>
  <c r="BS19" i="97"/>
  <c r="BP36" i="97"/>
  <c r="BP38" i="97" s="1"/>
  <c r="BT33" i="97"/>
  <c r="BT36" i="97" s="1"/>
  <c r="BT38" i="97" s="1"/>
  <c r="BT41" i="97"/>
  <c r="BT39" i="97" s="1"/>
  <c r="Q10" i="95"/>
  <c r="O42" i="96" s="1"/>
  <c r="AY26" i="99"/>
  <c r="AY17" i="99"/>
  <c r="AY19" i="99"/>
  <c r="BK21" i="97"/>
  <c r="BK23" i="97" s="1"/>
  <c r="BK24" i="97" s="1"/>
  <c r="BN22" i="97"/>
  <c r="S24" i="96"/>
  <c r="R25" i="96"/>
  <c r="S27" i="96"/>
  <c r="AV23" i="99"/>
  <c r="D16" i="96"/>
  <c r="C30" i="96"/>
  <c r="AV19" i="99"/>
  <c r="R28" i="96"/>
  <c r="R26" i="96"/>
  <c r="AV21" i="99"/>
  <c r="S26" i="96"/>
  <c r="S141" i="95"/>
  <c r="S58" i="95"/>
  <c r="Q242" i="95"/>
  <c r="Q243" i="95" s="1"/>
  <c r="AX32" i="99" s="1"/>
  <c r="S237" i="95"/>
  <c r="S87" i="95"/>
  <c r="I285" i="95"/>
  <c r="U31" i="95"/>
  <c r="U29" i="95"/>
  <c r="C71" i="95"/>
  <c r="C60" i="95"/>
  <c r="AR32" i="99"/>
  <c r="S9" i="95"/>
  <c r="S233" i="95" s="1"/>
  <c r="S235" i="95" s="1"/>
  <c r="AV30" i="99" s="1"/>
  <c r="S251" i="95"/>
  <c r="AV38" i="99" s="1"/>
  <c r="D87" i="95"/>
  <c r="BO154" i="97"/>
  <c r="BO158" i="97" s="1"/>
  <c r="BQ154" i="97"/>
  <c r="AU7" i="99"/>
  <c r="BO151" i="97"/>
  <c r="BQ151" i="97"/>
  <c r="BP34" i="97"/>
  <c r="AS8" i="99"/>
  <c r="AS13" i="99" s="1"/>
  <c r="S28" i="96"/>
  <c r="S39" i="96"/>
  <c r="S41" i="96" s="1"/>
  <c r="R13" i="96"/>
  <c r="Q18" i="96"/>
  <c r="P30" i="96"/>
  <c r="U27" i="95"/>
  <c r="T22" i="95"/>
  <c r="U28" i="95"/>
  <c r="U33" i="95"/>
  <c r="U25" i="95"/>
  <c r="D42" i="96"/>
  <c r="U35" i="95"/>
  <c r="R45" i="95"/>
  <c r="R19" i="95"/>
  <c r="R39" i="95"/>
  <c r="U238" i="95"/>
  <c r="S247" i="95"/>
  <c r="AV35" i="99" s="1"/>
  <c r="Q49" i="96"/>
  <c r="Q19" i="96"/>
  <c r="Q20" i="96"/>
  <c r="AU19" i="99"/>
  <c r="Q13" i="96"/>
  <c r="Q30" i="96"/>
  <c r="Q16" i="96"/>
  <c r="S48" i="96"/>
  <c r="Q17" i="96"/>
  <c r="Q41" i="96"/>
  <c r="Q42" i="96" s="1"/>
  <c r="S131" i="95"/>
  <c r="S134" i="95" s="1"/>
  <c r="S144" i="95"/>
  <c r="S145" i="95" s="1"/>
  <c r="S149" i="95" s="1"/>
  <c r="S135" i="95" s="1"/>
  <c r="S116" i="95"/>
  <c r="S239" i="95"/>
  <c r="AV31" i="99" s="1"/>
  <c r="U87" i="95"/>
  <c r="S30" i="95"/>
  <c r="D141" i="95"/>
  <c r="U246" i="95"/>
  <c r="U247" i="95" s="1"/>
  <c r="U69" i="95"/>
  <c r="S13" i="95"/>
  <c r="S32" i="95"/>
  <c r="T251" i="95"/>
  <c r="AU38" i="99" s="1"/>
  <c r="U11" i="95"/>
  <c r="U80" i="95"/>
  <c r="U141" i="95"/>
  <c r="V247" i="95"/>
  <c r="T144" i="95"/>
  <c r="U108" i="95"/>
  <c r="AU23" i="99"/>
  <c r="AU21" i="99"/>
  <c r="AU13" i="99"/>
  <c r="AU17" i="99"/>
  <c r="AU26" i="99"/>
  <c r="AU28" i="99" s="1"/>
  <c r="BP23" i="97"/>
  <c r="BP19" i="97"/>
  <c r="BP16" i="97"/>
  <c r="BO23" i="97"/>
  <c r="BO16" i="97"/>
  <c r="BO36" i="97"/>
  <c r="BO38" i="97" s="1"/>
  <c r="BP151" i="97"/>
  <c r="BP154" i="97"/>
  <c r="BJ158" i="97"/>
  <c r="S47" i="96"/>
  <c r="S45" i="96"/>
  <c r="S25" i="96"/>
  <c r="S46" i="96"/>
  <c r="D49" i="96"/>
  <c r="D18" i="96"/>
  <c r="D19" i="96"/>
  <c r="D17" i="96"/>
  <c r="R29" i="96"/>
  <c r="S12" i="96"/>
  <c r="S17" i="96" s="1"/>
  <c r="R18" i="96"/>
  <c r="R24" i="96"/>
  <c r="R27" i="96"/>
  <c r="R17" i="96"/>
  <c r="S44" i="96"/>
  <c r="AT23" i="99"/>
  <c r="R49" i="96"/>
  <c r="R20" i="96"/>
  <c r="R16" i="96"/>
  <c r="V13" i="96"/>
  <c r="D20" i="96"/>
  <c r="AP26" i="99"/>
  <c r="AP28" i="99" s="1"/>
  <c r="D13" i="96"/>
  <c r="D30" i="96"/>
  <c r="AT17" i="99"/>
  <c r="T131" i="95"/>
  <c r="T134" i="95" s="1"/>
  <c r="T141" i="95"/>
  <c r="T116" i="95"/>
  <c r="T247" i="95"/>
  <c r="AU35" i="99" s="1"/>
  <c r="T9" i="95"/>
  <c r="U144" i="95"/>
  <c r="U145" i="95" s="1"/>
  <c r="D131" i="95"/>
  <c r="D134" i="95" s="1"/>
  <c r="D239" i="95"/>
  <c r="U251" i="95"/>
  <c r="V36" i="95"/>
  <c r="D247" i="95"/>
  <c r="AT35" i="99" s="1"/>
  <c r="U115" i="95"/>
  <c r="U146" i="95"/>
  <c r="U5" i="95"/>
  <c r="D30" i="95"/>
  <c r="D116" i="95"/>
  <c r="D186" i="95"/>
  <c r="D251" i="95"/>
  <c r="AT38" i="99" s="1"/>
  <c r="U38" i="95"/>
  <c r="U122" i="95"/>
  <c r="T237" i="95"/>
  <c r="T239" i="95" s="1"/>
  <c r="AU31" i="99" s="1"/>
  <c r="T241" i="95"/>
  <c r="T243" i="95" s="1"/>
  <c r="AU32" i="99" s="1"/>
  <c r="D26" i="95"/>
  <c r="D144" i="95"/>
  <c r="U128" i="95"/>
  <c r="D233" i="95"/>
  <c r="D235" i="95" s="1"/>
  <c r="AT30" i="99" s="1"/>
  <c r="D15" i="95"/>
  <c r="D32" i="95"/>
  <c r="D167" i="95"/>
  <c r="D177" i="95"/>
  <c r="W251" i="95"/>
  <c r="V251" i="95"/>
  <c r="V30" i="95"/>
  <c r="D36" i="95"/>
  <c r="D175" i="95"/>
  <c r="V144" i="95"/>
  <c r="V9" i="95"/>
  <c r="V32" i="95" s="1"/>
  <c r="D28" i="98"/>
  <c r="D30" i="98"/>
  <c r="D11" i="98"/>
  <c r="D9" i="98"/>
  <c r="E30" i="98"/>
  <c r="F30" i="98"/>
  <c r="F11" i="98"/>
  <c r="F21" i="98"/>
  <c r="E9" i="98"/>
  <c r="E11" i="98"/>
  <c r="E28" i="98"/>
  <c r="AO26" i="99"/>
  <c r="AR26" i="99"/>
  <c r="AR28" i="99" s="1"/>
  <c r="AQ26" i="99"/>
  <c r="AQ28" i="99" s="1"/>
  <c r="AA25" i="99"/>
  <c r="AO19" i="99"/>
  <c r="AQ23" i="99"/>
  <c r="AR17" i="99"/>
  <c r="BL42" i="97"/>
  <c r="BM36" i="97"/>
  <c r="BL38" i="97"/>
  <c r="AR23" i="99"/>
  <c r="AR21" i="99"/>
  <c r="AR19" i="99"/>
  <c r="AR13" i="99"/>
  <c r="AQ19" i="99"/>
  <c r="AQ21" i="99"/>
  <c r="AQ17" i="99"/>
  <c r="AQ13" i="99"/>
  <c r="AP19" i="99"/>
  <c r="T16" i="96"/>
  <c r="T49" i="96"/>
  <c r="T17" i="96"/>
  <c r="T19" i="96"/>
  <c r="U18" i="96"/>
  <c r="U49" i="96"/>
  <c r="U30" i="96"/>
  <c r="T20" i="96"/>
  <c r="AP17" i="99"/>
  <c r="U16" i="96"/>
  <c r="T13" i="96"/>
  <c r="T30" i="96"/>
  <c r="T41" i="96"/>
  <c r="AO21" i="99"/>
  <c r="AP23" i="99"/>
  <c r="AP21" i="99"/>
  <c r="BJ34" i="97"/>
  <c r="U19" i="96"/>
  <c r="BK34" i="97"/>
  <c r="BN34" i="97" s="1"/>
  <c r="AP13" i="99"/>
  <c r="U20" i="96"/>
  <c r="AO23" i="99"/>
  <c r="U13" i="96"/>
  <c r="AO17" i="99"/>
  <c r="V131" i="95"/>
  <c r="V134" i="95" s="1"/>
  <c r="V141" i="95"/>
  <c r="V116" i="95"/>
  <c r="V239" i="95"/>
  <c r="W141" i="95"/>
  <c r="W145" i="95" s="1"/>
  <c r="W149" i="95" s="1"/>
  <c r="W135" i="95" s="1"/>
  <c r="W116" i="95"/>
  <c r="W239" i="95"/>
  <c r="AQ31" i="99" s="1"/>
  <c r="W247" i="95"/>
  <c r="AQ35" i="99" s="1"/>
  <c r="W13" i="95"/>
  <c r="W241" i="95" s="1"/>
  <c r="W243" i="95" s="1"/>
  <c r="AQ32" i="99" s="1"/>
  <c r="W9" i="95"/>
  <c r="W233" i="95" s="1"/>
  <c r="W235" i="95" s="1"/>
  <c r="AQ30" i="99" s="1"/>
  <c r="W30" i="95"/>
  <c r="W131" i="95"/>
  <c r="W134" i="95" s="1"/>
  <c r="BK38" i="97"/>
  <c r="BK42" i="97"/>
  <c r="BK19" i="97"/>
  <c r="BJ38" i="97"/>
  <c r="BJ42" i="97"/>
  <c r="BJ19" i="97"/>
  <c r="BJ16" i="97"/>
  <c r="E49" i="96"/>
  <c r="E18" i="96"/>
  <c r="E17" i="96"/>
  <c r="E20" i="96"/>
  <c r="V18" i="96"/>
  <c r="V16" i="96"/>
  <c r="E19" i="96"/>
  <c r="V19" i="96"/>
  <c r="V20" i="96"/>
  <c r="V49" i="96"/>
  <c r="E13" i="96"/>
  <c r="X140" i="95"/>
  <c r="AR231" i="95"/>
  <c r="AQ231" i="95"/>
  <c r="AP231" i="95"/>
  <c r="AO231" i="95"/>
  <c r="AN231" i="95"/>
  <c r="AM231" i="95"/>
  <c r="AL231" i="95"/>
  <c r="AK231" i="95"/>
  <c r="AJ231" i="95"/>
  <c r="AI231" i="95"/>
  <c r="AH231" i="95"/>
  <c r="AG231" i="95"/>
  <c r="AF231" i="95"/>
  <c r="AE231" i="95"/>
  <c r="AD231" i="95"/>
  <c r="AC231" i="95"/>
  <c r="AB231" i="95"/>
  <c r="AA231" i="95"/>
  <c r="Z231" i="95"/>
  <c r="Y231" i="95"/>
  <c r="X231" i="95"/>
  <c r="X10" i="95"/>
  <c r="X237" i="95" s="1"/>
  <c r="X250" i="95"/>
  <c r="X249" i="95"/>
  <c r="X246" i="95"/>
  <c r="X245" i="95"/>
  <c r="X242" i="95"/>
  <c r="X238" i="95"/>
  <c r="X234" i="95"/>
  <c r="X156" i="95"/>
  <c r="X153" i="95"/>
  <c r="X152" i="95"/>
  <c r="X148" i="95"/>
  <c r="X147" i="95"/>
  <c r="X146" i="95"/>
  <c r="X143" i="95"/>
  <c r="X142" i="95"/>
  <c r="X139" i="95"/>
  <c r="X128" i="95"/>
  <c r="X122" i="95"/>
  <c r="X115" i="95"/>
  <c r="X108" i="95"/>
  <c r="X101" i="95"/>
  <c r="X87" i="95"/>
  <c r="X80" i="95"/>
  <c r="X69" i="95"/>
  <c r="X257" i="95" s="1"/>
  <c r="X58" i="95"/>
  <c r="U58" i="95" s="1"/>
  <c r="X43" i="95"/>
  <c r="X38" i="95"/>
  <c r="X35" i="95"/>
  <c r="X34" i="95"/>
  <c r="X33" i="95"/>
  <c r="X31" i="95"/>
  <c r="X29" i="95"/>
  <c r="X28" i="95"/>
  <c r="X27" i="95"/>
  <c r="X25" i="95"/>
  <c r="X13" i="95"/>
  <c r="X5" i="95"/>
  <c r="X9" i="95" s="1"/>
  <c r="Y130" i="95"/>
  <c r="Y129" i="95"/>
  <c r="Y127" i="95"/>
  <c r="Y126" i="95"/>
  <c r="Y125" i="95"/>
  <c r="Y124" i="95"/>
  <c r="Y143" i="95" s="1"/>
  <c r="Y123" i="95"/>
  <c r="Y121" i="95"/>
  <c r="Y140" i="95" s="1"/>
  <c r="Y120" i="95"/>
  <c r="Y119" i="95"/>
  <c r="Y118" i="95"/>
  <c r="Y117" i="95"/>
  <c r="Y139" i="95" s="1"/>
  <c r="Y114" i="95"/>
  <c r="Y113" i="95"/>
  <c r="Y112" i="95"/>
  <c r="Y111" i="95"/>
  <c r="Y110" i="95"/>
  <c r="Y109" i="95"/>
  <c r="Y148" i="95" s="1"/>
  <c r="Y107" i="95"/>
  <c r="Y106" i="95"/>
  <c r="Y105" i="95"/>
  <c r="Y104" i="95"/>
  <c r="Y103" i="95"/>
  <c r="Y147" i="95" s="1"/>
  <c r="Y102" i="95"/>
  <c r="Y146" i="95" s="1"/>
  <c r="Y92" i="95"/>
  <c r="Y86" i="95"/>
  <c r="Y85" i="95"/>
  <c r="Y84" i="95"/>
  <c r="Y83" i="95"/>
  <c r="Y82" i="95"/>
  <c r="Y79" i="95"/>
  <c r="Y78" i="95"/>
  <c r="Y77" i="95"/>
  <c r="Y76" i="95"/>
  <c r="Y75" i="95"/>
  <c r="BB40" i="99" s="1"/>
  <c r="Y74" i="95"/>
  <c r="Y73" i="95"/>
  <c r="Y68" i="95"/>
  <c r="Y67" i="95"/>
  <c r="Y66" i="95"/>
  <c r="Y65" i="95"/>
  <c r="Y64" i="95"/>
  <c r="Y63" i="95"/>
  <c r="Y57" i="95"/>
  <c r="Y56" i="95"/>
  <c r="Y242" i="95" s="1"/>
  <c r="Y55" i="95"/>
  <c r="Y54" i="95"/>
  <c r="Y53" i="95"/>
  <c r="Y52" i="95"/>
  <c r="Y51" i="95"/>
  <c r="Y50" i="95"/>
  <c r="Y49" i="95"/>
  <c r="Y250" i="95" s="1"/>
  <c r="Y48" i="95"/>
  <c r="Y47" i="95"/>
  <c r="Y234" i="95" s="1"/>
  <c r="Y46" i="95"/>
  <c r="Y20" i="95"/>
  <c r="Y16" i="95"/>
  <c r="Y245" i="95" s="1"/>
  <c r="Y14" i="95"/>
  <c r="Y249" i="95" s="1"/>
  <c r="Y12" i="95"/>
  <c r="Y11" i="95"/>
  <c r="Y8" i="95"/>
  <c r="Y7" i="95"/>
  <c r="Y6" i="95"/>
  <c r="Y4" i="95"/>
  <c r="Y3" i="95"/>
  <c r="Y22" i="95" s="1"/>
  <c r="E10" i="95"/>
  <c r="E30" i="95" s="1"/>
  <c r="AA10" i="95"/>
  <c r="E275" i="95"/>
  <c r="E250" i="95"/>
  <c r="E249" i="95"/>
  <c r="E246" i="95"/>
  <c r="E245" i="95"/>
  <c r="AO35" i="99" s="1"/>
  <c r="E242" i="95"/>
  <c r="E238" i="95"/>
  <c r="E234" i="95"/>
  <c r="E228" i="95"/>
  <c r="E210" i="95"/>
  <c r="E211" i="95" s="1"/>
  <c r="E201" i="95"/>
  <c r="E203" i="95" s="1"/>
  <c r="E204" i="95" s="1"/>
  <c r="E193" i="95"/>
  <c r="E192" i="95"/>
  <c r="E191" i="95"/>
  <c r="E190" i="95"/>
  <c r="E189" i="95"/>
  <c r="E188" i="95"/>
  <c r="E185" i="95"/>
  <c r="E194" i="95" s="1"/>
  <c r="E176" i="95"/>
  <c r="E174" i="95"/>
  <c r="E173" i="95"/>
  <c r="E172" i="95"/>
  <c r="E171" i="95"/>
  <c r="E170" i="95"/>
  <c r="E164" i="95"/>
  <c r="E166" i="95" s="1"/>
  <c r="E156" i="95"/>
  <c r="E153" i="95"/>
  <c r="E152" i="95"/>
  <c r="E148" i="95"/>
  <c r="E147" i="95"/>
  <c r="E146" i="95"/>
  <c r="E143" i="95"/>
  <c r="E142" i="95"/>
  <c r="E140" i="95"/>
  <c r="E139" i="95"/>
  <c r="E128" i="95"/>
  <c r="E122" i="95"/>
  <c r="E115" i="95"/>
  <c r="E108" i="95"/>
  <c r="E101" i="95"/>
  <c r="E87" i="95"/>
  <c r="E80" i="95"/>
  <c r="E69" i="95"/>
  <c r="E257" i="95" s="1"/>
  <c r="E58" i="95"/>
  <c r="E43" i="95"/>
  <c r="E38" i="95"/>
  <c r="E35" i="95"/>
  <c r="E34" i="95"/>
  <c r="E33" i="95"/>
  <c r="E31" i="95"/>
  <c r="E29" i="95"/>
  <c r="E28" i="95"/>
  <c r="E27" i="95"/>
  <c r="E25" i="95"/>
  <c r="E22" i="95"/>
  <c r="E13" i="95"/>
  <c r="E36" i="95" s="1"/>
  <c r="E5" i="95"/>
  <c r="E9" i="95" s="1"/>
  <c r="Z268" i="95"/>
  <c r="Y264" i="95"/>
  <c r="Y265" i="95" s="1"/>
  <c r="AA250" i="95"/>
  <c r="Z250" i="95"/>
  <c r="AA249" i="95"/>
  <c r="Z249" i="95"/>
  <c r="AA246" i="95"/>
  <c r="Z246" i="95"/>
  <c r="AA245" i="95"/>
  <c r="Z245" i="95"/>
  <c r="AA242" i="95"/>
  <c r="Z242" i="95"/>
  <c r="AA238" i="95"/>
  <c r="Z238" i="95"/>
  <c r="Z237" i="95"/>
  <c r="AA234" i="95"/>
  <c r="Z234" i="95"/>
  <c r="AA166" i="95"/>
  <c r="AA156" i="95"/>
  <c r="Z156" i="95"/>
  <c r="Y156" i="95"/>
  <c r="AA153" i="95"/>
  <c r="Z153" i="95"/>
  <c r="Y153" i="95"/>
  <c r="AA152" i="95"/>
  <c r="Z152" i="95"/>
  <c r="Y152" i="95"/>
  <c r="AA148" i="95"/>
  <c r="Z148" i="95"/>
  <c r="AA147" i="95"/>
  <c r="Z147" i="95"/>
  <c r="AA146" i="95"/>
  <c r="Z146" i="95"/>
  <c r="AA143" i="95"/>
  <c r="Z143" i="95"/>
  <c r="AA142" i="95"/>
  <c r="Z142" i="95"/>
  <c r="AA140" i="95"/>
  <c r="Z140" i="95"/>
  <c r="AA139" i="95"/>
  <c r="Z139" i="95"/>
  <c r="AA128" i="95"/>
  <c r="Z128" i="95"/>
  <c r="AA122" i="95"/>
  <c r="Z122" i="95"/>
  <c r="AA115" i="95"/>
  <c r="Z115" i="95"/>
  <c r="AA108" i="95"/>
  <c r="Z108" i="95"/>
  <c r="AA101" i="95"/>
  <c r="Z101" i="95"/>
  <c r="Y101" i="95"/>
  <c r="AA87" i="95"/>
  <c r="Z87" i="95"/>
  <c r="AA80" i="95"/>
  <c r="Z80" i="95"/>
  <c r="AA69" i="95"/>
  <c r="AA257" i="95" s="1"/>
  <c r="Z69" i="95"/>
  <c r="Z257" i="95" s="1"/>
  <c r="AA58" i="95"/>
  <c r="Z58" i="95"/>
  <c r="AA43" i="95"/>
  <c r="Z43" i="95"/>
  <c r="Y43" i="95"/>
  <c r="AA38" i="95"/>
  <c r="Z38" i="95"/>
  <c r="AA35" i="95"/>
  <c r="Z35" i="95"/>
  <c r="AA34" i="95"/>
  <c r="Z34" i="95"/>
  <c r="AA33" i="95"/>
  <c r="Z33" i="95"/>
  <c r="AA31" i="95"/>
  <c r="Z31" i="95"/>
  <c r="Z30" i="95"/>
  <c r="AA29" i="95"/>
  <c r="Z29" i="95"/>
  <c r="AA28" i="95"/>
  <c r="Z28" i="95"/>
  <c r="AA27" i="95"/>
  <c r="Z27" i="95"/>
  <c r="AA25" i="95"/>
  <c r="Z25" i="95"/>
  <c r="AA22" i="95"/>
  <c r="Z22" i="95"/>
  <c r="AA13" i="95"/>
  <c r="AA241" i="95" s="1"/>
  <c r="Z13" i="95"/>
  <c r="Z241" i="95" s="1"/>
  <c r="AA5" i="95"/>
  <c r="AA9" i="95" s="1"/>
  <c r="Z5" i="95"/>
  <c r="Z9" i="95" s="1"/>
  <c r="BT17" i="97" l="1"/>
  <c r="BV17" i="97"/>
  <c r="BP24" i="97"/>
  <c r="BK16" i="97"/>
  <c r="AP6" i="99" s="1"/>
  <c r="BP42" i="97"/>
  <c r="R18" i="102"/>
  <c r="BT42" i="97"/>
  <c r="AX6" i="99"/>
  <c r="BS41" i="97"/>
  <c r="BS39" i="97" s="1"/>
  <c r="AY38" i="99"/>
  <c r="AY35" i="99"/>
  <c r="BT34" i="97"/>
  <c r="BN21" i="97"/>
  <c r="BN19" i="97" s="1"/>
  <c r="AV28" i="99"/>
  <c r="AV29" i="99" s="1"/>
  <c r="AV17" i="99"/>
  <c r="AV13" i="99"/>
  <c r="BR41" i="97"/>
  <c r="BR39" i="97" s="1"/>
  <c r="Q30" i="95"/>
  <c r="Q237" i="95"/>
  <c r="Q239" i="95" s="1"/>
  <c r="Q15" i="95"/>
  <c r="C91" i="95"/>
  <c r="C254" i="95"/>
  <c r="AR35" i="99"/>
  <c r="AR31" i="99"/>
  <c r="AR38" i="99"/>
  <c r="T145" i="95"/>
  <c r="T149" i="95" s="1"/>
  <c r="T135" i="95" s="1"/>
  <c r="U149" i="95"/>
  <c r="U135" i="95" s="1"/>
  <c r="S15" i="95"/>
  <c r="BO41" i="97"/>
  <c r="BO39" i="97" s="1"/>
  <c r="AT6" i="99"/>
  <c r="BO17" i="97"/>
  <c r="AS16" i="99"/>
  <c r="AS26" i="99" s="1"/>
  <c r="BP41" i="97"/>
  <c r="BP39" i="97" s="1"/>
  <c r="AU6" i="99"/>
  <c r="AO6" i="99"/>
  <c r="S13" i="96"/>
  <c r="R71" i="95"/>
  <c r="R60" i="95"/>
  <c r="D145" i="95"/>
  <c r="D149" i="95" s="1"/>
  <c r="D135" i="95" s="1"/>
  <c r="S132" i="95"/>
  <c r="S17" i="95"/>
  <c r="S37" i="95"/>
  <c r="S241" i="95"/>
  <c r="S243" i="95" s="1"/>
  <c r="AV32" i="99" s="1"/>
  <c r="AY32" i="99" s="1"/>
  <c r="S36" i="95"/>
  <c r="X251" i="95"/>
  <c r="U116" i="95"/>
  <c r="U10" i="95"/>
  <c r="U237" i="95" s="1"/>
  <c r="U239" i="95" s="1"/>
  <c r="T233" i="95"/>
  <c r="T235" i="95" s="1"/>
  <c r="R42" i="96"/>
  <c r="BO42" i="97"/>
  <c r="S49" i="96"/>
  <c r="R30" i="96"/>
  <c r="S19" i="96"/>
  <c r="S16" i="96"/>
  <c r="S30" i="96"/>
  <c r="S18" i="96"/>
  <c r="S20" i="96"/>
  <c r="AT21" i="99"/>
  <c r="T132" i="95"/>
  <c r="T32" i="95"/>
  <c r="T15" i="95"/>
  <c r="T17" i="95" s="1"/>
  <c r="D132" i="95"/>
  <c r="D253" i="95"/>
  <c r="U131" i="95"/>
  <c r="U134" i="95" s="1"/>
  <c r="D248" i="95"/>
  <c r="V145" i="95"/>
  <c r="V149" i="95" s="1"/>
  <c r="V135" i="95" s="1"/>
  <c r="U34" i="95"/>
  <c r="U13" i="95"/>
  <c r="U26" i="95"/>
  <c r="U9" i="95"/>
  <c r="E42" i="96"/>
  <c r="Z144" i="95"/>
  <c r="V42" i="96"/>
  <c r="U42" i="96"/>
  <c r="AQ38" i="99"/>
  <c r="AQ39" i="99" s="1"/>
  <c r="AQ43" i="99" s="1"/>
  <c r="AS38" i="99"/>
  <c r="D37" i="95"/>
  <c r="D17" i="95"/>
  <c r="T42" i="96"/>
  <c r="AT19" i="99"/>
  <c r="AT26" i="99"/>
  <c r="BM42" i="97"/>
  <c r="BM38" i="97"/>
  <c r="BN38" i="97" s="1"/>
  <c r="BL19" i="97"/>
  <c r="E141" i="95"/>
  <c r="V132" i="95"/>
  <c r="V233" i="95"/>
  <c r="V235" i="95" s="1"/>
  <c r="V15" i="95"/>
  <c r="W132" i="95"/>
  <c r="W36" i="95"/>
  <c r="W253" i="95"/>
  <c r="W15" i="95"/>
  <c r="W17" i="95" s="1"/>
  <c r="W39" i="95" s="1"/>
  <c r="W32" i="95"/>
  <c r="W248" i="95"/>
  <c r="AA243" i="95"/>
  <c r="E26" i="95"/>
  <c r="Z116" i="95"/>
  <c r="Y87" i="95"/>
  <c r="Y122" i="95"/>
  <c r="X141" i="95"/>
  <c r="X144" i="95"/>
  <c r="Z251" i="95"/>
  <c r="Y58" i="95"/>
  <c r="Y69" i="95"/>
  <c r="Y128" i="95"/>
  <c r="AA251" i="95"/>
  <c r="X247" i="95"/>
  <c r="AP35" i="99" s="1"/>
  <c r="Z247" i="95"/>
  <c r="E251" i="95"/>
  <c r="AO38" i="99" s="1"/>
  <c r="BJ41" i="97"/>
  <c r="BJ39" i="97" s="1"/>
  <c r="BK41" i="97"/>
  <c r="BK39" i="97" s="1"/>
  <c r="E186" i="95"/>
  <c r="E241" i="95"/>
  <c r="E243" i="95" s="1"/>
  <c r="AO32" i="99" s="1"/>
  <c r="Y115" i="95"/>
  <c r="Y141" i="95"/>
  <c r="Y142" i="95"/>
  <c r="Y144" i="95" s="1"/>
  <c r="E247" i="95"/>
  <c r="Y10" i="95"/>
  <c r="Y251" i="95"/>
  <c r="Y80" i="95"/>
  <c r="X22" i="95"/>
  <c r="E175" i="95"/>
  <c r="X131" i="95"/>
  <c r="X134" i="95" s="1"/>
  <c r="X116" i="95"/>
  <c r="X30" i="95"/>
  <c r="X239" i="95"/>
  <c r="AP31" i="99" s="1"/>
  <c r="X26" i="95"/>
  <c r="X233" i="95"/>
  <c r="X235" i="95" s="1"/>
  <c r="AP30" i="99" s="1"/>
  <c r="X32" i="95"/>
  <c r="X15" i="95"/>
  <c r="X37" i="95" s="1"/>
  <c r="X145" i="95"/>
  <c r="X36" i="95"/>
  <c r="X241" i="95"/>
  <c r="X243" i="95" s="1"/>
  <c r="Y108" i="95"/>
  <c r="Y13" i="95"/>
  <c r="Y241" i="95" s="1"/>
  <c r="Y243" i="95" s="1"/>
  <c r="Y5" i="95"/>
  <c r="Y9" i="95" s="1"/>
  <c r="Y233" i="95" s="1"/>
  <c r="Y235" i="95" s="1"/>
  <c r="Y35" i="95"/>
  <c r="Y28" i="95"/>
  <c r="E131" i="95"/>
  <c r="E134" i="95" s="1"/>
  <c r="E144" i="95"/>
  <c r="E116" i="95"/>
  <c r="Z131" i="95"/>
  <c r="Z134" i="95" s="1"/>
  <c r="Z243" i="95"/>
  <c r="Z239" i="95"/>
  <c r="Z36" i="95"/>
  <c r="Z26" i="95"/>
  <c r="Y31" i="95"/>
  <c r="AA131" i="95"/>
  <c r="AA134" i="95" s="1"/>
  <c r="AA144" i="95"/>
  <c r="AA141" i="95"/>
  <c r="AA145" i="95" s="1"/>
  <c r="AA149" i="95" s="1"/>
  <c r="AA135" i="95" s="1"/>
  <c r="AA116" i="95"/>
  <c r="Y246" i="95"/>
  <c r="Y247" i="95" s="1"/>
  <c r="Y38" i="95"/>
  <c r="AA36" i="95"/>
  <c r="AA26" i="95"/>
  <c r="Y27" i="95"/>
  <c r="Y33" i="95"/>
  <c r="Y25" i="95"/>
  <c r="Y29" i="95"/>
  <c r="E177" i="95"/>
  <c r="E167" i="95"/>
  <c r="E15" i="95"/>
  <c r="E32" i="95"/>
  <c r="E233" i="95"/>
  <c r="E235" i="95" s="1"/>
  <c r="AO30" i="99" s="1"/>
  <c r="E237" i="95"/>
  <c r="E239" i="95" s="1"/>
  <c r="AO31" i="99" s="1"/>
  <c r="Z233" i="95"/>
  <c r="Z235" i="95" s="1"/>
  <c r="Z15" i="95"/>
  <c r="Z32" i="95"/>
  <c r="AA15" i="95"/>
  <c r="AA32" i="95"/>
  <c r="AA237" i="95"/>
  <c r="AA239" i="95" s="1"/>
  <c r="AA30" i="95"/>
  <c r="Y238" i="95"/>
  <c r="Z141" i="95"/>
  <c r="Z145" i="95" s="1"/>
  <c r="Z149" i="95" s="1"/>
  <c r="Z135" i="95" s="1"/>
  <c r="AA247" i="95"/>
  <c r="AA233" i="95"/>
  <c r="AA235" i="95" s="1"/>
  <c r="Y34" i="95"/>
  <c r="AP38" i="99" l="1"/>
  <c r="AY6" i="99"/>
  <c r="Q253" i="95"/>
  <c r="AX31" i="99"/>
  <c r="AU30" i="99"/>
  <c r="BR42" i="97"/>
  <c r="Q17" i="95"/>
  <c r="Q37" i="95"/>
  <c r="S42" i="96"/>
  <c r="U30" i="95"/>
  <c r="AR30" i="99"/>
  <c r="AR39" i="99" s="1"/>
  <c r="AR43" i="99" s="1"/>
  <c r="AW39" i="99"/>
  <c r="AW43" i="99" s="1"/>
  <c r="T248" i="95"/>
  <c r="R254" i="95"/>
  <c r="R91" i="95"/>
  <c r="S248" i="95"/>
  <c r="S253" i="95"/>
  <c r="T253" i="95"/>
  <c r="S45" i="95"/>
  <c r="S19" i="95"/>
  <c r="S39" i="95"/>
  <c r="E21" i="98"/>
  <c r="T37" i="95"/>
  <c r="U233" i="95"/>
  <c r="U235" i="95" s="1"/>
  <c r="U32" i="95"/>
  <c r="U15" i="95"/>
  <c r="U241" i="95"/>
  <c r="U243" i="95" s="1"/>
  <c r="U36" i="95"/>
  <c r="T39" i="95"/>
  <c r="T45" i="95"/>
  <c r="T19" i="95"/>
  <c r="U132" i="95"/>
  <c r="E145" i="95"/>
  <c r="E149" i="95" s="1"/>
  <c r="E135" i="95" s="1"/>
  <c r="Y145" i="95"/>
  <c r="Y149" i="95" s="1"/>
  <c r="Y135" i="95" s="1"/>
  <c r="D45" i="95"/>
  <c r="D19" i="95"/>
  <c r="D39" i="95"/>
  <c r="BL23" i="97"/>
  <c r="BM23" i="97"/>
  <c r="BM19" i="97"/>
  <c r="BM16" i="97"/>
  <c r="BL16" i="97"/>
  <c r="V37" i="95"/>
  <c r="V17" i="95"/>
  <c r="V253" i="95"/>
  <c r="V248" i="95"/>
  <c r="W19" i="95"/>
  <c r="W37" i="95"/>
  <c r="W45" i="95"/>
  <c r="Y131" i="95"/>
  <c r="Y134" i="95" s="1"/>
  <c r="AA253" i="95"/>
  <c r="N255" i="95"/>
  <c r="AP32" i="99"/>
  <c r="X149" i="95"/>
  <c r="X135" i="95" s="1"/>
  <c r="N256" i="95"/>
  <c r="Z253" i="95"/>
  <c r="Y116" i="95"/>
  <c r="X132" i="95"/>
  <c r="X253" i="95"/>
  <c r="X17" i="95"/>
  <c r="X39" i="95" s="1"/>
  <c r="X248" i="95"/>
  <c r="Y36" i="95"/>
  <c r="Y32" i="95"/>
  <c r="Y26" i="95"/>
  <c r="E132" i="95"/>
  <c r="E253" i="95"/>
  <c r="Z132" i="95"/>
  <c r="AA132" i="95"/>
  <c r="E17" i="95"/>
  <c r="E37" i="95"/>
  <c r="E248" i="95"/>
  <c r="Z37" i="95"/>
  <c r="Z17" i="95"/>
  <c r="Y30" i="95"/>
  <c r="Y237" i="95"/>
  <c r="Y239" i="95" s="1"/>
  <c r="Y253" i="95" s="1"/>
  <c r="Y15" i="95"/>
  <c r="AA37" i="95"/>
  <c r="AA17" i="95"/>
  <c r="AY30" i="99" l="1"/>
  <c r="AU29" i="99"/>
  <c r="Q19" i="95"/>
  <c r="AU39" i="99"/>
  <c r="AU43" i="99" s="1"/>
  <c r="AX39" i="99"/>
  <c r="AX43" i="99" s="1"/>
  <c r="AY31" i="99"/>
  <c r="BL24" i="97"/>
  <c r="BN23" i="97"/>
  <c r="AR6" i="99"/>
  <c r="BN16" i="97"/>
  <c r="AV39" i="99"/>
  <c r="AV43" i="99" s="1"/>
  <c r="Q39" i="95"/>
  <c r="Q45" i="95"/>
  <c r="S71" i="95"/>
  <c r="S60" i="95"/>
  <c r="BL41" i="97"/>
  <c r="BL39" i="97" s="1"/>
  <c r="AQ6" i="99"/>
  <c r="BD10" i="99"/>
  <c r="U37" i="95"/>
  <c r="U17" i="95"/>
  <c r="T71" i="95"/>
  <c r="T60" i="95"/>
  <c r="U253" i="95"/>
  <c r="D60" i="95"/>
  <c r="D71" i="95"/>
  <c r="AP39" i="99"/>
  <c r="AP43" i="99" s="1"/>
  <c r="BM41" i="97"/>
  <c r="BM39" i="97" s="1"/>
  <c r="Y132" i="95"/>
  <c r="V45" i="95"/>
  <c r="V19" i="95"/>
  <c r="V39" i="95"/>
  <c r="W71" i="95"/>
  <c r="W60" i="95"/>
  <c r="N257" i="95"/>
  <c r="X45" i="95"/>
  <c r="X60" i="95" s="1"/>
  <c r="X19" i="95"/>
  <c r="E45" i="95"/>
  <c r="E19" i="95"/>
  <c r="E39" i="95"/>
  <c r="Y17" i="95"/>
  <c r="Y37" i="95"/>
  <c r="Z45" i="95"/>
  <c r="Z39" i="95"/>
  <c r="Z19" i="95"/>
  <c r="AA45" i="95"/>
  <c r="AA39" i="95"/>
  <c r="AA19" i="95"/>
  <c r="I295" i="95"/>
  <c r="G26" i="98"/>
  <c r="H26" i="98"/>
  <c r="J27" i="63"/>
  <c r="J17" i="63"/>
  <c r="K279" i="95"/>
  <c r="L279" i="95" s="1"/>
  <c r="M279" i="95" s="1"/>
  <c r="I283" i="95"/>
  <c r="H287" i="95"/>
  <c r="H286" i="95"/>
  <c r="H285" i="95"/>
  <c r="H284" i="95"/>
  <c r="H283" i="95"/>
  <c r="H282" i="95"/>
  <c r="L274" i="95"/>
  <c r="M274" i="95" s="1"/>
  <c r="K274" i="95"/>
  <c r="L262" i="95"/>
  <c r="M262" i="95" s="1"/>
  <c r="N262" i="95" s="1"/>
  <c r="AD268" i="95"/>
  <c r="J277" i="95"/>
  <c r="AH67" i="99"/>
  <c r="AN40" i="99"/>
  <c r="I277" i="95" s="1"/>
  <c r="AM40" i="99"/>
  <c r="AL40" i="99"/>
  <c r="AK40" i="99"/>
  <c r="AJ40" i="99"/>
  <c r="AI40" i="99"/>
  <c r="AH40" i="99"/>
  <c r="BC38" i="99"/>
  <c r="AG38" i="99"/>
  <c r="AR250" i="95"/>
  <c r="AQ250" i="95"/>
  <c r="AP250" i="95"/>
  <c r="AO250" i="95"/>
  <c r="AN250" i="95"/>
  <c r="AM250" i="95"/>
  <c r="AL250" i="95"/>
  <c r="AJ250" i="95"/>
  <c r="AI250" i="95"/>
  <c r="AH250" i="95"/>
  <c r="AF250" i="95"/>
  <c r="AE250" i="95"/>
  <c r="AD250" i="95"/>
  <c r="AR249" i="95"/>
  <c r="AQ249" i="95"/>
  <c r="AP249" i="95"/>
  <c r="AO249" i="95"/>
  <c r="AN249" i="95"/>
  <c r="AM249" i="95"/>
  <c r="AL249" i="95"/>
  <c r="AK249" i="95"/>
  <c r="AJ249" i="95"/>
  <c r="AI249" i="95"/>
  <c r="AH249" i="95"/>
  <c r="AF249" i="95"/>
  <c r="AE249" i="95"/>
  <c r="AD249" i="95"/>
  <c r="AR246" i="95"/>
  <c r="AQ246" i="95"/>
  <c r="AP246" i="95"/>
  <c r="AO246" i="95"/>
  <c r="AN246" i="95"/>
  <c r="AM246" i="95"/>
  <c r="AL246" i="95"/>
  <c r="AJ246" i="95"/>
  <c r="AI246" i="95"/>
  <c r="AH246" i="95"/>
  <c r="AF246" i="95"/>
  <c r="AE246" i="95"/>
  <c r="AD246" i="95"/>
  <c r="AR245" i="95"/>
  <c r="AQ245" i="95"/>
  <c r="AP245" i="95"/>
  <c r="AN245" i="95"/>
  <c r="AM245" i="95"/>
  <c r="AL245" i="95"/>
  <c r="AJ245" i="95"/>
  <c r="AJ247" i="95" s="1"/>
  <c r="AI245" i="95"/>
  <c r="AH245" i="95"/>
  <c r="AF245" i="95"/>
  <c r="AE245" i="95"/>
  <c r="AE247" i="95" s="1"/>
  <c r="AD245" i="95"/>
  <c r="AD247" i="95" s="1"/>
  <c r="AR242" i="95"/>
  <c r="AQ242" i="95"/>
  <c r="AP242" i="95"/>
  <c r="AO242" i="95"/>
  <c r="AN242" i="95"/>
  <c r="AM242" i="95"/>
  <c r="AL242" i="95"/>
  <c r="AK242" i="95"/>
  <c r="AJ242" i="95"/>
  <c r="AI242" i="95"/>
  <c r="AH242" i="95"/>
  <c r="AF242" i="95"/>
  <c r="AE242" i="95"/>
  <c r="AD242" i="95"/>
  <c r="AR238" i="95"/>
  <c r="AQ238" i="95"/>
  <c r="AP238" i="95"/>
  <c r="AO238" i="95"/>
  <c r="AN238" i="95"/>
  <c r="AM238" i="95"/>
  <c r="AL238" i="95"/>
  <c r="AJ238" i="95"/>
  <c r="AI238" i="95"/>
  <c r="AH238" i="95"/>
  <c r="AF238" i="95"/>
  <c r="AE238" i="95"/>
  <c r="AD238" i="95"/>
  <c r="AJ237" i="95"/>
  <c r="AH237" i="95"/>
  <c r="AR234" i="95"/>
  <c r="AQ234" i="95"/>
  <c r="AP234" i="95"/>
  <c r="AO234" i="95"/>
  <c r="AN234" i="95"/>
  <c r="AM234" i="95"/>
  <c r="AL234" i="95"/>
  <c r="AJ234" i="95"/>
  <c r="AI234" i="95"/>
  <c r="AH234" i="95"/>
  <c r="AF234" i="95"/>
  <c r="AE234" i="95"/>
  <c r="AD234" i="95"/>
  <c r="AB250" i="95"/>
  <c r="AB249" i="95"/>
  <c r="AB246" i="95"/>
  <c r="AB245" i="95"/>
  <c r="AB242" i="95"/>
  <c r="AB238" i="95"/>
  <c r="AB237" i="95"/>
  <c r="AB234" i="95"/>
  <c r="AG32" i="99"/>
  <c r="BE10" i="99" l="1"/>
  <c r="BE20" i="99" s="1"/>
  <c r="BM24" i="97"/>
  <c r="BQ24" i="97"/>
  <c r="BN41" i="97"/>
  <c r="BN39" i="97" s="1"/>
  <c r="BU17" i="97"/>
  <c r="AS6" i="99"/>
  <c r="Q71" i="95"/>
  <c r="Q60" i="95"/>
  <c r="AN247" i="95"/>
  <c r="AL251" i="95"/>
  <c r="S254" i="95"/>
  <c r="S91" i="95"/>
  <c r="T254" i="95"/>
  <c r="T91" i="95"/>
  <c r="U45" i="95"/>
  <c r="U39" i="95"/>
  <c r="U19" i="95"/>
  <c r="D91" i="95"/>
  <c r="D254" i="95"/>
  <c r="AQ251" i="95"/>
  <c r="BE44" i="99"/>
  <c r="V60" i="95"/>
  <c r="V71" i="95"/>
  <c r="W91" i="95"/>
  <c r="W254" i="95"/>
  <c r="AP247" i="95"/>
  <c r="AQ247" i="95"/>
  <c r="AE251" i="95"/>
  <c r="AJ251" i="95"/>
  <c r="AP251" i="95"/>
  <c r="AB251" i="95"/>
  <c r="AN38" i="99" s="1"/>
  <c r="AH239" i="95"/>
  <c r="AR247" i="95"/>
  <c r="AH251" i="95"/>
  <c r="AN251" i="95"/>
  <c r="J28" i="63"/>
  <c r="M275" i="95"/>
  <c r="M276" i="95" s="1"/>
  <c r="AI247" i="95"/>
  <c r="AD251" i="95"/>
  <c r="AO251" i="95"/>
  <c r="AL247" i="95"/>
  <c r="AB239" i="95"/>
  <c r="AN31" i="99" s="1"/>
  <c r="AM247" i="95"/>
  <c r="AF251" i="95"/>
  <c r="AR251" i="95"/>
  <c r="AB247" i="95"/>
  <c r="AF247" i="95"/>
  <c r="AI251" i="95"/>
  <c r="AJ239" i="95"/>
  <c r="AH247" i="95"/>
  <c r="AM251" i="95"/>
  <c r="X71" i="95"/>
  <c r="X254" i="95" s="1"/>
  <c r="E71" i="95"/>
  <c r="E60" i="95"/>
  <c r="AA71" i="95"/>
  <c r="AA60" i="95"/>
  <c r="Z71" i="95"/>
  <c r="Z60" i="95"/>
  <c r="Y45" i="95"/>
  <c r="Y39" i="95"/>
  <c r="L277" i="95"/>
  <c r="AN24" i="99"/>
  <c r="AN12" i="99"/>
  <c r="AM12" i="99"/>
  <c r="AL12" i="99"/>
  <c r="AK12" i="99"/>
  <c r="AJ12" i="99"/>
  <c r="AI12" i="99"/>
  <c r="AH12" i="99"/>
  <c r="AN22" i="99"/>
  <c r="AM22" i="99"/>
  <c r="AL22" i="99"/>
  <c r="AN20" i="99"/>
  <c r="AM20" i="99"/>
  <c r="AL20" i="99"/>
  <c r="AN18" i="99"/>
  <c r="AM18" i="99"/>
  <c r="AL18" i="99"/>
  <c r="AH18" i="99"/>
  <c r="AN16" i="99"/>
  <c r="AM16" i="99"/>
  <c r="AL16" i="99"/>
  <c r="AH16" i="99"/>
  <c r="AN27" i="99"/>
  <c r="AN11" i="99"/>
  <c r="AM11" i="99"/>
  <c r="AL11" i="99"/>
  <c r="AK11" i="99"/>
  <c r="AN10" i="99"/>
  <c r="AM10" i="99"/>
  <c r="AL10" i="99"/>
  <c r="AN9" i="99"/>
  <c r="AM9" i="99"/>
  <c r="AL9" i="99"/>
  <c r="BC31" i="97"/>
  <c r="AL7" i="99" s="1"/>
  <c r="BH31" i="97"/>
  <c r="AM7" i="99" s="1"/>
  <c r="BN24" i="97" l="1"/>
  <c r="BS24" i="97" s="1"/>
  <c r="BR24" i="97"/>
  <c r="Q254" i="95"/>
  <c r="Q91" i="95"/>
  <c r="U71" i="95"/>
  <c r="U60" i="95"/>
  <c r="AM26" i="99"/>
  <c r="AL26" i="99"/>
  <c r="V254" i="95"/>
  <c r="V91" i="95"/>
  <c r="AN35" i="99"/>
  <c r="X91" i="95"/>
  <c r="E254" i="95"/>
  <c r="E91" i="95"/>
  <c r="Z254" i="95"/>
  <c r="Z91" i="95"/>
  <c r="Y71" i="95"/>
  <c r="Y60" i="95"/>
  <c r="AA91" i="95"/>
  <c r="AA254" i="95"/>
  <c r="AN26" i="99"/>
  <c r="BD11" i="99"/>
  <c r="BE11" i="99" s="1"/>
  <c r="G234" i="95"/>
  <c r="H234" i="95"/>
  <c r="I234" i="95"/>
  <c r="J234" i="95"/>
  <c r="K234" i="95"/>
  <c r="L234" i="95"/>
  <c r="M234" i="95"/>
  <c r="H237" i="95"/>
  <c r="G238" i="95"/>
  <c r="H238" i="95"/>
  <c r="I238" i="95"/>
  <c r="J238" i="95"/>
  <c r="K238" i="95"/>
  <c r="L238" i="95"/>
  <c r="M238" i="95"/>
  <c r="G242" i="95"/>
  <c r="H242" i="95"/>
  <c r="I242" i="95"/>
  <c r="J242" i="95"/>
  <c r="K242" i="95"/>
  <c r="L242" i="95"/>
  <c r="M242" i="95"/>
  <c r="G245" i="95"/>
  <c r="H245" i="95"/>
  <c r="I245" i="95"/>
  <c r="J245" i="95"/>
  <c r="K245" i="95"/>
  <c r="L245" i="95"/>
  <c r="M245" i="95"/>
  <c r="G246" i="95"/>
  <c r="H246" i="95"/>
  <c r="I246" i="95"/>
  <c r="J246" i="95"/>
  <c r="K246" i="95"/>
  <c r="L246" i="95"/>
  <c r="M246" i="95"/>
  <c r="G249" i="95"/>
  <c r="H249" i="95"/>
  <c r="I249" i="95"/>
  <c r="J249" i="95"/>
  <c r="K249" i="95"/>
  <c r="L249" i="95"/>
  <c r="M249" i="95"/>
  <c r="G250" i="95"/>
  <c r="H250" i="95"/>
  <c r="I250" i="95"/>
  <c r="J250" i="95"/>
  <c r="K250" i="95"/>
  <c r="L250" i="95"/>
  <c r="M250" i="95"/>
  <c r="F238" i="95"/>
  <c r="F242" i="95"/>
  <c r="BE22" i="99" l="1"/>
  <c r="U254" i="95"/>
  <c r="U91" i="95"/>
  <c r="BD9" i="99"/>
  <c r="BD22" i="99"/>
  <c r="H239" i="95"/>
  <c r="AK31" i="99" s="1"/>
  <c r="K251" i="95"/>
  <c r="AH38" i="99" s="1"/>
  <c r="J247" i="95"/>
  <c r="AI35" i="99" s="1"/>
  <c r="G251" i="95"/>
  <c r="AL38" i="99" s="1"/>
  <c r="H251" i="95"/>
  <c r="AK38" i="99" s="1"/>
  <c r="I247" i="95"/>
  <c r="AJ35" i="99" s="1"/>
  <c r="L251" i="95"/>
  <c r="L247" i="95"/>
  <c r="M247" i="95"/>
  <c r="I251" i="95"/>
  <c r="AJ38" i="99" s="1"/>
  <c r="M251" i="95"/>
  <c r="K247" i="95"/>
  <c r="Y254" i="95"/>
  <c r="Y91" i="95"/>
  <c r="G247" i="95"/>
  <c r="J251" i="95"/>
  <c r="AI38" i="99" s="1"/>
  <c r="H247" i="95"/>
  <c r="M277" i="95"/>
  <c r="M278" i="95" s="1"/>
  <c r="M280" i="95" s="1"/>
  <c r="D21" i="98"/>
  <c r="H13" i="95"/>
  <c r="H241" i="95" s="1"/>
  <c r="H243" i="95" s="1"/>
  <c r="AK32" i="99" s="1"/>
  <c r="BD18" i="99" l="1"/>
  <c r="BE9" i="99"/>
  <c r="BD20" i="99"/>
  <c r="AL35" i="99"/>
  <c r="AH35" i="99"/>
  <c r="AK35" i="99"/>
  <c r="AN41" i="99"/>
  <c r="AN33" i="99"/>
  <c r="AM41" i="99"/>
  <c r="AM33" i="99"/>
  <c r="AM23" i="99"/>
  <c r="AL41" i="99"/>
  <c r="AL33" i="99"/>
  <c r="AL23" i="99"/>
  <c r="AL21" i="99"/>
  <c r="M58" i="95"/>
  <c r="L58" i="95"/>
  <c r="K58" i="95"/>
  <c r="J89" i="95"/>
  <c r="K263" i="95"/>
  <c r="BE18" i="99" l="1"/>
  <c r="BE13" i="99"/>
  <c r="BE41" i="99" s="1"/>
  <c r="AN23" i="99"/>
  <c r="AN19" i="99"/>
  <c r="AN21" i="99"/>
  <c r="AL19" i="99"/>
  <c r="AM21" i="99"/>
  <c r="AM19" i="99"/>
  <c r="J58" i="95"/>
  <c r="I58" i="95"/>
  <c r="H58" i="95"/>
  <c r="N264" i="95"/>
  <c r="I32" i="63"/>
  <c r="N32" i="63" s="1"/>
  <c r="O32" i="63" s="1"/>
  <c r="P32" i="63" s="1"/>
  <c r="Q32" i="63" s="1"/>
  <c r="R32" i="63" s="1"/>
  <c r="R27" i="63"/>
  <c r="Q27" i="63"/>
  <c r="P27" i="63"/>
  <c r="O27" i="63"/>
  <c r="N27" i="63"/>
  <c r="M27" i="63"/>
  <c r="L27" i="63"/>
  <c r="K27" i="63"/>
  <c r="I27" i="63"/>
  <c r="H27" i="63"/>
  <c r="G27" i="63"/>
  <c r="F27" i="63"/>
  <c r="E27" i="63"/>
  <c r="D27" i="63"/>
  <c r="C27" i="63"/>
  <c r="B27" i="63"/>
  <c r="R6" i="63"/>
  <c r="R17" i="63" s="1"/>
  <c r="Q6" i="63"/>
  <c r="Q17" i="63" s="1"/>
  <c r="P6" i="63"/>
  <c r="P17" i="63" s="1"/>
  <c r="F28" i="98"/>
  <c r="N26" i="98"/>
  <c r="R26" i="98"/>
  <c r="Q26" i="98"/>
  <c r="P26" i="98"/>
  <c r="O26" i="98"/>
  <c r="AC26" i="98"/>
  <c r="S26" i="98"/>
  <c r="H10" i="98"/>
  <c r="F9" i="98"/>
  <c r="AI37" i="97"/>
  <c r="AN37" i="97"/>
  <c r="BG37" i="97"/>
  <c r="BG31" i="97" s="1"/>
  <c r="BF31" i="97"/>
  <c r="BF32" i="97" s="1"/>
  <c r="BE31" i="97"/>
  <c r="BE32" i="97" s="1"/>
  <c r="BD31" i="97"/>
  <c r="BD32" i="97" s="1"/>
  <c r="BB37" i="97"/>
  <c r="BI40" i="97"/>
  <c r="BI33" i="97"/>
  <c r="AN8" i="99" s="1"/>
  <c r="AN13" i="99" s="1"/>
  <c r="AN42" i="99" s="1"/>
  <c r="BI141" i="97"/>
  <c r="BL154" i="97" s="1"/>
  <c r="BI140" i="97"/>
  <c r="BL151" i="97" s="1"/>
  <c r="BI98" i="97"/>
  <c r="BI97" i="97"/>
  <c r="BI31" i="97"/>
  <c r="BH40" i="97"/>
  <c r="BH33" i="97"/>
  <c r="BF40" i="97"/>
  <c r="BF34" i="97"/>
  <c r="BF33" i="97"/>
  <c r="BF36" i="97" s="1"/>
  <c r="BE34" i="97"/>
  <c r="BE33" i="97"/>
  <c r="BE40" i="97"/>
  <c r="BD40" i="97"/>
  <c r="BD33" i="97"/>
  <c r="BD22" i="97" s="1"/>
  <c r="BD21" i="97" s="1"/>
  <c r="BD23" i="97" s="1"/>
  <c r="BH157" i="97"/>
  <c r="BH156" i="97"/>
  <c r="BE154" i="97"/>
  <c r="BH153" i="97"/>
  <c r="BE151" i="97"/>
  <c r="BH146" i="97"/>
  <c r="BH145" i="97"/>
  <c r="BF141" i="97"/>
  <c r="BH154" i="97" s="1"/>
  <c r="BE141" i="97"/>
  <c r="BD141" i="97"/>
  <c r="BF154" i="97" s="1"/>
  <c r="BF140" i="97"/>
  <c r="BH151" i="97" s="1"/>
  <c r="BE140" i="97"/>
  <c r="BD140" i="97"/>
  <c r="BF151" i="97" s="1"/>
  <c r="BH98" i="97"/>
  <c r="BD98" i="97"/>
  <c r="BH97" i="97"/>
  <c r="BJ152" i="97" s="1"/>
  <c r="BD97" i="97"/>
  <c r="BH32" i="97"/>
  <c r="BG20" i="97"/>
  <c r="BG18" i="97"/>
  <c r="BH14" i="97"/>
  <c r="BH13" i="97"/>
  <c r="BH10" i="97"/>
  <c r="BH9" i="97"/>
  <c r="BH7" i="97"/>
  <c r="AZ33" i="97"/>
  <c r="BA40" i="97"/>
  <c r="BC40" i="97"/>
  <c r="BA31" i="97"/>
  <c r="BA32" i="97" s="1"/>
  <c r="BB18" i="97"/>
  <c r="BB20" i="97"/>
  <c r="BC34" i="97"/>
  <c r="BC33" i="97"/>
  <c r="AL8" i="99" s="1"/>
  <c r="AL17" i="99" s="1"/>
  <c r="BC157" i="97"/>
  <c r="BC156" i="97"/>
  <c r="BC153" i="97"/>
  <c r="BC146" i="97"/>
  <c r="BC145" i="97"/>
  <c r="BC98" i="97"/>
  <c r="BE98" i="97" s="1"/>
  <c r="BF98" i="97" s="1"/>
  <c r="BC97" i="97"/>
  <c r="BE97" i="97" s="1"/>
  <c r="BF97" i="97" s="1"/>
  <c r="BH152" i="97" s="1"/>
  <c r="BC14" i="97"/>
  <c r="BC13" i="97"/>
  <c r="BC10" i="97"/>
  <c r="BC9" i="97"/>
  <c r="BC7" i="97"/>
  <c r="BA33" i="97"/>
  <c r="BA36" i="97" s="1"/>
  <c r="BA141" i="97"/>
  <c r="BC154" i="97" s="1"/>
  <c r="BA140" i="97"/>
  <c r="BC151" i="97" s="1"/>
  <c r="BC36" i="97" l="1"/>
  <c r="BC38" i="97" s="1"/>
  <c r="BC22" i="97"/>
  <c r="BC21" i="97" s="1"/>
  <c r="BC23" i="97" s="1"/>
  <c r="BH15" i="97"/>
  <c r="Q11" i="98"/>
  <c r="BI22" i="97"/>
  <c r="BI21" i="97" s="1"/>
  <c r="BI23" i="97" s="1"/>
  <c r="BD154" i="97"/>
  <c r="N30" i="98"/>
  <c r="BJ97" i="97"/>
  <c r="BL97" i="97" s="1"/>
  <c r="BO152" i="97" s="1"/>
  <c r="BK97" i="97"/>
  <c r="BM97" i="97" s="1"/>
  <c r="BQ97" i="97" s="1"/>
  <c r="BT152" i="97" s="1"/>
  <c r="BJ98" i="97"/>
  <c r="BL98" i="97" s="1"/>
  <c r="BK98" i="97"/>
  <c r="BM98" i="97" s="1"/>
  <c r="BQ98" i="97" s="1"/>
  <c r="BE22" i="97"/>
  <c r="BE21" i="97" s="1"/>
  <c r="BE23" i="97" s="1"/>
  <c r="BE36" i="97"/>
  <c r="BE38" i="97" s="1"/>
  <c r="BH158" i="97"/>
  <c r="AL13" i="99"/>
  <c r="AL42" i="99" s="1"/>
  <c r="BI32" i="97"/>
  <c r="AN7" i="99"/>
  <c r="AC30" i="98"/>
  <c r="AN17" i="99"/>
  <c r="BC158" i="97"/>
  <c r="G30" i="98"/>
  <c r="H30" i="98"/>
  <c r="BH36" i="97"/>
  <c r="BH38" i="97" s="1"/>
  <c r="AM8" i="99"/>
  <c r="BD151" i="97"/>
  <c r="BH11" i="97"/>
  <c r="BI151" i="97"/>
  <c r="BF22" i="97"/>
  <c r="BF21" i="97" s="1"/>
  <c r="BF23" i="97" s="1"/>
  <c r="BI154" i="97"/>
  <c r="P30" i="98"/>
  <c r="AN28" i="99"/>
  <c r="P29" i="63"/>
  <c r="P30" i="63" s="1"/>
  <c r="R29" i="63"/>
  <c r="R30" i="63" s="1"/>
  <c r="R28" i="63"/>
  <c r="R18" i="63"/>
  <c r="Q29" i="63"/>
  <c r="Q30" i="63" s="1"/>
  <c r="Q28" i="63"/>
  <c r="Q18" i="63"/>
  <c r="P18" i="63"/>
  <c r="P28" i="63"/>
  <c r="P28" i="98"/>
  <c r="H21" i="98"/>
  <c r="G28" i="98"/>
  <c r="R30" i="98"/>
  <c r="Q28" i="98"/>
  <c r="Q30" i="98"/>
  <c r="G21" i="98"/>
  <c r="P11" i="98"/>
  <c r="N21" i="98"/>
  <c r="R11" i="98"/>
  <c r="N11" i="98"/>
  <c r="P21" i="98"/>
  <c r="G9" i="98"/>
  <c r="Q21" i="98"/>
  <c r="R21" i="98"/>
  <c r="AC11" i="98"/>
  <c r="AC21" i="98"/>
  <c r="P19" i="98"/>
  <c r="Q19" i="98"/>
  <c r="G11" i="98"/>
  <c r="H11" i="98"/>
  <c r="P9" i="98"/>
  <c r="Q9" i="98"/>
  <c r="BH22" i="97"/>
  <c r="BH21" i="97" s="1"/>
  <c r="BI36" i="97"/>
  <c r="BI38" i="97" s="1"/>
  <c r="BF42" i="97"/>
  <c r="BG33" i="97"/>
  <c r="BF38" i="97"/>
  <c r="BD36" i="97"/>
  <c r="BC42" i="97"/>
  <c r="BA34" i="97"/>
  <c r="BA22" i="97" s="1"/>
  <c r="BA21" i="97" s="1"/>
  <c r="BA16" i="97" s="1"/>
  <c r="BA41" i="97" s="1"/>
  <c r="BA39" i="97" s="1"/>
  <c r="BA38" i="97"/>
  <c r="BA42" i="97"/>
  <c r="AE60" i="96"/>
  <c r="AE59" i="96"/>
  <c r="AE58" i="96"/>
  <c r="AE57" i="96"/>
  <c r="AE56" i="96"/>
  <c r="AE55" i="96"/>
  <c r="AB156" i="95"/>
  <c r="AB148" i="95"/>
  <c r="AB147" i="95"/>
  <c r="AB146" i="95"/>
  <c r="AB143" i="95"/>
  <c r="AB142" i="95"/>
  <c r="AB140" i="95"/>
  <c r="AB139" i="95"/>
  <c r="AB128" i="95"/>
  <c r="AB122" i="95"/>
  <c r="AB115" i="95"/>
  <c r="AB108" i="95"/>
  <c r="AB101" i="95"/>
  <c r="AB87" i="95"/>
  <c r="AB80" i="95"/>
  <c r="AB69" i="95"/>
  <c r="AB257" i="95" s="1"/>
  <c r="AB58" i="95"/>
  <c r="AB43" i="95"/>
  <c r="AB38" i="95"/>
  <c r="AB35" i="95"/>
  <c r="AB34" i="95"/>
  <c r="AB33" i="95"/>
  <c r="AB31" i="95"/>
  <c r="AB29" i="95"/>
  <c r="AB28" i="95"/>
  <c r="AB27" i="95"/>
  <c r="AB25" i="95"/>
  <c r="AB13" i="95"/>
  <c r="AB5" i="95"/>
  <c r="AB9" i="95" s="1"/>
  <c r="W48" i="96"/>
  <c r="W47" i="96"/>
  <c r="W46" i="96"/>
  <c r="W45" i="96"/>
  <c r="W44" i="96"/>
  <c r="W39" i="96"/>
  <c r="W41" i="96" s="1"/>
  <c r="W12" i="96"/>
  <c r="BO98" i="97" l="1"/>
  <c r="BR98" i="97" s="1"/>
  <c r="BP98" i="97"/>
  <c r="BS98" i="97" s="1"/>
  <c r="BV98" i="97" s="1"/>
  <c r="BO97" i="97"/>
  <c r="BR97" i="97" s="1"/>
  <c r="BP97" i="97"/>
  <c r="BS97" i="97" s="1"/>
  <c r="BV97" i="97" s="1"/>
  <c r="BC16" i="97"/>
  <c r="BC19" i="97"/>
  <c r="BI19" i="97"/>
  <c r="BI16" i="97"/>
  <c r="BH19" i="97"/>
  <c r="BH23" i="97"/>
  <c r="BF19" i="97"/>
  <c r="BF16" i="97"/>
  <c r="BL17" i="97" s="1"/>
  <c r="AE61" i="96"/>
  <c r="AD61" i="96" s="1"/>
  <c r="W17" i="96"/>
  <c r="V30" i="96"/>
  <c r="BH42" i="97"/>
  <c r="BE42" i="97"/>
  <c r="BA19" i="97"/>
  <c r="AB36" i="95"/>
  <c r="AB241" i="95"/>
  <c r="AB243" i="95" s="1"/>
  <c r="W13" i="96"/>
  <c r="W42" i="96"/>
  <c r="AB233" i="95"/>
  <c r="AB235" i="95" s="1"/>
  <c r="AM13" i="99"/>
  <c r="AM42" i="99" s="1"/>
  <c r="AM17" i="99"/>
  <c r="N31" i="63"/>
  <c r="P34" i="63"/>
  <c r="R34" i="63"/>
  <c r="Q34" i="63"/>
  <c r="AB144" i="95"/>
  <c r="BC32" i="97"/>
  <c r="BB31" i="97"/>
  <c r="BH16" i="97"/>
  <c r="BI42" i="97"/>
  <c r="BE16" i="97"/>
  <c r="BK17" i="97" s="1"/>
  <c r="BE19" i="97"/>
  <c r="BD38" i="97"/>
  <c r="BG36" i="97"/>
  <c r="BD42" i="97"/>
  <c r="BG34" i="97"/>
  <c r="BA23" i="97"/>
  <c r="W49" i="96"/>
  <c r="W18" i="96"/>
  <c r="W19" i="96"/>
  <c r="AB131" i="95"/>
  <c r="AB134" i="95" s="1"/>
  <c r="AB141" i="95"/>
  <c r="AB116" i="95"/>
  <c r="AB26" i="95"/>
  <c r="AB15" i="95"/>
  <c r="AB32" i="95"/>
  <c r="AB30" i="95"/>
  <c r="W20" i="96"/>
  <c r="W16" i="96"/>
  <c r="F234" i="95"/>
  <c r="AJ60" i="96"/>
  <c r="AJ59" i="96"/>
  <c r="AJ58" i="96"/>
  <c r="AJ57" i="96"/>
  <c r="AJ56" i="96"/>
  <c r="AJ55" i="96"/>
  <c r="AH61" i="96"/>
  <c r="AC61" i="96" s="1"/>
  <c r="AH59" i="96"/>
  <c r="AC59" i="96" s="1"/>
  <c r="X40" i="96"/>
  <c r="X38" i="96"/>
  <c r="X37" i="96"/>
  <c r="X36" i="96"/>
  <c r="X35" i="96"/>
  <c r="X34" i="96"/>
  <c r="X33" i="96"/>
  <c r="BG40" i="97" s="1"/>
  <c r="AB40" i="96"/>
  <c r="AB38" i="96"/>
  <c r="AB37" i="96"/>
  <c r="AB36" i="96"/>
  <c r="AB35" i="96"/>
  <c r="AB34" i="96"/>
  <c r="AB33" i="96"/>
  <c r="BB40" i="97" s="1"/>
  <c r="X11" i="96"/>
  <c r="X10" i="96"/>
  <c r="X9" i="96"/>
  <c r="X8" i="96"/>
  <c r="X7" i="96"/>
  <c r="X25" i="96" s="1"/>
  <c r="X6" i="96"/>
  <c r="W24" i="96" s="1"/>
  <c r="AB11" i="96"/>
  <c r="AA29" i="96" s="1"/>
  <c r="AB10" i="96"/>
  <c r="AB48" i="96" s="1"/>
  <c r="AB9" i="96"/>
  <c r="AB8" i="96"/>
  <c r="AB7" i="96"/>
  <c r="AA25" i="96" s="1"/>
  <c r="AB6" i="96"/>
  <c r="AA24" i="96" s="1"/>
  <c r="AA48" i="96"/>
  <c r="Z48" i="96"/>
  <c r="Y48" i="96"/>
  <c r="AA47" i="96"/>
  <c r="Z47" i="96"/>
  <c r="Y47" i="96"/>
  <c r="AA46" i="96"/>
  <c r="Z46" i="96"/>
  <c r="Y46" i="96"/>
  <c r="AA45" i="96"/>
  <c r="Z45" i="96"/>
  <c r="Y45" i="96"/>
  <c r="AA44" i="96"/>
  <c r="Z44" i="96"/>
  <c r="Y44" i="96"/>
  <c r="AA39" i="96"/>
  <c r="Z39" i="96"/>
  <c r="Y39" i="96"/>
  <c r="Y41" i="96" s="1"/>
  <c r="Z29" i="96"/>
  <c r="Y29" i="96"/>
  <c r="Z28" i="96"/>
  <c r="Y28" i="96"/>
  <c r="Z27" i="96"/>
  <c r="Y27" i="96"/>
  <c r="Z26" i="96"/>
  <c r="Y26" i="96"/>
  <c r="Z25" i="96"/>
  <c r="Y25" i="96"/>
  <c r="Z24" i="96"/>
  <c r="Y24" i="96"/>
  <c r="AA12" i="96"/>
  <c r="AA20" i="96" s="1"/>
  <c r="Z12" i="96"/>
  <c r="Z19" i="96" s="1"/>
  <c r="Y12" i="96"/>
  <c r="Y20" i="96" s="1"/>
  <c r="F69" i="96"/>
  <c r="AM27" i="99" s="1"/>
  <c r="AM28" i="99" s="1"/>
  <c r="F58" i="96"/>
  <c r="F60" i="96" s="1"/>
  <c r="F48" i="96"/>
  <c r="F47" i="96"/>
  <c r="F46" i="96"/>
  <c r="F45" i="96"/>
  <c r="F44" i="96"/>
  <c r="F39" i="96"/>
  <c r="F29" i="96"/>
  <c r="F28" i="96"/>
  <c r="F27" i="96"/>
  <c r="F26" i="96"/>
  <c r="F25" i="96"/>
  <c r="F24" i="96"/>
  <c r="F12" i="96"/>
  <c r="AB29" i="96"/>
  <c r="G69" i="96"/>
  <c r="AL27" i="99" s="1"/>
  <c r="AL28" i="99" s="1"/>
  <c r="G58" i="96"/>
  <c r="G60" i="96" s="1"/>
  <c r="G48" i="96"/>
  <c r="G47" i="96"/>
  <c r="G46" i="96"/>
  <c r="G45" i="96"/>
  <c r="G44" i="96"/>
  <c r="G39" i="96"/>
  <c r="G41" i="96" s="1"/>
  <c r="G29" i="96"/>
  <c r="G28" i="96"/>
  <c r="G27" i="96"/>
  <c r="G26" i="96"/>
  <c r="G25" i="96"/>
  <c r="G24" i="96"/>
  <c r="G12" i="96"/>
  <c r="G17" i="96" s="1"/>
  <c r="BT97" i="97" l="1"/>
  <c r="BU97" i="97"/>
  <c r="BT98" i="97"/>
  <c r="BU98" i="97"/>
  <c r="I20" i="100"/>
  <c r="G5" i="101"/>
  <c r="I21" i="100"/>
  <c r="G6" i="101"/>
  <c r="BI17" i="97"/>
  <c r="AN6" i="99"/>
  <c r="AL6" i="99"/>
  <c r="BC41" i="97"/>
  <c r="BC39" i="97" s="1"/>
  <c r="BP17" i="97"/>
  <c r="BI41" i="97"/>
  <c r="BI39" i="97" s="1"/>
  <c r="BF41" i="97"/>
  <c r="BF39" i="97" s="1"/>
  <c r="BF17" i="97"/>
  <c r="AD56" i="96"/>
  <c r="AD60" i="96"/>
  <c r="AB45" i="96"/>
  <c r="AD55" i="96"/>
  <c r="AD58" i="96"/>
  <c r="AD57" i="96"/>
  <c r="BE41" i="97"/>
  <c r="BE39" i="97" s="1"/>
  <c r="BJ17" i="97"/>
  <c r="F18" i="96"/>
  <c r="E30" i="96"/>
  <c r="AA26" i="96"/>
  <c r="AA28" i="96"/>
  <c r="AB26" i="96"/>
  <c r="F13" i="96"/>
  <c r="O11" i="98"/>
  <c r="W25" i="96"/>
  <c r="BH41" i="97"/>
  <c r="BH39" i="97" s="1"/>
  <c r="AM6" i="99"/>
  <c r="Z18" i="96"/>
  <c r="X27" i="96"/>
  <c r="O30" i="98"/>
  <c r="W27" i="96"/>
  <c r="AB253" i="95"/>
  <c r="AN30" i="99"/>
  <c r="AB248" i="95"/>
  <c r="G13" i="96"/>
  <c r="X28" i="96"/>
  <c r="W28" i="96"/>
  <c r="O21" i="98"/>
  <c r="W26" i="96"/>
  <c r="X29" i="96"/>
  <c r="W29" i="96"/>
  <c r="AB25" i="96"/>
  <c r="S11" i="98"/>
  <c r="AA13" i="96"/>
  <c r="R19" i="98"/>
  <c r="S19" i="98"/>
  <c r="AB145" i="95"/>
  <c r="AA27" i="96"/>
  <c r="S30" i="98"/>
  <c r="S21" i="98"/>
  <c r="F70" i="96"/>
  <c r="AN32" i="99"/>
  <c r="J274" i="95"/>
  <c r="X26" i="96"/>
  <c r="Z49" i="96"/>
  <c r="G70" i="96"/>
  <c r="O31" i="63"/>
  <c r="P31" i="63" s="1"/>
  <c r="BH17" i="97"/>
  <c r="BG42" i="97"/>
  <c r="BG38" i="97"/>
  <c r="BG22" i="97"/>
  <c r="AB132" i="95"/>
  <c r="AB153" i="95"/>
  <c r="AB37" i="95"/>
  <c r="AB17" i="95"/>
  <c r="AJ61" i="96"/>
  <c r="AB46" i="96"/>
  <c r="Z41" i="96"/>
  <c r="X12" i="96"/>
  <c r="W30" i="96" s="1"/>
  <c r="F19" i="96"/>
  <c r="F49" i="96"/>
  <c r="F16" i="96"/>
  <c r="F17" i="96"/>
  <c r="Y18" i="96"/>
  <c r="Y30" i="96"/>
  <c r="Y49" i="96"/>
  <c r="Y13" i="96"/>
  <c r="Z13" i="96"/>
  <c r="AB47" i="96"/>
  <c r="AB24" i="96"/>
  <c r="AB44" i="96"/>
  <c r="F30" i="96"/>
  <c r="X48" i="96"/>
  <c r="X47" i="96"/>
  <c r="X46" i="96"/>
  <c r="X45" i="96"/>
  <c r="Z30" i="96"/>
  <c r="AA16" i="96"/>
  <c r="AA49" i="96"/>
  <c r="AA18" i="96"/>
  <c r="AA19" i="96"/>
  <c r="X44" i="96"/>
  <c r="Z17" i="96"/>
  <c r="Z20" i="96"/>
  <c r="X39" i="96"/>
  <c r="Y16" i="96"/>
  <c r="AA17" i="96"/>
  <c r="Y19" i="96"/>
  <c r="AA41" i="96"/>
  <c r="Z16" i="96"/>
  <c r="X24" i="96"/>
  <c r="Y17" i="96"/>
  <c r="F41" i="96"/>
  <c r="F20" i="96"/>
  <c r="AB39" i="96"/>
  <c r="AB27" i="96"/>
  <c r="AB28" i="96"/>
  <c r="AB12" i="96"/>
  <c r="G20" i="96"/>
  <c r="G18" i="96"/>
  <c r="G49" i="96"/>
  <c r="G19" i="96"/>
  <c r="G16" i="96"/>
  <c r="AC264" i="95"/>
  <c r="AC265" i="95" s="1"/>
  <c r="N265" i="95"/>
  <c r="M264" i="95"/>
  <c r="M265" i="95" s="1"/>
  <c r="L264" i="95"/>
  <c r="L265" i="95" s="1"/>
  <c r="K264" i="95"/>
  <c r="K265" i="95" s="1"/>
  <c r="AE166" i="95"/>
  <c r="K258" i="95"/>
  <c r="K259" i="95"/>
  <c r="F246" i="95"/>
  <c r="F250" i="95"/>
  <c r="F249" i="95"/>
  <c r="X20" i="96" l="1"/>
  <c r="X19" i="96"/>
  <c r="X30" i="96"/>
  <c r="AI61" i="96"/>
  <c r="AI55" i="96"/>
  <c r="N9" i="98"/>
  <c r="O9" i="98"/>
  <c r="AB149" i="95"/>
  <c r="AB135" i="95" s="1"/>
  <c r="S9" i="98"/>
  <c r="R9" i="98"/>
  <c r="AN39" i="99"/>
  <c r="AN43" i="99" s="1"/>
  <c r="AN45" i="99" s="1"/>
  <c r="AN29" i="99"/>
  <c r="H265" i="95"/>
  <c r="Z265" i="95" s="1"/>
  <c r="Z267" i="95" s="1"/>
  <c r="Z269" i="95" s="1"/>
  <c r="AN34" i="99"/>
  <c r="AN36" i="99" s="1"/>
  <c r="AI58" i="96"/>
  <c r="AI57" i="96"/>
  <c r="O28" i="98"/>
  <c r="N28" i="98"/>
  <c r="AI56" i="96"/>
  <c r="X16" i="96"/>
  <c r="S28" i="98"/>
  <c r="R28" i="98"/>
  <c r="N19" i="98"/>
  <c r="O19" i="98"/>
  <c r="AI60" i="96"/>
  <c r="Q31" i="63"/>
  <c r="P33" i="63"/>
  <c r="K260" i="95"/>
  <c r="BD19" i="97"/>
  <c r="BD16" i="97"/>
  <c r="BG21" i="97"/>
  <c r="AB152" i="95"/>
  <c r="AB45" i="95"/>
  <c r="AB19" i="95"/>
  <c r="Y19" i="95" s="1"/>
  <c r="AB39" i="95"/>
  <c r="X17" i="96"/>
  <c r="X18" i="96"/>
  <c r="AB18" i="96"/>
  <c r="AB20" i="96"/>
  <c r="AA30" i="96"/>
  <c r="X41" i="96"/>
  <c r="X49" i="96"/>
  <c r="AB41" i="96"/>
  <c r="AB49" i="96"/>
  <c r="AB17" i="96"/>
  <c r="AB16" i="96"/>
  <c r="AB19" i="96"/>
  <c r="F251" i="95"/>
  <c r="AM38" i="99" s="1"/>
  <c r="AD265" i="95" l="1"/>
  <c r="AD267" i="95" s="1"/>
  <c r="AD269" i="95" s="1"/>
  <c r="AY13" i="99"/>
  <c r="AY41" i="99" s="1"/>
  <c r="L275" i="95"/>
  <c r="L276" i="95" s="1"/>
  <c r="L278" i="95" s="1"/>
  <c r="L280" i="95" s="1"/>
  <c r="K275" i="95"/>
  <c r="K276" i="95" s="1"/>
  <c r="K278" i="95" s="1"/>
  <c r="K280" i="95" s="1"/>
  <c r="J275" i="95"/>
  <c r="R31" i="63"/>
  <c r="R33" i="63" s="1"/>
  <c r="Q33" i="63"/>
  <c r="AB71" i="95"/>
  <c r="AB254" i="95" s="1"/>
  <c r="AB60" i="95"/>
  <c r="BG19" i="97"/>
  <c r="BG23" i="97"/>
  <c r="BD41" i="97"/>
  <c r="BD39" i="97" s="1"/>
  <c r="BG16" i="97"/>
  <c r="BM17" i="97" s="1"/>
  <c r="AC130" i="95"/>
  <c r="AC129" i="95"/>
  <c r="AC127" i="95"/>
  <c r="AC126" i="95"/>
  <c r="AC125" i="95"/>
  <c r="AC124" i="95"/>
  <c r="AC143" i="95" s="1"/>
  <c r="AC123" i="95"/>
  <c r="AC142" i="95" s="1"/>
  <c r="AC121" i="95"/>
  <c r="AC140" i="95" s="1"/>
  <c r="AC120" i="95"/>
  <c r="AC119" i="95"/>
  <c r="AC118" i="95"/>
  <c r="AC117" i="95"/>
  <c r="AC114" i="95"/>
  <c r="AC113" i="95"/>
  <c r="AC112" i="95"/>
  <c r="AC111" i="95"/>
  <c r="AC110" i="95"/>
  <c r="AC109" i="95"/>
  <c r="AC107" i="95"/>
  <c r="AC106" i="95"/>
  <c r="AC105" i="95"/>
  <c r="AC104" i="95"/>
  <c r="AC103" i="95"/>
  <c r="AC147" i="95" s="1"/>
  <c r="AC102" i="95"/>
  <c r="AC146" i="95" s="1"/>
  <c r="AC92" i="95"/>
  <c r="AC85" i="95"/>
  <c r="AC84" i="95"/>
  <c r="AC83" i="95"/>
  <c r="AC82" i="95"/>
  <c r="AC79" i="95"/>
  <c r="AC78" i="95"/>
  <c r="AC77" i="95"/>
  <c r="AC76" i="95"/>
  <c r="AC75" i="95"/>
  <c r="AC74" i="95"/>
  <c r="AC73" i="95"/>
  <c r="AC68" i="95"/>
  <c r="AC67" i="95"/>
  <c r="AC66" i="95"/>
  <c r="AC65" i="95"/>
  <c r="AC64" i="95"/>
  <c r="AC63" i="95"/>
  <c r="AC57" i="95"/>
  <c r="AC56" i="95"/>
  <c r="AC242" i="95" s="1"/>
  <c r="AC55" i="95"/>
  <c r="AC54" i="95"/>
  <c r="AC53" i="95"/>
  <c r="AC52" i="95"/>
  <c r="AC51" i="95"/>
  <c r="AC50" i="95"/>
  <c r="AC49" i="95"/>
  <c r="AC250" i="95" s="1"/>
  <c r="AC48" i="95"/>
  <c r="AC47" i="95"/>
  <c r="AC234" i="95" s="1"/>
  <c r="AC46" i="95"/>
  <c r="AC20" i="95"/>
  <c r="AC16" i="95"/>
  <c r="AC245" i="95" s="1"/>
  <c r="AC14" i="95"/>
  <c r="AC249" i="95" s="1"/>
  <c r="AC12" i="95"/>
  <c r="AC11" i="95"/>
  <c r="AC8" i="95"/>
  <c r="AC7" i="95"/>
  <c r="AC6" i="95"/>
  <c r="AC4" i="95"/>
  <c r="AC3" i="95"/>
  <c r="AC156" i="95"/>
  <c r="AC101" i="95"/>
  <c r="AC43" i="95"/>
  <c r="F86" i="95"/>
  <c r="AC86" i="95" s="1"/>
  <c r="F10" i="95"/>
  <c r="F245" i="95"/>
  <c r="F228" i="95"/>
  <c r="F210" i="95"/>
  <c r="F211" i="95" s="1"/>
  <c r="F201" i="95"/>
  <c r="F203" i="95" s="1"/>
  <c r="F204" i="95" s="1"/>
  <c r="F193" i="95"/>
  <c r="F192" i="95"/>
  <c r="F191" i="95"/>
  <c r="F190" i="95"/>
  <c r="F189" i="95"/>
  <c r="F188" i="95"/>
  <c r="F185" i="95"/>
  <c r="F194" i="95" s="1"/>
  <c r="F176" i="95"/>
  <c r="F174" i="95"/>
  <c r="F173" i="95"/>
  <c r="F172" i="95"/>
  <c r="F171" i="95"/>
  <c r="F170" i="95"/>
  <c r="F164" i="95"/>
  <c r="F175" i="95" s="1"/>
  <c r="F156" i="95"/>
  <c r="F148" i="95"/>
  <c r="F147" i="95"/>
  <c r="F146" i="95"/>
  <c r="F143" i="95"/>
  <c r="F142" i="95"/>
  <c r="F140" i="95"/>
  <c r="F139" i="95"/>
  <c r="F128" i="95"/>
  <c r="F122" i="95"/>
  <c r="F115" i="95"/>
  <c r="F108" i="95"/>
  <c r="F101" i="95"/>
  <c r="F80" i="95"/>
  <c r="F69" i="95"/>
  <c r="F257" i="95" s="1"/>
  <c r="F58" i="95"/>
  <c r="F43" i="95"/>
  <c r="F38" i="95"/>
  <c r="F35" i="95"/>
  <c r="F34" i="95"/>
  <c r="F33" i="95"/>
  <c r="F31" i="95"/>
  <c r="F29" i="95"/>
  <c r="F28" i="95"/>
  <c r="F27" i="95"/>
  <c r="F25" i="95"/>
  <c r="F22" i="95"/>
  <c r="F13" i="95"/>
  <c r="F36" i="95" s="1"/>
  <c r="F30" i="95"/>
  <c r="F5" i="95"/>
  <c r="F9" i="95" s="1"/>
  <c r="AD107" i="95"/>
  <c r="AD108" i="95" s="1"/>
  <c r="AD10" i="95"/>
  <c r="AD237" i="95" s="1"/>
  <c r="AD239" i="95" s="1"/>
  <c r="AD156" i="95"/>
  <c r="AD148" i="95"/>
  <c r="AD147" i="95"/>
  <c r="AD146" i="95"/>
  <c r="AD143" i="95"/>
  <c r="AD142" i="95"/>
  <c r="AD140" i="95"/>
  <c r="AD139" i="95"/>
  <c r="AD128" i="95"/>
  <c r="AD122" i="95"/>
  <c r="AD115" i="95"/>
  <c r="AD101" i="95"/>
  <c r="AD87" i="95"/>
  <c r="AD80" i="95"/>
  <c r="AD69" i="95"/>
  <c r="AD257" i="95" s="1"/>
  <c r="AD58" i="95"/>
  <c r="AD43" i="95"/>
  <c r="AD38" i="95"/>
  <c r="AD35" i="95"/>
  <c r="AD34" i="95"/>
  <c r="AD33" i="95"/>
  <c r="AD31" i="95"/>
  <c r="AD29" i="95"/>
  <c r="AD28" i="95"/>
  <c r="AD27" i="95"/>
  <c r="AD25" i="95"/>
  <c r="AD22" i="95"/>
  <c r="AD13" i="95"/>
  <c r="AD241" i="95" s="1"/>
  <c r="AD243" i="95" s="1"/>
  <c r="AD5" i="95"/>
  <c r="AD26" i="95" s="1"/>
  <c r="F87" i="95" l="1"/>
  <c r="J276" i="95"/>
  <c r="J278" i="95" s="1"/>
  <c r="J280" i="95" s="1"/>
  <c r="I275" i="95"/>
  <c r="I276" i="95" s="1"/>
  <c r="I278" i="95" s="1"/>
  <c r="I280" i="95" s="1"/>
  <c r="AC251" i="95"/>
  <c r="AB91" i="95"/>
  <c r="AC238" i="95"/>
  <c r="AC246" i="95"/>
  <c r="AC247" i="95" s="1"/>
  <c r="AC22" i="95"/>
  <c r="AB22" i="95"/>
  <c r="X13" i="96"/>
  <c r="AD30" i="95"/>
  <c r="BG41" i="97"/>
  <c r="BG39" i="97" s="1"/>
  <c r="F233" i="95"/>
  <c r="F235" i="95" s="1"/>
  <c r="F42" i="96"/>
  <c r="AC27" i="95"/>
  <c r="AC144" i="95"/>
  <c r="F247" i="95"/>
  <c r="AM35" i="99" s="1"/>
  <c r="AC122" i="95"/>
  <c r="F141" i="95"/>
  <c r="AC13" i="95"/>
  <c r="AC241" i="95" s="1"/>
  <c r="AC243" i="95" s="1"/>
  <c r="AC33" i="95"/>
  <c r="AC28" i="95"/>
  <c r="AC29" i="95"/>
  <c r="AC38" i="95"/>
  <c r="AD36" i="95"/>
  <c r="AD141" i="95"/>
  <c r="AC115" i="95"/>
  <c r="F166" i="95"/>
  <c r="F167" i="95" s="1"/>
  <c r="AC69" i="95"/>
  <c r="AC58" i="95"/>
  <c r="AC80" i="95"/>
  <c r="AC87" i="95"/>
  <c r="AC31" i="95"/>
  <c r="AC35" i="95"/>
  <c r="AC25" i="95"/>
  <c r="AC34" i="95"/>
  <c r="AC5" i="95"/>
  <c r="AC26" i="95" s="1"/>
  <c r="AC139" i="95"/>
  <c r="AC108" i="95"/>
  <c r="AC116" i="95" s="1"/>
  <c r="AC128" i="95"/>
  <c r="AC148" i="95"/>
  <c r="F152" i="95"/>
  <c r="F131" i="95"/>
  <c r="F134" i="95" s="1"/>
  <c r="F116" i="95"/>
  <c r="F26" i="95"/>
  <c r="F15" i="95"/>
  <c r="F32" i="95"/>
  <c r="F237" i="95"/>
  <c r="F239" i="95" s="1"/>
  <c r="AM31" i="99" s="1"/>
  <c r="F144" i="95"/>
  <c r="F186" i="95"/>
  <c r="F241" i="95"/>
  <c r="F243" i="95" s="1"/>
  <c r="AM32" i="99" s="1"/>
  <c r="AM34" i="99" s="1"/>
  <c r="AD131" i="95"/>
  <c r="AD134" i="95" s="1"/>
  <c r="AD116" i="95"/>
  <c r="AD9" i="95"/>
  <c r="AD233" i="95" s="1"/>
  <c r="AD235" i="95" s="1"/>
  <c r="AD253" i="95" s="1"/>
  <c r="AD144" i="95"/>
  <c r="AE107" i="95"/>
  <c r="AE108" i="95" s="1"/>
  <c r="AE58" i="95"/>
  <c r="AE10" i="95"/>
  <c r="AE237" i="95" s="1"/>
  <c r="AE239" i="95" s="1"/>
  <c r="AG130" i="95"/>
  <c r="AG129" i="95"/>
  <c r="AG127" i="95"/>
  <c r="AG126" i="95"/>
  <c r="AG125" i="95"/>
  <c r="AG124" i="95"/>
  <c r="AG143" i="95" s="1"/>
  <c r="AG123" i="95"/>
  <c r="AG142" i="95" s="1"/>
  <c r="AG121" i="95"/>
  <c r="AG140" i="95" s="1"/>
  <c r="AG120" i="95"/>
  <c r="AG119" i="95"/>
  <c r="AG118" i="95"/>
  <c r="AG117" i="95"/>
  <c r="AG114" i="95"/>
  <c r="AG113" i="95"/>
  <c r="AG112" i="95"/>
  <c r="AG111" i="95"/>
  <c r="AG110" i="95"/>
  <c r="AG109" i="95"/>
  <c r="AG148" i="95" s="1"/>
  <c r="AG107" i="95"/>
  <c r="AG106" i="95"/>
  <c r="AG105" i="95"/>
  <c r="AG104" i="95"/>
  <c r="AG103" i="95"/>
  <c r="AG147" i="95" s="1"/>
  <c r="AG102" i="95"/>
  <c r="AG146" i="95" s="1"/>
  <c r="AG92" i="95"/>
  <c r="AG85" i="95"/>
  <c r="AG84" i="95"/>
  <c r="AG83" i="95"/>
  <c r="AG79" i="95"/>
  <c r="AG78" i="95"/>
  <c r="AG77" i="95"/>
  <c r="AG76" i="95"/>
  <c r="AG75" i="95"/>
  <c r="AG74" i="95"/>
  <c r="AG68" i="95"/>
  <c r="AG67" i="95"/>
  <c r="AG66" i="95"/>
  <c r="AG65" i="95"/>
  <c r="AG64" i="95"/>
  <c r="AG63" i="95"/>
  <c r="AG57" i="95"/>
  <c r="AG56" i="95"/>
  <c r="AG242" i="95" s="1"/>
  <c r="AG55" i="95"/>
  <c r="AG54" i="95"/>
  <c r="AG53" i="95"/>
  <c r="AG52" i="95"/>
  <c r="AG51" i="95"/>
  <c r="AG50" i="95"/>
  <c r="AG49" i="95"/>
  <c r="AG250" i="95" s="1"/>
  <c r="AG48" i="95"/>
  <c r="AG47" i="95"/>
  <c r="AG234" i="95" s="1"/>
  <c r="AG46" i="95"/>
  <c r="AG20" i="95"/>
  <c r="AG16" i="95"/>
  <c r="AG245" i="95" s="1"/>
  <c r="AG14" i="95"/>
  <c r="AG249" i="95" s="1"/>
  <c r="AG12" i="95"/>
  <c r="AG11" i="95"/>
  <c r="AG8" i="95"/>
  <c r="AG7" i="95"/>
  <c r="AG6" i="95"/>
  <c r="AG4" i="95"/>
  <c r="AG3" i="95"/>
  <c r="G86" i="95"/>
  <c r="G87" i="95" s="1"/>
  <c r="G58" i="95"/>
  <c r="G10" i="95"/>
  <c r="G237" i="95" s="1"/>
  <c r="G239" i="95" s="1"/>
  <c r="AL31" i="99" s="1"/>
  <c r="AF58" i="95"/>
  <c r="AF10" i="95"/>
  <c r="AF237" i="95" s="1"/>
  <c r="AF239" i="95" s="1"/>
  <c r="AF156" i="95"/>
  <c r="AE156" i="95"/>
  <c r="AF148" i="95"/>
  <c r="AE148" i="95"/>
  <c r="AF147" i="95"/>
  <c r="AE147" i="95"/>
  <c r="AF146" i="95"/>
  <c r="AE146" i="95"/>
  <c r="AF143" i="95"/>
  <c r="AE143" i="95"/>
  <c r="AF142" i="95"/>
  <c r="AE142" i="95"/>
  <c r="AF140" i="95"/>
  <c r="AE140" i="95"/>
  <c r="AF139" i="95"/>
  <c r="AE139" i="95"/>
  <c r="AF128" i="95"/>
  <c r="AE128" i="95"/>
  <c r="AF122" i="95"/>
  <c r="AE122" i="95"/>
  <c r="AF115" i="95"/>
  <c r="AE115" i="95"/>
  <c r="AF108" i="95"/>
  <c r="AF101" i="95"/>
  <c r="AE101" i="95"/>
  <c r="AF87" i="95"/>
  <c r="AE87" i="95"/>
  <c r="AF80" i="95"/>
  <c r="AE80" i="95"/>
  <c r="AF69" i="95"/>
  <c r="AF257" i="95" s="1"/>
  <c r="AE69" i="95"/>
  <c r="AE257" i="95" s="1"/>
  <c r="AF43" i="95"/>
  <c r="AE43" i="95"/>
  <c r="AF38" i="95"/>
  <c r="AE38" i="95"/>
  <c r="AF35" i="95"/>
  <c r="AE35" i="95"/>
  <c r="AF34" i="95"/>
  <c r="AE34" i="95"/>
  <c r="AF33" i="95"/>
  <c r="AE33" i="95"/>
  <c r="AF31" i="95"/>
  <c r="AE31" i="95"/>
  <c r="AF29" i="95"/>
  <c r="AE29" i="95"/>
  <c r="AF28" i="95"/>
  <c r="AE28" i="95"/>
  <c r="AF27" i="95"/>
  <c r="AE27" i="95"/>
  <c r="AF25" i="95"/>
  <c r="AE25" i="95"/>
  <c r="AE22" i="95"/>
  <c r="AF13" i="95"/>
  <c r="AF241" i="95" s="1"/>
  <c r="AF243" i="95" s="1"/>
  <c r="AE13" i="95"/>
  <c r="AE241" i="95" s="1"/>
  <c r="AE243" i="95" s="1"/>
  <c r="AF5" i="95"/>
  <c r="AF9" i="95" s="1"/>
  <c r="AF233" i="95" s="1"/>
  <c r="AF235" i="95" s="1"/>
  <c r="AE5" i="95"/>
  <c r="AE9" i="95" s="1"/>
  <c r="AE233" i="95" s="1"/>
  <c r="AE235" i="95" s="1"/>
  <c r="G228" i="95"/>
  <c r="G210" i="95"/>
  <c r="G211" i="95" s="1"/>
  <c r="G201" i="95"/>
  <c r="G203" i="95" s="1"/>
  <c r="G204" i="95" s="1"/>
  <c r="G193" i="95"/>
  <c r="G192" i="95"/>
  <c r="G191" i="95"/>
  <c r="G190" i="95"/>
  <c r="G189" i="95"/>
  <c r="G188" i="95"/>
  <c r="G185" i="95"/>
  <c r="G194" i="95" s="1"/>
  <c r="G176" i="95"/>
  <c r="G174" i="95"/>
  <c r="G173" i="95"/>
  <c r="G172" i="95"/>
  <c r="G171" i="95"/>
  <c r="G170" i="95"/>
  <c r="G164" i="95"/>
  <c r="G166" i="95" s="1"/>
  <c r="G156" i="95"/>
  <c r="G148" i="95"/>
  <c r="G147" i="95"/>
  <c r="G146" i="95"/>
  <c r="G143" i="95"/>
  <c r="G142" i="95"/>
  <c r="G140" i="95"/>
  <c r="G139" i="95"/>
  <c r="G128" i="95"/>
  <c r="G122" i="95"/>
  <c r="G115" i="95"/>
  <c r="G108" i="95"/>
  <c r="G101" i="95"/>
  <c r="G80" i="95"/>
  <c r="G69" i="95"/>
  <c r="G257" i="95" s="1"/>
  <c r="G43" i="95"/>
  <c r="G38" i="95"/>
  <c r="G35" i="95"/>
  <c r="G34" i="95"/>
  <c r="G33" i="95"/>
  <c r="G31" i="95"/>
  <c r="G29" i="95"/>
  <c r="G28" i="95"/>
  <c r="G27" i="95"/>
  <c r="G25" i="95"/>
  <c r="G22" i="95"/>
  <c r="G13" i="95"/>
  <c r="G241" i="95" s="1"/>
  <c r="G243" i="95" s="1"/>
  <c r="AL32" i="99" s="1"/>
  <c r="AL34" i="99" s="1"/>
  <c r="AL36" i="99" s="1"/>
  <c r="G5" i="95"/>
  <c r="G26" i="95" s="1"/>
  <c r="AG156" i="95"/>
  <c r="AG101" i="95"/>
  <c r="AG43" i="95"/>
  <c r="I284" i="95" l="1"/>
  <c r="I287" i="95" s="1"/>
  <c r="AF253" i="95"/>
  <c r="AM36" i="99"/>
  <c r="AE253" i="95"/>
  <c r="AG251" i="95"/>
  <c r="AG246" i="95"/>
  <c r="AG247" i="95" s="1"/>
  <c r="AM30" i="99"/>
  <c r="F248" i="95"/>
  <c r="AG238" i="95"/>
  <c r="Z42" i="96"/>
  <c r="AA42" i="96"/>
  <c r="AF22" i="95"/>
  <c r="AB13" i="96"/>
  <c r="AE36" i="95"/>
  <c r="AF36" i="95"/>
  <c r="AE30" i="95"/>
  <c r="Y42" i="96"/>
  <c r="AC131" i="95"/>
  <c r="AC134" i="95" s="1"/>
  <c r="AC36" i="95"/>
  <c r="AF30" i="95"/>
  <c r="F253" i="95"/>
  <c r="F145" i="95"/>
  <c r="AF153" i="95"/>
  <c r="AG128" i="95"/>
  <c r="AG122" i="95"/>
  <c r="AG28" i="95"/>
  <c r="AD145" i="95"/>
  <c r="AD149" i="95" s="1"/>
  <c r="AD135" i="95" s="1"/>
  <c r="G30" i="95"/>
  <c r="G131" i="95"/>
  <c r="G134" i="95" s="1"/>
  <c r="G186" i="95"/>
  <c r="AF144" i="95"/>
  <c r="F177" i="95"/>
  <c r="AC10" i="95"/>
  <c r="AC237" i="95" s="1"/>
  <c r="AC239" i="95" s="1"/>
  <c r="AG58" i="95"/>
  <c r="AG69" i="95"/>
  <c r="AG35" i="95"/>
  <c r="AC9" i="95"/>
  <c r="AC233" i="95" s="1"/>
  <c r="AC235" i="95" s="1"/>
  <c r="AC141" i="95"/>
  <c r="AC145" i="95" s="1"/>
  <c r="G9" i="95"/>
  <c r="G233" i="95" s="1"/>
  <c r="G235" i="95" s="1"/>
  <c r="F132" i="95"/>
  <c r="F153" i="95"/>
  <c r="F37" i="95"/>
  <c r="F17" i="95"/>
  <c r="AD132" i="95"/>
  <c r="AD153" i="95"/>
  <c r="AD152" i="95"/>
  <c r="AD15" i="95"/>
  <c r="AD17" i="95" s="1"/>
  <c r="AD32" i="95"/>
  <c r="AE152" i="95"/>
  <c r="AE144" i="95"/>
  <c r="AE131" i="95"/>
  <c r="AE134" i="95" s="1"/>
  <c r="AE116" i="95"/>
  <c r="AE26" i="95"/>
  <c r="G153" i="95"/>
  <c r="G144" i="95"/>
  <c r="G141" i="95"/>
  <c r="AG108" i="95"/>
  <c r="AG31" i="95"/>
  <c r="AG29" i="95"/>
  <c r="AG38" i="95"/>
  <c r="AG25" i="95"/>
  <c r="AG27" i="95"/>
  <c r="AG34" i="95"/>
  <c r="G116" i="95"/>
  <c r="AG144" i="95"/>
  <c r="AF131" i="95"/>
  <c r="AF134" i="95" s="1"/>
  <c r="AF116" i="95"/>
  <c r="AE15" i="95"/>
  <c r="AE32" i="95"/>
  <c r="AF15" i="95"/>
  <c r="AF32" i="95"/>
  <c r="AE141" i="95"/>
  <c r="AF26" i="95"/>
  <c r="AF141" i="95"/>
  <c r="G177" i="95"/>
  <c r="G167" i="95"/>
  <c r="G175" i="95"/>
  <c r="G36" i="95"/>
  <c r="AG5" i="95"/>
  <c r="AG9" i="95" s="1"/>
  <c r="AG233" i="95" s="1"/>
  <c r="AG235" i="95" s="1"/>
  <c r="AG13" i="95"/>
  <c r="AG241" i="95" s="1"/>
  <c r="AG243" i="95" s="1"/>
  <c r="AG139" i="95"/>
  <c r="AG22" i="95"/>
  <c r="AG33" i="95"/>
  <c r="AG115" i="95"/>
  <c r="AG131" i="95" l="1"/>
  <c r="AG134" i="95" s="1"/>
  <c r="AC253" i="95"/>
  <c r="G253" i="95"/>
  <c r="AL30" i="99"/>
  <c r="G248" i="95"/>
  <c r="AM39" i="99"/>
  <c r="G16" i="101" s="1"/>
  <c r="AM29" i="99"/>
  <c r="AC132" i="95"/>
  <c r="AC32" i="95"/>
  <c r="X42" i="96"/>
  <c r="AC30" i="95"/>
  <c r="AG36" i="95"/>
  <c r="AE145" i="95"/>
  <c r="AE149" i="95" s="1"/>
  <c r="AE135" i="95" s="1"/>
  <c r="G42" i="96"/>
  <c r="AE132" i="95"/>
  <c r="F149" i="95"/>
  <c r="F135" i="95" s="1"/>
  <c r="AF145" i="95"/>
  <c r="G145" i="95"/>
  <c r="G149" i="95" s="1"/>
  <c r="G135" i="95" s="1"/>
  <c r="G132" i="95"/>
  <c r="AC15" i="95"/>
  <c r="AC17" i="95" s="1"/>
  <c r="AC149" i="95"/>
  <c r="AC135" i="95" s="1"/>
  <c r="AC153" i="95"/>
  <c r="G32" i="95"/>
  <c r="G15" i="95"/>
  <c r="G17" i="95" s="1"/>
  <c r="G19" i="95" s="1"/>
  <c r="F45" i="95"/>
  <c r="F60" i="95" s="1"/>
  <c r="F19" i="95"/>
  <c r="F39" i="95"/>
  <c r="AD37" i="95"/>
  <c r="AD45" i="95"/>
  <c r="AD19" i="95"/>
  <c r="AD39" i="95"/>
  <c r="AE153" i="95"/>
  <c r="AG116" i="95"/>
  <c r="G152" i="95"/>
  <c r="AF132" i="95"/>
  <c r="AF152" i="95"/>
  <c r="AF37" i="95"/>
  <c r="AF17" i="95"/>
  <c r="AE17" i="95"/>
  <c r="AE37" i="95"/>
  <c r="AG26" i="95"/>
  <c r="AG141" i="95"/>
  <c r="AG145" i="95" s="1"/>
  <c r="AH82" i="95"/>
  <c r="AG82" i="95" s="1"/>
  <c r="AC48" i="96"/>
  <c r="AC47" i="96"/>
  <c r="AC46" i="96"/>
  <c r="AC45" i="96"/>
  <c r="AC44" i="96"/>
  <c r="AC39" i="96"/>
  <c r="AC41" i="96" s="1"/>
  <c r="AC29" i="96"/>
  <c r="AC28" i="96"/>
  <c r="AC27" i="96"/>
  <c r="AC26" i="96"/>
  <c r="AC25" i="96"/>
  <c r="AC24" i="96"/>
  <c r="AC12" i="96"/>
  <c r="AH156" i="95"/>
  <c r="AH148" i="95"/>
  <c r="AH147" i="95"/>
  <c r="AH146" i="95"/>
  <c r="AH143" i="95"/>
  <c r="AH142" i="95"/>
  <c r="AH140" i="95"/>
  <c r="AH139" i="95"/>
  <c r="AH128" i="95"/>
  <c r="AH122" i="95"/>
  <c r="AH115" i="95"/>
  <c r="AH108" i="95"/>
  <c r="AH101" i="95"/>
  <c r="AH80" i="95"/>
  <c r="AH69" i="95"/>
  <c r="AH58" i="95"/>
  <c r="AH43" i="95"/>
  <c r="AH38" i="95"/>
  <c r="AH35" i="95"/>
  <c r="AH34" i="95"/>
  <c r="AH33" i="95"/>
  <c r="AH31" i="95"/>
  <c r="AH29" i="95"/>
  <c r="AH28" i="95"/>
  <c r="AH27" i="95"/>
  <c r="AH25" i="95"/>
  <c r="AH22" i="95"/>
  <c r="AH13" i="95"/>
  <c r="AH241" i="95" s="1"/>
  <c r="AH243" i="95" s="1"/>
  <c r="AH30" i="95"/>
  <c r="AH5" i="95"/>
  <c r="AH26" i="95" s="1"/>
  <c r="AG132" i="95" l="1"/>
  <c r="AM43" i="99"/>
  <c r="J21" i="100"/>
  <c r="AC20" i="96"/>
  <c r="AC13" i="96"/>
  <c r="AB30" i="96"/>
  <c r="AL39" i="99"/>
  <c r="G15" i="101" s="1"/>
  <c r="AL29" i="99"/>
  <c r="AD71" i="95"/>
  <c r="AD254" i="95" s="1"/>
  <c r="AD60" i="95"/>
  <c r="AH36" i="95"/>
  <c r="F71" i="95"/>
  <c r="F254" i="95" s="1"/>
  <c r="AH144" i="95"/>
  <c r="AF149" i="95"/>
  <c r="AF135" i="95" s="1"/>
  <c r="AH87" i="95"/>
  <c r="AH141" i="95"/>
  <c r="G37" i="95"/>
  <c r="AC37" i="95"/>
  <c r="AC39" i="95"/>
  <c r="AC45" i="95"/>
  <c r="AC152" i="95"/>
  <c r="AE45" i="95"/>
  <c r="AE39" i="95"/>
  <c r="AE19" i="95"/>
  <c r="AF45" i="95"/>
  <c r="AF39" i="95"/>
  <c r="AF19" i="95"/>
  <c r="G45" i="95"/>
  <c r="G39" i="95"/>
  <c r="AG149" i="95"/>
  <c r="AG135" i="95" s="1"/>
  <c r="AG32" i="95"/>
  <c r="AG153" i="95"/>
  <c r="AC49" i="96"/>
  <c r="AC17" i="96"/>
  <c r="AH131" i="95"/>
  <c r="AH134" i="95" s="1"/>
  <c r="AH116" i="95"/>
  <c r="AC18" i="96"/>
  <c r="AC19" i="96"/>
  <c r="AC16" i="96"/>
  <c r="AH9" i="95"/>
  <c r="AH233" i="95" s="1"/>
  <c r="AH235" i="95" s="1"/>
  <c r="AH253" i="95" s="1"/>
  <c r="AL43" i="99" l="1"/>
  <c r="J20" i="100"/>
  <c r="AD91" i="95"/>
  <c r="F91" i="95"/>
  <c r="AF71" i="95"/>
  <c r="AF254" i="95" s="1"/>
  <c r="AF60" i="95"/>
  <c r="AC71" i="95"/>
  <c r="AC254" i="95" s="1"/>
  <c r="AC60" i="95"/>
  <c r="AC42" i="96"/>
  <c r="AE71" i="95"/>
  <c r="AE254" i="95" s="1"/>
  <c r="AE60" i="95"/>
  <c r="G71" i="95"/>
  <c r="G60" i="95"/>
  <c r="AC19" i="95"/>
  <c r="AG152" i="95"/>
  <c r="AH132" i="95"/>
  <c r="AH145" i="95"/>
  <c r="AH152" i="95"/>
  <c r="AH15" i="95"/>
  <c r="AH32" i="95"/>
  <c r="AE91" i="95" l="1"/>
  <c r="AC91" i="95"/>
  <c r="AF91" i="95"/>
  <c r="G91" i="95"/>
  <c r="G254" i="95"/>
  <c r="AH149" i="95"/>
  <c r="AH135" i="95" s="1"/>
  <c r="AH37" i="95"/>
  <c r="AH17" i="95"/>
  <c r="AH153" i="95"/>
  <c r="AH39" i="95" l="1"/>
  <c r="AH19" i="95"/>
  <c r="AH45" i="95"/>
  <c r="I13" i="95"/>
  <c r="I241" i="95" s="1"/>
  <c r="I243" i="95" s="1"/>
  <c r="J13" i="95"/>
  <c r="J241" i="95" s="1"/>
  <c r="J243" i="95" s="1"/>
  <c r="K13" i="95"/>
  <c r="K241" i="95" s="1"/>
  <c r="K243" i="95" s="1"/>
  <c r="L13" i="95"/>
  <c r="L241" i="95" s="1"/>
  <c r="L243" i="95" s="1"/>
  <c r="M13" i="95"/>
  <c r="M241" i="95" s="1"/>
  <c r="M243" i="95" s="1"/>
  <c r="I5" i="95"/>
  <c r="I9" i="95" s="1"/>
  <c r="I233" i="95" s="1"/>
  <c r="I235" i="95" s="1"/>
  <c r="J5" i="95"/>
  <c r="J9" i="95" s="1"/>
  <c r="J233" i="95" s="1"/>
  <c r="J235" i="95" s="1"/>
  <c r="K5" i="95"/>
  <c r="K9" i="95" s="1"/>
  <c r="K233" i="95" s="1"/>
  <c r="K235" i="95" s="1"/>
  <c r="L5" i="95"/>
  <c r="L9" i="95" s="1"/>
  <c r="L233" i="95" s="1"/>
  <c r="L235" i="95" s="1"/>
  <c r="M5" i="95"/>
  <c r="M9" i="95" s="1"/>
  <c r="M233" i="95" s="1"/>
  <c r="M235" i="95" s="1"/>
  <c r="M10" i="95"/>
  <c r="M237" i="95" s="1"/>
  <c r="M239" i="95" s="1"/>
  <c r="M253" i="95" l="1"/>
  <c r="AI30" i="99"/>
  <c r="AJ30" i="99"/>
  <c r="AH30" i="99"/>
  <c r="AI32" i="99"/>
  <c r="AJ32" i="99"/>
  <c r="M248" i="95"/>
  <c r="AH32" i="99"/>
  <c r="AH71" i="95"/>
  <c r="AH254" i="95" s="1"/>
  <c r="AH60" i="95"/>
  <c r="M15" i="95"/>
  <c r="M17" i="95" s="1"/>
  <c r="AH91" i="95" l="1"/>
  <c r="AO33" i="99" l="1"/>
  <c r="AT33" i="99" s="1"/>
  <c r="AO36" i="99"/>
  <c r="AT36" i="99" s="1"/>
  <c r="AK41" i="99"/>
  <c r="AJ41" i="99"/>
  <c r="AI41" i="99"/>
  <c r="AH41" i="99"/>
  <c r="AK33" i="99"/>
  <c r="AJ33" i="99"/>
  <c r="AI33" i="99"/>
  <c r="AH33" i="99"/>
  <c r="X8" i="98"/>
  <c r="W8" i="98"/>
  <c r="V8" i="98"/>
  <c r="AC9" i="98"/>
  <c r="K39" i="96"/>
  <c r="K41" i="96" s="1"/>
  <c r="AI40" i="97"/>
  <c r="I20" i="99"/>
  <c r="J20" i="99"/>
  <c r="K20" i="99"/>
  <c r="L20" i="99"/>
  <c r="N20" i="99"/>
  <c r="O20" i="99"/>
  <c r="P20" i="99"/>
  <c r="S20" i="99"/>
  <c r="T20" i="99"/>
  <c r="U20" i="99"/>
  <c r="X20" i="99"/>
  <c r="Y20" i="99"/>
  <c r="Z20" i="99"/>
  <c r="AD20" i="99"/>
  <c r="AE20" i="99"/>
  <c r="AH20" i="99"/>
  <c r="AI20" i="99"/>
  <c r="AJ20" i="99"/>
  <c r="AK20" i="99"/>
  <c r="AO38" i="96"/>
  <c r="AO37" i="96"/>
  <c r="AO36" i="96"/>
  <c r="AO35" i="96"/>
  <c r="AO34" i="96"/>
  <c r="AO33" i="96"/>
  <c r="AK22" i="99"/>
  <c r="AJ22" i="99"/>
  <c r="AI22" i="99"/>
  <c r="AH22" i="99"/>
  <c r="AK18" i="99"/>
  <c r="AJ18" i="99"/>
  <c r="AI18" i="99"/>
  <c r="I22" i="99"/>
  <c r="J22" i="99"/>
  <c r="K22" i="99"/>
  <c r="L22" i="99"/>
  <c r="N22" i="99"/>
  <c r="O22" i="99"/>
  <c r="P22" i="99"/>
  <c r="S22" i="99"/>
  <c r="T22" i="99"/>
  <c r="U22" i="99"/>
  <c r="X22" i="99"/>
  <c r="Y22" i="99"/>
  <c r="Z22" i="99"/>
  <c r="AB22" i="99"/>
  <c r="AD22" i="99"/>
  <c r="AE22" i="99"/>
  <c r="AG22" i="99"/>
  <c r="AK16" i="99"/>
  <c r="AJ16" i="99"/>
  <c r="AI16" i="99"/>
  <c r="AJ11" i="99"/>
  <c r="AI11" i="99"/>
  <c r="AH11" i="99"/>
  <c r="AH10" i="99"/>
  <c r="AI10" i="99"/>
  <c r="AJ10" i="99"/>
  <c r="AK10" i="99"/>
  <c r="AK9" i="99"/>
  <c r="AJ9" i="99"/>
  <c r="AI9" i="99"/>
  <c r="AH9" i="99"/>
  <c r="AK7" i="99"/>
  <c r="AI7" i="99"/>
  <c r="AH7" i="99"/>
  <c r="L135" i="99"/>
  <c r="I108" i="99"/>
  <c r="P132" i="99"/>
  <c r="H42" i="99"/>
  <c r="G42" i="99"/>
  <c r="F42" i="99"/>
  <c r="E42" i="99"/>
  <c r="D42" i="99"/>
  <c r="C42" i="99"/>
  <c r="AG37" i="99"/>
  <c r="AE37" i="99"/>
  <c r="AD37" i="99"/>
  <c r="AC37" i="99"/>
  <c r="AB37" i="99"/>
  <c r="Z37" i="99"/>
  <c r="Y37" i="99"/>
  <c r="X37" i="99"/>
  <c r="W37" i="99"/>
  <c r="U37" i="99"/>
  <c r="T37" i="99"/>
  <c r="S37" i="99"/>
  <c r="P37" i="99"/>
  <c r="O37" i="99"/>
  <c r="N37" i="99"/>
  <c r="M37" i="99"/>
  <c r="L37" i="99"/>
  <c r="K37" i="99"/>
  <c r="J37" i="99"/>
  <c r="I37" i="99"/>
  <c r="H37" i="99"/>
  <c r="G37" i="99"/>
  <c r="F37" i="99"/>
  <c r="E37" i="99"/>
  <c r="D37" i="99"/>
  <c r="C37" i="99"/>
  <c r="H36" i="99"/>
  <c r="H39" i="99" s="1"/>
  <c r="G36" i="99"/>
  <c r="F36" i="99"/>
  <c r="E36" i="99"/>
  <c r="D36" i="99"/>
  <c r="C36" i="99"/>
  <c r="C39" i="99" s="1"/>
  <c r="AG35" i="99"/>
  <c r="AE35" i="99"/>
  <c r="AD35" i="99"/>
  <c r="AC35" i="99"/>
  <c r="AB35" i="99"/>
  <c r="Z35" i="99"/>
  <c r="Y35" i="99"/>
  <c r="X35" i="99"/>
  <c r="W35" i="99"/>
  <c r="U35" i="99"/>
  <c r="T35" i="99"/>
  <c r="S35" i="99"/>
  <c r="R35" i="99"/>
  <c r="P35" i="99"/>
  <c r="N35" i="99"/>
  <c r="M35" i="99"/>
  <c r="L35" i="99"/>
  <c r="K35" i="99"/>
  <c r="J35" i="99"/>
  <c r="I35" i="99"/>
  <c r="AG33" i="99"/>
  <c r="AE33" i="99"/>
  <c r="AD33" i="99"/>
  <c r="AC33" i="99"/>
  <c r="AB33" i="99"/>
  <c r="Z33" i="99"/>
  <c r="Y33" i="99"/>
  <c r="X33" i="99"/>
  <c r="W33" i="99"/>
  <c r="U33" i="99"/>
  <c r="T33" i="99"/>
  <c r="S33" i="99"/>
  <c r="R33" i="99"/>
  <c r="P33" i="99"/>
  <c r="O33" i="99"/>
  <c r="N33" i="99"/>
  <c r="M33" i="99"/>
  <c r="L33" i="99"/>
  <c r="K33" i="99"/>
  <c r="J33" i="99"/>
  <c r="I33" i="99"/>
  <c r="P32" i="99"/>
  <c r="O32" i="99"/>
  <c r="N32" i="99"/>
  <c r="AG24" i="99"/>
  <c r="AE24" i="99"/>
  <c r="AD24" i="99"/>
  <c r="AB24" i="99"/>
  <c r="Z24" i="99"/>
  <c r="Y24" i="99"/>
  <c r="X24" i="99"/>
  <c r="U24" i="99"/>
  <c r="T24" i="99"/>
  <c r="S24" i="99"/>
  <c r="R24" i="99"/>
  <c r="P24" i="99"/>
  <c r="O24" i="99"/>
  <c r="N24" i="99"/>
  <c r="L24" i="99"/>
  <c r="K24" i="99"/>
  <c r="J24" i="99"/>
  <c r="I24" i="99"/>
  <c r="U18" i="99"/>
  <c r="T18" i="99"/>
  <c r="S18" i="99"/>
  <c r="P18" i="99"/>
  <c r="O18" i="99"/>
  <c r="N18" i="99"/>
  <c r="L18" i="99"/>
  <c r="K18" i="99"/>
  <c r="J18" i="99"/>
  <c r="I18" i="99"/>
  <c r="G13" i="99"/>
  <c r="F13" i="99"/>
  <c r="E13" i="99"/>
  <c r="D13" i="99"/>
  <c r="C13" i="99"/>
  <c r="B13" i="99"/>
  <c r="AG12" i="99"/>
  <c r="AE12" i="99"/>
  <c r="AD12" i="99"/>
  <c r="AC12" i="99"/>
  <c r="AB12" i="99"/>
  <c r="Z12" i="99"/>
  <c r="Y12" i="99"/>
  <c r="X12" i="99"/>
  <c r="W12" i="99"/>
  <c r="U12" i="99"/>
  <c r="T12" i="99"/>
  <c r="S12" i="99"/>
  <c r="P12" i="99"/>
  <c r="O12" i="99"/>
  <c r="N12" i="99"/>
  <c r="L12" i="99"/>
  <c r="K12" i="99"/>
  <c r="J12" i="99"/>
  <c r="I12" i="99"/>
  <c r="AG11" i="99"/>
  <c r="AE11" i="99"/>
  <c r="AD11" i="99"/>
  <c r="AC11" i="99"/>
  <c r="AB11" i="99"/>
  <c r="Z11" i="99"/>
  <c r="Y11" i="99"/>
  <c r="X11" i="99"/>
  <c r="W11" i="99"/>
  <c r="W22" i="99" s="1"/>
  <c r="U11" i="99"/>
  <c r="T11" i="99"/>
  <c r="S11" i="99"/>
  <c r="P11" i="99"/>
  <c r="O11" i="99"/>
  <c r="N11" i="99"/>
  <c r="L11" i="99"/>
  <c r="K11" i="99"/>
  <c r="J11" i="99"/>
  <c r="I11" i="99"/>
  <c r="AG10" i="99"/>
  <c r="AE10" i="99"/>
  <c r="AD10" i="99"/>
  <c r="AC10" i="99"/>
  <c r="AB10" i="99"/>
  <c r="Z10" i="99"/>
  <c r="Y10" i="99"/>
  <c r="X10" i="99"/>
  <c r="W10" i="99"/>
  <c r="U10" i="99"/>
  <c r="T10" i="99"/>
  <c r="S10" i="99"/>
  <c r="P10" i="99"/>
  <c r="O10" i="99"/>
  <c r="N10" i="99"/>
  <c r="L10" i="99"/>
  <c r="K10" i="99"/>
  <c r="J10" i="99"/>
  <c r="I10" i="99"/>
  <c r="AE9" i="99"/>
  <c r="AD9" i="99"/>
  <c r="AC9" i="99"/>
  <c r="AB9" i="99"/>
  <c r="Z9" i="99"/>
  <c r="Y9" i="99"/>
  <c r="X9" i="99"/>
  <c r="W9" i="99"/>
  <c r="U9" i="99"/>
  <c r="T9" i="99"/>
  <c r="S9" i="99"/>
  <c r="P9" i="99"/>
  <c r="O9" i="99"/>
  <c r="N9" i="99"/>
  <c r="L9" i="99"/>
  <c r="K9" i="99"/>
  <c r="J9" i="99"/>
  <c r="I9" i="99"/>
  <c r="M6" i="99"/>
  <c r="L6" i="99"/>
  <c r="K6" i="99"/>
  <c r="J6" i="99"/>
  <c r="I6" i="99"/>
  <c r="AI26" i="99" l="1"/>
  <c r="AI34" i="99" s="1"/>
  <c r="AI36" i="99" s="1"/>
  <c r="AH26" i="99"/>
  <c r="AH34" i="99" s="1"/>
  <c r="AH36" i="99" s="1"/>
  <c r="AJ26" i="99"/>
  <c r="AJ34" i="99" s="1"/>
  <c r="AJ36" i="99" s="1"/>
  <c r="AK26" i="99"/>
  <c r="AK34" i="99" s="1"/>
  <c r="BC36" i="99"/>
  <c r="BE36" i="99" s="1"/>
  <c r="AY36" i="99"/>
  <c r="BD36" i="99" s="1"/>
  <c r="BC33" i="99"/>
  <c r="BE33" i="99" s="1"/>
  <c r="AY33" i="99"/>
  <c r="BD33" i="99" s="1"/>
  <c r="AH62" i="99"/>
  <c r="AC74" i="99" s="1"/>
  <c r="AD74" i="99" s="1"/>
  <c r="AJ23" i="99"/>
  <c r="AI21" i="99"/>
  <c r="AI23" i="99"/>
  <c r="AH19" i="99"/>
  <c r="AK23" i="99"/>
  <c r="AH21" i="99"/>
  <c r="AJ21" i="99"/>
  <c r="AK19" i="99"/>
  <c r="AI19" i="99"/>
  <c r="AH23" i="99"/>
  <c r="AK21" i="99"/>
  <c r="AJ19" i="99"/>
  <c r="AO39" i="96"/>
  <c r="V22" i="99"/>
  <c r="AA22" i="99"/>
  <c r="E39" i="99"/>
  <c r="Q37" i="99"/>
  <c r="Q132" i="99"/>
  <c r="J132" i="99"/>
  <c r="O132" i="99"/>
  <c r="L132" i="99"/>
  <c r="R132" i="99"/>
  <c r="M132" i="99"/>
  <c r="F14" i="99"/>
  <c r="C14" i="99"/>
  <c r="G14" i="99"/>
  <c r="W24" i="99"/>
  <c r="D14" i="99"/>
  <c r="K132" i="99"/>
  <c r="AA12" i="99"/>
  <c r="G39" i="99"/>
  <c r="V35" i="99"/>
  <c r="AA9" i="99"/>
  <c r="F39" i="99"/>
  <c r="AA33" i="99"/>
  <c r="AA11" i="99"/>
  <c r="Q12" i="99"/>
  <c r="V11" i="99"/>
  <c r="V33" i="99"/>
  <c r="D39" i="99"/>
  <c r="V10" i="99"/>
  <c r="V37" i="99"/>
  <c r="W18" i="99"/>
  <c r="V12" i="99"/>
  <c r="E14" i="99"/>
  <c r="V9" i="99"/>
  <c r="Q33" i="99"/>
  <c r="AA35" i="99"/>
  <c r="AA24" i="99"/>
  <c r="J56" i="98"/>
  <c r="J57" i="98" s="1"/>
  <c r="X66" i="98"/>
  <c r="W66" i="98"/>
  <c r="V66" i="98"/>
  <c r="X64" i="98"/>
  <c r="W64" i="98"/>
  <c r="V64" i="98"/>
  <c r="AC28" i="98"/>
  <c r="H28" i="98"/>
  <c r="X57" i="98"/>
  <c r="W57" i="98"/>
  <c r="V57" i="98"/>
  <c r="X55" i="98"/>
  <c r="W55" i="98"/>
  <c r="V55" i="98"/>
  <c r="AC19" i="98"/>
  <c r="AG18" i="98"/>
  <c r="AF19" i="98" s="1"/>
  <c r="AG10" i="98"/>
  <c r="X10" i="98"/>
  <c r="X11" i="98" s="1"/>
  <c r="W10" i="98"/>
  <c r="W11" i="98" s="1"/>
  <c r="V10" i="98"/>
  <c r="V11" i="98" s="1"/>
  <c r="AD11" i="98"/>
  <c r="W9" i="98"/>
  <c r="V9" i="98"/>
  <c r="AF10" i="98"/>
  <c r="J10" i="98"/>
  <c r="I10" i="98"/>
  <c r="AG8" i="98"/>
  <c r="AF8" i="98"/>
  <c r="J8" i="98"/>
  <c r="I8" i="98"/>
  <c r="I292" i="95" l="1"/>
  <c r="I294" i="95" s="1"/>
  <c r="I296" i="95" s="1"/>
  <c r="I288" i="95"/>
  <c r="I289" i="95" s="1"/>
  <c r="AH64" i="99"/>
  <c r="AY34" i="99"/>
  <c r="AY28" i="99"/>
  <c r="G9" i="101" s="1"/>
  <c r="I110" i="99"/>
  <c r="I11" i="98"/>
  <c r="H9" i="98"/>
  <c r="V67" i="98"/>
  <c r="X58" i="98"/>
  <c r="J30" i="98"/>
  <c r="J11" i="98"/>
  <c r="AG11" i="98"/>
  <c r="W67" i="98"/>
  <c r="V58" i="98"/>
  <c r="I28" i="98"/>
  <c r="W65" i="98"/>
  <c r="AD30" i="98"/>
  <c r="X67" i="98"/>
  <c r="J21" i="98"/>
  <c r="AP38" i="96"/>
  <c r="AQ38" i="96" s="1"/>
  <c r="AR38" i="96" s="1"/>
  <c r="AP36" i="96"/>
  <c r="AQ36" i="96" s="1"/>
  <c r="AR36" i="96" s="1"/>
  <c r="AP39" i="96"/>
  <c r="AQ39" i="96" s="1"/>
  <c r="AP34" i="96"/>
  <c r="AQ34" i="96" s="1"/>
  <c r="AR34" i="96" s="1"/>
  <c r="AP37" i="96"/>
  <c r="AQ37" i="96" s="1"/>
  <c r="AR37" i="96" s="1"/>
  <c r="AG30" i="98"/>
  <c r="AF11" i="98"/>
  <c r="AF9" i="98"/>
  <c r="AP33" i="96"/>
  <c r="AQ33" i="96" s="1"/>
  <c r="AR33" i="96" s="1"/>
  <c r="AD21" i="98"/>
  <c r="J9" i="98"/>
  <c r="J28" i="98"/>
  <c r="AP35" i="96"/>
  <c r="AQ35" i="96" s="1"/>
  <c r="AR35" i="96" s="1"/>
  <c r="I109" i="99"/>
  <c r="V18" i="99"/>
  <c r="I30" i="98"/>
  <c r="AF30" i="98"/>
  <c r="AF28" i="98"/>
  <c r="V65" i="98"/>
  <c r="W58" i="98"/>
  <c r="I21" i="98"/>
  <c r="AF21" i="98"/>
  <c r="AG21" i="98"/>
  <c r="W56" i="98"/>
  <c r="V56" i="98"/>
  <c r="I9" i="98"/>
  <c r="BW41" i="97"/>
  <c r="BW19" i="97"/>
  <c r="BW154" i="97"/>
  <c r="BW151" i="97"/>
  <c r="BW141" i="97"/>
  <c r="BW140" i="97"/>
  <c r="Q18" i="102" l="1"/>
  <c r="I24" i="100"/>
  <c r="AY29" i="99"/>
  <c r="AY48" i="99"/>
  <c r="BW32" i="97"/>
  <c r="BW33" i="97"/>
  <c r="BW36" i="97" s="1"/>
  <c r="BW40" i="97"/>
  <c r="BE26" i="99" s="1"/>
  <c r="BE35" i="99" s="1"/>
  <c r="AR39" i="96"/>
  <c r="AR60" i="96"/>
  <c r="AR58" i="96"/>
  <c r="AR57" i="96"/>
  <c r="AR56" i="96"/>
  <c r="AR55" i="96"/>
  <c r="AT61" i="96"/>
  <c r="AS58" i="96" s="1"/>
  <c r="AP60" i="96"/>
  <c r="AP58" i="96"/>
  <c r="AP57" i="96"/>
  <c r="AP56" i="96"/>
  <c r="AP55" i="96"/>
  <c r="AN60" i="96"/>
  <c r="AH60" i="96" s="1"/>
  <c r="AC60" i="96" s="1"/>
  <c r="AN58" i="96"/>
  <c r="AH58" i="96" s="1"/>
  <c r="AC58" i="96" s="1"/>
  <c r="AN57" i="96"/>
  <c r="AH57" i="96" s="1"/>
  <c r="AC57" i="96" s="1"/>
  <c r="AN56" i="96"/>
  <c r="AH56" i="96" s="1"/>
  <c r="AC56" i="96" s="1"/>
  <c r="AN55" i="96"/>
  <c r="AH55" i="96" s="1"/>
  <c r="AC55" i="96" s="1"/>
  <c r="O34" i="97"/>
  <c r="O33" i="97"/>
  <c r="O36" i="97" s="1"/>
  <c r="O38" i="97" s="1"/>
  <c r="T36" i="97"/>
  <c r="T42" i="97" s="1"/>
  <c r="O16" i="97"/>
  <c r="O41" i="97" s="1"/>
  <c r="T16" i="97"/>
  <c r="T41" i="97" s="1"/>
  <c r="Y36" i="97"/>
  <c r="Y38" i="97" s="1"/>
  <c r="AD36" i="97"/>
  <c r="AI33" i="97"/>
  <c r="AH8" i="99" s="1"/>
  <c r="AH17" i="99" s="1"/>
  <c r="AD16" i="97"/>
  <c r="AD41" i="97" s="1"/>
  <c r="T19" i="97"/>
  <c r="Y19" i="97"/>
  <c r="AD19" i="97"/>
  <c r="AI19" i="97"/>
  <c r="AX19" i="97"/>
  <c r="BE28" i="99" l="1"/>
  <c r="G12" i="101" s="1"/>
  <c r="BE34" i="99"/>
  <c r="AY39" i="99"/>
  <c r="AS56" i="96"/>
  <c r="AS55" i="96"/>
  <c r="AD42" i="97"/>
  <c r="AD37" i="97"/>
  <c r="AP61" i="96"/>
  <c r="AO61" i="96" s="1"/>
  <c r="BW42" i="97"/>
  <c r="BW38" i="97"/>
  <c r="Y42" i="97"/>
  <c r="AS60" i="96"/>
  <c r="AS61" i="96"/>
  <c r="AH13" i="99"/>
  <c r="AH42" i="99" s="1"/>
  <c r="AD38" i="97"/>
  <c r="AS57" i="96"/>
  <c r="T38" i="97"/>
  <c r="AI36" i="97"/>
  <c r="AI38" i="97" s="1"/>
  <c r="AI34" i="97"/>
  <c r="AJ18" i="97"/>
  <c r="AJ19" i="97" s="1"/>
  <c r="AI16" i="97"/>
  <c r="AH6" i="99" s="1"/>
  <c r="AN21" i="97"/>
  <c r="AN22" i="97"/>
  <c r="AM22" i="97" s="1"/>
  <c r="AN40" i="97"/>
  <c r="AN33" i="97"/>
  <c r="AS31" i="97"/>
  <c r="AS40" i="97"/>
  <c r="AS33" i="97"/>
  <c r="AT141" i="97"/>
  <c r="AV154" i="97" s="1"/>
  <c r="AX23" i="97"/>
  <c r="AS21" i="97"/>
  <c r="AR21" i="97" s="1"/>
  <c r="AS22" i="97"/>
  <c r="AR22" i="97" s="1"/>
  <c r="AX40" i="97"/>
  <c r="AX33" i="97"/>
  <c r="AZ31" i="97"/>
  <c r="AY31" i="97"/>
  <c r="AY32" i="97" s="1"/>
  <c r="AY40" i="97"/>
  <c r="AY33" i="97"/>
  <c r="BB33" i="97" s="1"/>
  <c r="AZ40" i="97"/>
  <c r="AY141" i="97"/>
  <c r="BA154" i="97" s="1"/>
  <c r="AY98" i="97"/>
  <c r="BW98" i="97" s="1"/>
  <c r="AY97" i="97"/>
  <c r="BW97" i="97" s="1"/>
  <c r="AX157" i="97"/>
  <c r="AW157" i="97"/>
  <c r="AV157" i="97"/>
  <c r="AS157" i="97"/>
  <c r="AR157" i="97"/>
  <c r="AQ157" i="97"/>
  <c r="AX156" i="97"/>
  <c r="AW156" i="97"/>
  <c r="AV156" i="97"/>
  <c r="AS156" i="97"/>
  <c r="AR156" i="97"/>
  <c r="AQ156" i="97"/>
  <c r="AN156" i="97"/>
  <c r="AW154" i="97"/>
  <c r="AU154" i="97"/>
  <c r="AR154" i="97"/>
  <c r="AP154" i="97"/>
  <c r="AX153" i="97"/>
  <c r="AW153" i="97"/>
  <c r="AV153" i="97"/>
  <c r="AS153" i="97"/>
  <c r="AR153" i="97"/>
  <c r="AQ153" i="97"/>
  <c r="AH152" i="97"/>
  <c r="AG152" i="97"/>
  <c r="AF152" i="97"/>
  <c r="AE152" i="97"/>
  <c r="AC152" i="97"/>
  <c r="AB152" i="97"/>
  <c r="AA152" i="97"/>
  <c r="Z152" i="97"/>
  <c r="X152" i="97"/>
  <c r="W152" i="97"/>
  <c r="V152" i="97"/>
  <c r="U152" i="97"/>
  <c r="S152" i="97"/>
  <c r="R152" i="97"/>
  <c r="Q152" i="97"/>
  <c r="P152" i="97"/>
  <c r="N152" i="97"/>
  <c r="M152" i="97"/>
  <c r="L152" i="97"/>
  <c r="K152" i="97"/>
  <c r="I152" i="97"/>
  <c r="H152" i="97"/>
  <c r="G152" i="97"/>
  <c r="F152" i="97"/>
  <c r="A152" i="97"/>
  <c r="AZ151" i="97"/>
  <c r="AU151" i="97"/>
  <c r="AT151" i="97"/>
  <c r="AP151" i="97"/>
  <c r="AO151" i="97"/>
  <c r="AX146" i="97"/>
  <c r="AS146" i="97"/>
  <c r="AN146" i="97"/>
  <c r="AX145" i="97"/>
  <c r="AS145" i="97"/>
  <c r="AN145" i="97"/>
  <c r="AW141" i="97"/>
  <c r="AZ154" i="97" s="1"/>
  <c r="AV141" i="97"/>
  <c r="AX154" i="97" s="1"/>
  <c r="AR141" i="97"/>
  <c r="AT154" i="97" s="1"/>
  <c r="AQ141" i="97"/>
  <c r="AS154" i="97" s="1"/>
  <c r="AO141" i="97"/>
  <c r="AQ154" i="97" s="1"/>
  <c r="AM141" i="97"/>
  <c r="AO154" i="97" s="1"/>
  <c r="AZ140" i="97"/>
  <c r="AU140" i="97"/>
  <c r="AW151" i="97" s="1"/>
  <c r="AT140" i="97"/>
  <c r="AV151" i="97" s="1"/>
  <c r="AP140" i="97"/>
  <c r="AR151" i="97" s="1"/>
  <c r="AO140" i="97"/>
  <c r="AQ151" i="97" s="1"/>
  <c r="D100" i="97"/>
  <c r="AX98" i="97"/>
  <c r="AZ98" i="97" s="1"/>
  <c r="BA98" i="97" s="1"/>
  <c r="AS98" i="97"/>
  <c r="AT98" i="97" s="1"/>
  <c r="AU98" i="97" s="1"/>
  <c r="AN98" i="97"/>
  <c r="AO98" i="97" s="1"/>
  <c r="AP98" i="97" s="1"/>
  <c r="AX97" i="97"/>
  <c r="AZ97" i="97" s="1"/>
  <c r="BA97" i="97" s="1"/>
  <c r="BC152" i="97" s="1"/>
  <c r="AV97" i="97"/>
  <c r="AX152" i="97" s="1"/>
  <c r="AS97" i="97"/>
  <c r="AT97" i="97" s="1"/>
  <c r="AQ97" i="97"/>
  <c r="AS152" i="97" s="1"/>
  <c r="AN97" i="97"/>
  <c r="AO97" i="97" s="1"/>
  <c r="T97" i="97"/>
  <c r="T152" i="97" s="1"/>
  <c r="E97" i="97"/>
  <c r="E152" i="97" s="1"/>
  <c r="D97" i="97"/>
  <c r="D152" i="97" s="1"/>
  <c r="C97" i="97"/>
  <c r="C152" i="97" s="1"/>
  <c r="B97" i="97"/>
  <c r="B152" i="97" s="1"/>
  <c r="AV96" i="97"/>
  <c r="AV140" i="97" s="1"/>
  <c r="AX151" i="97" s="1"/>
  <c r="AQ96" i="97"/>
  <c r="AQ140" i="97" s="1"/>
  <c r="AS151" i="97" s="1"/>
  <c r="AL96" i="97"/>
  <c r="AL140" i="97" s="1"/>
  <c r="AN151" i="97" s="1"/>
  <c r="AK96" i="97"/>
  <c r="AK140" i="97" s="1"/>
  <c r="AM151" i="97" s="1"/>
  <c r="AJ96" i="97"/>
  <c r="AJ140" i="97" s="1"/>
  <c r="AL151" i="97" s="1"/>
  <c r="AI96" i="97"/>
  <c r="AI140" i="97" s="1"/>
  <c r="AI151" i="97" s="1"/>
  <c r="AD96" i="97"/>
  <c r="AD140" i="97" s="1"/>
  <c r="AD151" i="97" s="1"/>
  <c r="Y96" i="97"/>
  <c r="Y140" i="97" s="1"/>
  <c r="Y151" i="97" s="1"/>
  <c r="T96" i="97"/>
  <c r="T140" i="97" s="1"/>
  <c r="T151" i="97" s="1"/>
  <c r="O96" i="97"/>
  <c r="O140" i="97" s="1"/>
  <c r="O151" i="97" s="1"/>
  <c r="J96" i="97"/>
  <c r="J140" i="97" s="1"/>
  <c r="J151" i="97" s="1"/>
  <c r="E96" i="97"/>
  <c r="E140" i="97" s="1"/>
  <c r="E151" i="97" s="1"/>
  <c r="D96" i="97"/>
  <c r="D140" i="97" s="1"/>
  <c r="D151" i="97" s="1"/>
  <c r="C96" i="97"/>
  <c r="C140" i="97" s="1"/>
  <c r="C151" i="97" s="1"/>
  <c r="B96" i="97"/>
  <c r="B140" i="97" s="1"/>
  <c r="B151" i="97" s="1"/>
  <c r="M42" i="97"/>
  <c r="L42" i="97"/>
  <c r="K42" i="97"/>
  <c r="G42" i="97"/>
  <c r="F42" i="97"/>
  <c r="AQ40" i="97"/>
  <c r="AQ41" i="97" s="1"/>
  <c r="AO40" i="97"/>
  <c r="AM156" i="97" s="1"/>
  <c r="AL40" i="97"/>
  <c r="AK40" i="97"/>
  <c r="AK156" i="97" s="1"/>
  <c r="AJ40" i="97"/>
  <c r="AG40" i="97"/>
  <c r="AF40" i="97"/>
  <c r="AE40" i="97"/>
  <c r="AD156" i="97"/>
  <c r="AB40" i="97"/>
  <c r="AA40" i="97"/>
  <c r="Z40" i="97"/>
  <c r="Y156" i="97"/>
  <c r="W40" i="97"/>
  <c r="V40" i="97"/>
  <c r="U40" i="97"/>
  <c r="S40" i="97"/>
  <c r="R40" i="97"/>
  <c r="Q40" i="97"/>
  <c r="P40" i="97"/>
  <c r="J40" i="97"/>
  <c r="I40" i="97" s="1"/>
  <c r="E40" i="97"/>
  <c r="D40" i="97"/>
  <c r="D156" i="97" s="1"/>
  <c r="C40" i="97"/>
  <c r="C156" i="97" s="1"/>
  <c r="B40" i="97"/>
  <c r="AV36" i="97"/>
  <c r="AV38" i="97" s="1"/>
  <c r="AU36" i="97"/>
  <c r="AT36" i="97"/>
  <c r="AT38" i="97" s="1"/>
  <c r="AQ36" i="97"/>
  <c r="AP36" i="97"/>
  <c r="AN153" i="97" s="1"/>
  <c r="AO36" i="97"/>
  <c r="AL36" i="97"/>
  <c r="AK36" i="97"/>
  <c r="AJ36" i="97"/>
  <c r="AG36" i="97"/>
  <c r="AF36" i="97"/>
  <c r="AE36" i="97"/>
  <c r="AB36" i="97"/>
  <c r="AA36" i="97"/>
  <c r="Z36" i="97"/>
  <c r="W36" i="97"/>
  <c r="V36" i="97"/>
  <c r="U36" i="97"/>
  <c r="S36" i="97"/>
  <c r="R36" i="97"/>
  <c r="Q36" i="97"/>
  <c r="P36" i="97"/>
  <c r="M36" i="97"/>
  <c r="M38" i="97" s="1"/>
  <c r="L36" i="97"/>
  <c r="L38" i="97" s="1"/>
  <c r="K36" i="97"/>
  <c r="J36" i="97"/>
  <c r="J153" i="97" s="1"/>
  <c r="G36" i="97"/>
  <c r="F36" i="97"/>
  <c r="F38" i="97" s="1"/>
  <c r="E36" i="97"/>
  <c r="D36" i="97"/>
  <c r="C36" i="97"/>
  <c r="B36" i="97"/>
  <c r="B153" i="97" s="1"/>
  <c r="R34" i="97"/>
  <c r="M34" i="97"/>
  <c r="L34" i="97"/>
  <c r="K34" i="97"/>
  <c r="G34" i="97"/>
  <c r="F34" i="97"/>
  <c r="AV33" i="97"/>
  <c r="AV34" i="97" s="1"/>
  <c r="AU33" i="97"/>
  <c r="AU34" i="97" s="1"/>
  <c r="AT33" i="97"/>
  <c r="AT34" i="97" s="1"/>
  <c r="AT42" i="97" s="1"/>
  <c r="AQ33" i="97"/>
  <c r="AP33" i="97"/>
  <c r="AP42" i="97" s="1"/>
  <c r="AO33" i="97"/>
  <c r="AL33" i="97"/>
  <c r="AL34" i="97" s="1"/>
  <c r="AK33" i="97"/>
  <c r="AJ33" i="97"/>
  <c r="AJ34" i="97" s="1"/>
  <c r="AG33" i="97"/>
  <c r="AF33" i="97"/>
  <c r="AF34" i="97" s="1"/>
  <c r="AE33" i="97"/>
  <c r="AE34" i="97" s="1"/>
  <c r="AB33" i="97"/>
  <c r="AB34" i="97" s="1"/>
  <c r="AA33" i="97"/>
  <c r="AA34" i="97" s="1"/>
  <c r="Z33" i="97"/>
  <c r="Z34" i="97" s="1"/>
  <c r="W33" i="97"/>
  <c r="W34" i="97" s="1"/>
  <c r="V33" i="97"/>
  <c r="U33" i="97"/>
  <c r="S33" i="97"/>
  <c r="R33" i="97"/>
  <c r="Q33" i="97"/>
  <c r="P33" i="97"/>
  <c r="P34" i="97" s="1"/>
  <c r="N33" i="97"/>
  <c r="N36" i="97" s="1"/>
  <c r="J33" i="97"/>
  <c r="J34" i="97" s="1"/>
  <c r="H33" i="97"/>
  <c r="H36" i="97" s="1"/>
  <c r="E33" i="97"/>
  <c r="E34" i="97" s="1"/>
  <c r="D33" i="97"/>
  <c r="D34" i="97" s="1"/>
  <c r="C33" i="97"/>
  <c r="C34" i="97" s="1"/>
  <c r="B33" i="97"/>
  <c r="B34" i="97" s="1"/>
  <c r="AQ31" i="97"/>
  <c r="AQ32" i="97" s="1"/>
  <c r="E31" i="97"/>
  <c r="D31" i="97"/>
  <c r="C31" i="97"/>
  <c r="C141" i="97" s="1"/>
  <c r="C154" i="97" s="1"/>
  <c r="B31" i="97"/>
  <c r="B141" i="97" s="1"/>
  <c r="B154" i="97" s="1"/>
  <c r="AD30" i="97"/>
  <c r="AD29" i="97"/>
  <c r="AV23" i="97"/>
  <c r="AU23" i="97"/>
  <c r="AT23" i="97"/>
  <c r="AQ23" i="97"/>
  <c r="AP23" i="97"/>
  <c r="AO23" i="97"/>
  <c r="AL23" i="97"/>
  <c r="AK23" i="97"/>
  <c r="AJ23" i="97"/>
  <c r="AG23" i="97"/>
  <c r="AF23" i="97"/>
  <c r="AE23" i="97"/>
  <c r="AB23" i="97"/>
  <c r="AA23" i="97"/>
  <c r="Z23" i="97"/>
  <c r="Y23" i="97"/>
  <c r="W23" i="97"/>
  <c r="V23" i="97"/>
  <c r="U23" i="97"/>
  <c r="T23" i="97"/>
  <c r="T24" i="97" s="1"/>
  <c r="R23" i="97"/>
  <c r="P23" i="97"/>
  <c r="P24" i="97" s="1"/>
  <c r="O23" i="97"/>
  <c r="M23" i="97"/>
  <c r="L23" i="97"/>
  <c r="K23" i="97"/>
  <c r="K24" i="97" s="1"/>
  <c r="J23" i="97"/>
  <c r="H23" i="97"/>
  <c r="G23" i="97"/>
  <c r="F23" i="97"/>
  <c r="F24" i="97" s="1"/>
  <c r="E23" i="97"/>
  <c r="D23" i="97"/>
  <c r="C23" i="97"/>
  <c r="B23" i="97"/>
  <c r="AW22" i="97"/>
  <c r="AH22" i="97"/>
  <c r="AC22" i="97"/>
  <c r="X22" i="97"/>
  <c r="Q22" i="97"/>
  <c r="S22" i="97" s="1"/>
  <c r="N22" i="97"/>
  <c r="I22" i="97"/>
  <c r="AW21" i="97"/>
  <c r="AW16" i="97" s="1"/>
  <c r="X21" i="97"/>
  <c r="X16" i="97" s="1"/>
  <c r="Q21" i="97"/>
  <c r="Q16" i="97" s="1"/>
  <c r="N21" i="97"/>
  <c r="I21" i="97"/>
  <c r="AW20" i="97"/>
  <c r="AR20" i="97"/>
  <c r="AM20" i="97"/>
  <c r="AH20" i="97"/>
  <c r="AC20" i="97"/>
  <c r="X20" i="97"/>
  <c r="X19" i="97" s="1"/>
  <c r="Q20" i="97"/>
  <c r="N20" i="97"/>
  <c r="I20" i="97"/>
  <c r="W19" i="97"/>
  <c r="V19" i="97"/>
  <c r="U19" i="97"/>
  <c r="O19" i="97"/>
  <c r="J19" i="97"/>
  <c r="E19" i="97"/>
  <c r="D19" i="97"/>
  <c r="C19" i="97"/>
  <c r="AT18" i="97"/>
  <c r="AT19" i="97" s="1"/>
  <c r="AO18" i="97"/>
  <c r="AO19" i="97" s="1"/>
  <c r="AE18" i="97"/>
  <c r="AE19" i="97" s="1"/>
  <c r="Z18" i="97"/>
  <c r="Z19" i="97" s="1"/>
  <c r="B18" i="97"/>
  <c r="B19" i="97" s="1"/>
  <c r="E17" i="97"/>
  <c r="D17" i="97"/>
  <c r="C17" i="97"/>
  <c r="AX16" i="97"/>
  <c r="AV16" i="97"/>
  <c r="AU16" i="97"/>
  <c r="AT16" i="97"/>
  <c r="AP16" i="97"/>
  <c r="AO16" i="97"/>
  <c r="AO31" i="97" s="1"/>
  <c r="AL16" i="97"/>
  <c r="AK16" i="97"/>
  <c r="AK31" i="97" s="1"/>
  <c r="AJ16" i="97"/>
  <c r="AJ152" i="97" s="1"/>
  <c r="AG16" i="97"/>
  <c r="AF16" i="97"/>
  <c r="AF31" i="97" s="1"/>
  <c r="AF32" i="97" s="1"/>
  <c r="AE16" i="97"/>
  <c r="AB16" i="97"/>
  <c r="AA16" i="97"/>
  <c r="AA31" i="97" s="1"/>
  <c r="AA32" i="97" s="1"/>
  <c r="Z16" i="97"/>
  <c r="Y16" i="97"/>
  <c r="W16" i="97"/>
  <c r="W31" i="97" s="1"/>
  <c r="W32" i="97" s="1"/>
  <c r="V16" i="97"/>
  <c r="U16" i="97"/>
  <c r="R16" i="97"/>
  <c r="P16" i="97"/>
  <c r="M16" i="97"/>
  <c r="M41" i="97" s="1"/>
  <c r="L16" i="97"/>
  <c r="L41" i="97" s="1"/>
  <c r="K16" i="97"/>
  <c r="J16" i="97"/>
  <c r="J17" i="97" s="1"/>
  <c r="H16" i="97"/>
  <c r="H41" i="97" s="1"/>
  <c r="G16" i="97"/>
  <c r="F16" i="97"/>
  <c r="O15" i="97"/>
  <c r="AX14" i="97"/>
  <c r="BC15" i="97" s="1"/>
  <c r="AS14" i="97"/>
  <c r="AN14" i="97"/>
  <c r="AI14" i="97"/>
  <c r="AD14" i="97"/>
  <c r="AD15" i="97" s="1"/>
  <c r="AX13" i="97"/>
  <c r="AS13" i="97"/>
  <c r="AD13" i="97"/>
  <c r="O13" i="97"/>
  <c r="AI12" i="97"/>
  <c r="AI13" i="97" s="1"/>
  <c r="T12" i="97"/>
  <c r="Y13" i="97" s="1"/>
  <c r="AD11" i="97"/>
  <c r="O11" i="97"/>
  <c r="AX10" i="97"/>
  <c r="BC11" i="97" s="1"/>
  <c r="AS10" i="97"/>
  <c r="AN10" i="97"/>
  <c r="AI10" i="97"/>
  <c r="AI11" i="97" s="1"/>
  <c r="T10" i="97"/>
  <c r="Y11" i="97" s="1"/>
  <c r="AX9" i="97"/>
  <c r="AS9" i="97"/>
  <c r="O9" i="97"/>
  <c r="AI8" i="97"/>
  <c r="AD8" i="97"/>
  <c r="T8" i="97"/>
  <c r="Y9" i="97" s="1"/>
  <c r="AX7" i="97"/>
  <c r="AS7" i="97"/>
  <c r="AD7" i="97"/>
  <c r="O7" i="97"/>
  <c r="AI6" i="97"/>
  <c r="T6" i="97"/>
  <c r="H44" i="96"/>
  <c r="I63" i="96"/>
  <c r="I69" i="96" s="1"/>
  <c r="I52" i="96"/>
  <c r="I58" i="96" s="1"/>
  <c r="I60" i="96" s="1"/>
  <c r="K69" i="96"/>
  <c r="J69" i="96"/>
  <c r="H69" i="96"/>
  <c r="K58" i="96"/>
  <c r="K60" i="96" s="1"/>
  <c r="J58" i="96"/>
  <c r="J60" i="96" s="1"/>
  <c r="H58" i="96"/>
  <c r="H60" i="96" s="1"/>
  <c r="AM48" i="96"/>
  <c r="AL48" i="96"/>
  <c r="AK48" i="96"/>
  <c r="AI48" i="96"/>
  <c r="AH48" i="96"/>
  <c r="AG48" i="96"/>
  <c r="AE48" i="96"/>
  <c r="AD48" i="96"/>
  <c r="K48" i="96"/>
  <c r="J48" i="96"/>
  <c r="I48" i="96"/>
  <c r="H48" i="96"/>
  <c r="AM47" i="96"/>
  <c r="AL47" i="96"/>
  <c r="AK47" i="96"/>
  <c r="AI47" i="96"/>
  <c r="AH47" i="96"/>
  <c r="AG47" i="96"/>
  <c r="AE47" i="96"/>
  <c r="AD47" i="96"/>
  <c r="K47" i="96"/>
  <c r="J47" i="96"/>
  <c r="I47" i="96"/>
  <c r="H47" i="96"/>
  <c r="AM46" i="96"/>
  <c r="AL46" i="96"/>
  <c r="AK46" i="96"/>
  <c r="AI46" i="96"/>
  <c r="AH46" i="96"/>
  <c r="AG46" i="96"/>
  <c r="AE46" i="96"/>
  <c r="AD46" i="96"/>
  <c r="K46" i="96"/>
  <c r="J46" i="96"/>
  <c r="I46" i="96"/>
  <c r="H46" i="96"/>
  <c r="AM45" i="96"/>
  <c r="AL45" i="96"/>
  <c r="AK45" i="96"/>
  <c r="AI45" i="96"/>
  <c r="AH45" i="96"/>
  <c r="AG45" i="96"/>
  <c r="AE45" i="96"/>
  <c r="AD45" i="96"/>
  <c r="K45" i="96"/>
  <c r="J45" i="96"/>
  <c r="I45" i="96"/>
  <c r="H45" i="96"/>
  <c r="AM44" i="96"/>
  <c r="AL44" i="96"/>
  <c r="AK44" i="96"/>
  <c r="AI44" i="96"/>
  <c r="AH44" i="96"/>
  <c r="AG44" i="96"/>
  <c r="AE44" i="96"/>
  <c r="AD44" i="96"/>
  <c r="K44" i="96"/>
  <c r="J44" i="96"/>
  <c r="I44" i="96"/>
  <c r="AJ40" i="96"/>
  <c r="AM39" i="96"/>
  <c r="AL39" i="96"/>
  <c r="AK39" i="96"/>
  <c r="AI39" i="96"/>
  <c r="AH39" i="96"/>
  <c r="AG39" i="96"/>
  <c r="AG41" i="96" s="1"/>
  <c r="AE39" i="96"/>
  <c r="AD39" i="96"/>
  <c r="J39" i="96"/>
  <c r="I39" i="96"/>
  <c r="I41" i="96" s="1"/>
  <c r="H39" i="96"/>
  <c r="H41" i="96" s="1"/>
  <c r="AJ38" i="96"/>
  <c r="AF38" i="96"/>
  <c r="AJ37" i="96"/>
  <c r="AF37" i="96"/>
  <c r="AJ36" i="96"/>
  <c r="AF36" i="96"/>
  <c r="AJ35" i="96"/>
  <c r="AF35" i="96"/>
  <c r="AJ34" i="96"/>
  <c r="AF34" i="96"/>
  <c r="AJ33" i="96"/>
  <c r="AF33" i="96"/>
  <c r="AM29" i="96"/>
  <c r="AL29" i="96"/>
  <c r="AK29" i="96"/>
  <c r="AH29" i="96"/>
  <c r="AG29" i="96"/>
  <c r="AD29" i="96"/>
  <c r="K29" i="96"/>
  <c r="J29" i="96"/>
  <c r="I29" i="96"/>
  <c r="H29" i="96"/>
  <c r="AM28" i="96"/>
  <c r="AL28" i="96"/>
  <c r="AK28" i="96"/>
  <c r="AH28" i="96"/>
  <c r="AG28" i="96"/>
  <c r="AD28" i="96"/>
  <c r="K28" i="96"/>
  <c r="J28" i="96"/>
  <c r="I28" i="96"/>
  <c r="H28" i="96"/>
  <c r="AM27" i="96"/>
  <c r="AL27" i="96"/>
  <c r="AK27" i="96"/>
  <c r="AH27" i="96"/>
  <c r="AG27" i="96"/>
  <c r="AD27" i="96"/>
  <c r="K27" i="96"/>
  <c r="J27" i="96"/>
  <c r="I27" i="96"/>
  <c r="H27" i="96"/>
  <c r="AM26" i="96"/>
  <c r="AL26" i="96"/>
  <c r="AK26" i="96"/>
  <c r="AH26" i="96"/>
  <c r="AG26" i="96"/>
  <c r="AD26" i="96"/>
  <c r="K26" i="96"/>
  <c r="J26" i="96"/>
  <c r="I26" i="96"/>
  <c r="H26" i="96"/>
  <c r="AM25" i="96"/>
  <c r="AL25" i="96"/>
  <c r="AK25" i="96"/>
  <c r="AH25" i="96"/>
  <c r="AG25" i="96"/>
  <c r="AD25" i="96"/>
  <c r="K25" i="96"/>
  <c r="J25" i="96"/>
  <c r="I25" i="96"/>
  <c r="H25" i="96"/>
  <c r="AM24" i="96"/>
  <c r="AL24" i="96"/>
  <c r="AK24" i="96"/>
  <c r="AH24" i="96"/>
  <c r="AG24" i="96"/>
  <c r="AD24" i="96"/>
  <c r="K24" i="96"/>
  <c r="J24" i="96"/>
  <c r="I24" i="96"/>
  <c r="H24" i="96"/>
  <c r="AM12" i="96"/>
  <c r="AL12" i="96"/>
  <c r="AL13" i="96" s="1"/>
  <c r="AK12" i="96"/>
  <c r="AK13" i="96" s="1"/>
  <c r="AI12" i="96"/>
  <c r="AI13" i="96" s="1"/>
  <c r="AH12" i="96"/>
  <c r="AH13" i="96" s="1"/>
  <c r="AG12" i="96"/>
  <c r="AG13" i="96" s="1"/>
  <c r="AE12" i="96"/>
  <c r="AE13" i="96" s="1"/>
  <c r="AD12" i="96"/>
  <c r="K12" i="96"/>
  <c r="K13" i="96" s="1"/>
  <c r="J12" i="96"/>
  <c r="I12" i="96"/>
  <c r="I13" i="96" s="1"/>
  <c r="H12" i="96"/>
  <c r="AJ11" i="96"/>
  <c r="AF11" i="96"/>
  <c r="AJ10" i="96"/>
  <c r="AJ28" i="96" s="1"/>
  <c r="AF10" i="96"/>
  <c r="AF28" i="96" s="1"/>
  <c r="AJ9" i="96"/>
  <c r="AF9" i="96"/>
  <c r="AJ8" i="96"/>
  <c r="AF8" i="96"/>
  <c r="AJ7" i="96"/>
  <c r="AF7" i="96"/>
  <c r="AJ6" i="96"/>
  <c r="AJ24" i="96" s="1"/>
  <c r="AF6" i="96"/>
  <c r="AF24" i="96" s="1"/>
  <c r="J24" i="100" l="1"/>
  <c r="G19" i="101"/>
  <c r="BE48" i="99"/>
  <c r="BE30" i="99"/>
  <c r="BE39" i="99" s="1"/>
  <c r="G22" i="101" s="1"/>
  <c r="AY43" i="99"/>
  <c r="AY50" i="99"/>
  <c r="AO56" i="96"/>
  <c r="AO57" i="96"/>
  <c r="AO55" i="96"/>
  <c r="AJ27" i="99"/>
  <c r="I70" i="96"/>
  <c r="AO60" i="96"/>
  <c r="AK6" i="99"/>
  <c r="BC17" i="97"/>
  <c r="BD17" i="97"/>
  <c r="AM18" i="96"/>
  <c r="AM13" i="96"/>
  <c r="AO58" i="96"/>
  <c r="H16" i="96"/>
  <c r="H13" i="96"/>
  <c r="G30" i="96"/>
  <c r="J20" i="96"/>
  <c r="J13" i="96"/>
  <c r="AK27" i="99"/>
  <c r="H70" i="96"/>
  <c r="AI27" i="99"/>
  <c r="AI28" i="99" s="1"/>
  <c r="AI29" i="99" s="1"/>
  <c r="J70" i="96"/>
  <c r="AD20" i="96"/>
  <c r="AD13" i="96"/>
  <c r="AC30" i="96"/>
  <c r="AH27" i="99"/>
  <c r="AH28" i="99" s="1"/>
  <c r="AH29" i="99" s="1"/>
  <c r="K70" i="96"/>
  <c r="AA38" i="97"/>
  <c r="AA39" i="97" s="1"/>
  <c r="AN15" i="97"/>
  <c r="AV41" i="97"/>
  <c r="BA17" i="97"/>
  <c r="Y24" i="97"/>
  <c r="X24" i="97" s="1"/>
  <c r="AV39" i="97"/>
  <c r="B42" i="97"/>
  <c r="AL42" i="97"/>
  <c r="F39" i="97"/>
  <c r="L39" i="97"/>
  <c r="AE38" i="97"/>
  <c r="AE39" i="97" s="1"/>
  <c r="AS23" i="97"/>
  <c r="AS19" i="97"/>
  <c r="AI41" i="97"/>
  <c r="AI39" i="97" s="1"/>
  <c r="V54" i="98"/>
  <c r="V63" i="98" s="1"/>
  <c r="V7" i="98"/>
  <c r="AJ26" i="96"/>
  <c r="AD26" i="98"/>
  <c r="W7" i="98"/>
  <c r="W54" i="98"/>
  <c r="W63" i="98" s="1"/>
  <c r="X54" i="98"/>
  <c r="X63" i="98" s="1"/>
  <c r="X7" i="98"/>
  <c r="X65" i="98"/>
  <c r="AF26" i="96"/>
  <c r="AY34" i="97"/>
  <c r="AY22" i="97" s="1"/>
  <c r="AX34" i="97"/>
  <c r="AW34" i="97" s="1"/>
  <c r="AK8" i="99"/>
  <c r="AK17" i="99" s="1"/>
  <c r="AJ7" i="99"/>
  <c r="AK42" i="97"/>
  <c r="AX41" i="97"/>
  <c r="AX39" i="97" s="1"/>
  <c r="AN16" i="97"/>
  <c r="AI6" i="99" s="1"/>
  <c r="AN19" i="97"/>
  <c r="U41" i="97"/>
  <c r="N23" i="97"/>
  <c r="AZ36" i="97"/>
  <c r="AZ141" i="97"/>
  <c r="AS36" i="97"/>
  <c r="AS42" i="97" s="1"/>
  <c r="AJ8" i="99"/>
  <c r="AJ17" i="99" s="1"/>
  <c r="AN36" i="97"/>
  <c r="AN38" i="97" s="1"/>
  <c r="AI8" i="99"/>
  <c r="V38" i="97"/>
  <c r="V39" i="97" s="1"/>
  <c r="R38" i="97"/>
  <c r="R39" i="97" s="1"/>
  <c r="W38" i="97"/>
  <c r="W39" i="97" s="1"/>
  <c r="Y37" i="97"/>
  <c r="Y31" i="97" s="1"/>
  <c r="Y32" i="97" s="1"/>
  <c r="Y41" i="97"/>
  <c r="Y157" i="97" s="1"/>
  <c r="AS34" i="97"/>
  <c r="AN34" i="97"/>
  <c r="AV152" i="97"/>
  <c r="AU97" i="97"/>
  <c r="AW152" i="97" s="1"/>
  <c r="AQ152" i="97"/>
  <c r="AP97" i="97"/>
  <c r="AR152" i="97" s="1"/>
  <c r="AI42" i="97"/>
  <c r="M39" i="97"/>
  <c r="AP38" i="97"/>
  <c r="AP39" i="97" s="1"/>
  <c r="AR158" i="97"/>
  <c r="AY36" i="97"/>
  <c r="AY38" i="97" s="1"/>
  <c r="AB41" i="97"/>
  <c r="AT39" i="97"/>
  <c r="AT17" i="97"/>
  <c r="S21" i="97"/>
  <c r="AR40" i="97"/>
  <c r="AN23" i="97"/>
  <c r="AM21" i="97"/>
  <c r="AM23" i="97" s="1"/>
  <c r="AS16" i="97"/>
  <c r="AY151" i="97"/>
  <c r="AH36" i="97"/>
  <c r="F37" i="97"/>
  <c r="I33" i="97"/>
  <c r="I36" i="97" s="1"/>
  <c r="I38" i="97" s="1"/>
  <c r="AL38" i="97"/>
  <c r="AL39" i="97" s="1"/>
  <c r="AY154" i="97"/>
  <c r="AX36" i="97"/>
  <c r="AX42" i="97" s="1"/>
  <c r="Q23" i="97"/>
  <c r="Q24" i="97" s="1"/>
  <c r="R24" i="97" s="1"/>
  <c r="AX15" i="97"/>
  <c r="AP37" i="97"/>
  <c r="L24" i="97"/>
  <c r="M24" i="97" s="1"/>
  <c r="AP34" i="97"/>
  <c r="AY140" i="97"/>
  <c r="BA151" i="97" s="1"/>
  <c r="AW40" i="97"/>
  <c r="AW41" i="97" s="1"/>
  <c r="AW33" i="97"/>
  <c r="E38" i="97"/>
  <c r="E39" i="97" s="1"/>
  <c r="R42" i="97"/>
  <c r="V42" i="97"/>
  <c r="Z42" i="97"/>
  <c r="AG41" i="97"/>
  <c r="U24" i="97"/>
  <c r="V24" i="97" s="1"/>
  <c r="W24" i="97" s="1"/>
  <c r="AG42" i="97"/>
  <c r="D41" i="97"/>
  <c r="D157" i="97" s="1"/>
  <c r="Q41" i="97"/>
  <c r="G24" i="97"/>
  <c r="H24" i="97" s="1"/>
  <c r="B32" i="97"/>
  <c r="AZ34" i="97"/>
  <c r="AG30" i="96"/>
  <c r="AH30" i="96"/>
  <c r="S16" i="97"/>
  <c r="S31" i="97" s="1"/>
  <c r="S32" i="97" s="1"/>
  <c r="Z17" i="97"/>
  <c r="AV37" i="97"/>
  <c r="AV17" i="97"/>
  <c r="AF38" i="97"/>
  <c r="AF39" i="97" s="1"/>
  <c r="T14" i="97"/>
  <c r="Y15" i="97" s="1"/>
  <c r="AA42" i="97"/>
  <c r="AN7" i="97"/>
  <c r="AX11" i="97"/>
  <c r="I16" i="97"/>
  <c r="I41" i="97" s="1"/>
  <c r="S20" i="97"/>
  <c r="C32" i="97"/>
  <c r="B37" i="97"/>
  <c r="C41" i="97"/>
  <c r="C157" i="97" s="1"/>
  <c r="C158" i="97" s="1"/>
  <c r="AX158" i="97"/>
  <c r="AV158" i="97"/>
  <c r="J156" i="97"/>
  <c r="AW158" i="97"/>
  <c r="J38" i="97"/>
  <c r="J39" i="97" s="1"/>
  <c r="Z38" i="97"/>
  <c r="Z39" i="97" s="1"/>
  <c r="Y7" i="97"/>
  <c r="AN11" i="97"/>
  <c r="AS15" i="97"/>
  <c r="O17" i="97"/>
  <c r="AW23" i="97"/>
  <c r="AV31" i="97"/>
  <c r="AV32" i="97" s="1"/>
  <c r="AA37" i="97"/>
  <c r="B38" i="97"/>
  <c r="B39" i="97" s="1"/>
  <c r="C42" i="97"/>
  <c r="AH16" i="97"/>
  <c r="AK141" i="97"/>
  <c r="AM154" i="97" s="1"/>
  <c r="AO32" i="97"/>
  <c r="J42" i="97"/>
  <c r="AK154" i="97"/>
  <c r="AK32" i="97"/>
  <c r="AI9" i="97"/>
  <c r="U17" i="97"/>
  <c r="AN9" i="97"/>
  <c r="V37" i="97"/>
  <c r="V31" i="97"/>
  <c r="V32" i="97" s="1"/>
  <c r="AL37" i="97"/>
  <c r="AL31" i="97"/>
  <c r="AL32" i="97" s="1"/>
  <c r="AU41" i="97"/>
  <c r="AU31" i="97"/>
  <c r="AU32" i="97" s="1"/>
  <c r="AL17" i="97"/>
  <c r="AF18" i="97"/>
  <c r="AP18" i="97"/>
  <c r="AU18" i="97"/>
  <c r="I23" i="97"/>
  <c r="AR23" i="97"/>
  <c r="E141" i="97"/>
  <c r="E154" i="97" s="1"/>
  <c r="E32" i="97"/>
  <c r="M31" i="97"/>
  <c r="M32" i="97" s="1"/>
  <c r="U31" i="97"/>
  <c r="U32" i="97" s="1"/>
  <c r="D153" i="97"/>
  <c r="D38" i="97"/>
  <c r="D39" i="97" s="1"/>
  <c r="D37" i="97"/>
  <c r="H37" i="97"/>
  <c r="H38" i="97"/>
  <c r="H39" i="97" s="1"/>
  <c r="AI7" i="97"/>
  <c r="AS11" i="97"/>
  <c r="AN13" i="97"/>
  <c r="AI15" i="97"/>
  <c r="F41" i="97"/>
  <c r="F31" i="97"/>
  <c r="F32" i="97" s="1"/>
  <c r="J41" i="97"/>
  <c r="J157" i="97" s="1"/>
  <c r="J37" i="97"/>
  <c r="J97" i="97"/>
  <c r="J152" i="97" s="1"/>
  <c r="J31" i="97"/>
  <c r="N16" i="97"/>
  <c r="R37" i="97"/>
  <c r="R31" i="97"/>
  <c r="R32" i="97" s="1"/>
  <c r="AE37" i="97"/>
  <c r="AE31" i="97"/>
  <c r="AE32" i="97" s="1"/>
  <c r="W17" i="97"/>
  <c r="AA17" i="97"/>
  <c r="AE17" i="97"/>
  <c r="AQ17" i="97"/>
  <c r="AU17" i="97"/>
  <c r="H31" i="97"/>
  <c r="H32" i="97" s="1"/>
  <c r="P31" i="97"/>
  <c r="P32" i="97" s="1"/>
  <c r="AR33" i="97"/>
  <c r="AG34" i="97"/>
  <c r="O37" i="97"/>
  <c r="O39" i="97" s="1"/>
  <c r="AT37" i="97"/>
  <c r="L37" i="97"/>
  <c r="AL156" i="97"/>
  <c r="AM40" i="97"/>
  <c r="AD9" i="97"/>
  <c r="G41" i="97"/>
  <c r="G31" i="97"/>
  <c r="G32" i="97" s="1"/>
  <c r="K41" i="97"/>
  <c r="K31" i="97"/>
  <c r="K32" i="97" s="1"/>
  <c r="O97" i="97"/>
  <c r="O152" i="97" s="1"/>
  <c r="O31" i="97"/>
  <c r="AF41" i="97"/>
  <c r="AF37" i="97"/>
  <c r="T17" i="97"/>
  <c r="AB17" i="97"/>
  <c r="AF17" i="97"/>
  <c r="AJ17" i="97"/>
  <c r="Q31" i="97"/>
  <c r="Q32" i="97" s="1"/>
  <c r="AG31" i="97"/>
  <c r="AG32" i="97" s="1"/>
  <c r="AO42" i="97"/>
  <c r="AO34" i="97"/>
  <c r="AK34" i="97"/>
  <c r="K38" i="97"/>
  <c r="K39" i="97" s="1"/>
  <c r="K37" i="97"/>
  <c r="P38" i="97"/>
  <c r="P39" i="97" s="1"/>
  <c r="P37" i="97"/>
  <c r="AB38" i="97"/>
  <c r="AB39" i="97" s="1"/>
  <c r="AB37" i="97"/>
  <c r="AG37" i="97"/>
  <c r="AG38" i="97"/>
  <c r="AG39" i="97" s="1"/>
  <c r="AU38" i="97"/>
  <c r="AU39" i="97" s="1"/>
  <c r="AU37" i="97"/>
  <c r="Y97" i="97"/>
  <c r="Y152" i="97" s="1"/>
  <c r="AK152" i="97"/>
  <c r="AK41" i="97"/>
  <c r="AK157" i="97" s="1"/>
  <c r="AK97" i="97"/>
  <c r="AM152" i="97" s="1"/>
  <c r="AO41" i="97"/>
  <c r="AM157" i="97" s="1"/>
  <c r="AT41" i="97"/>
  <c r="AT31" i="97"/>
  <c r="AT32" i="97" s="1"/>
  <c r="Y17" i="97"/>
  <c r="AG17" i="97"/>
  <c r="AK17" i="97"/>
  <c r="AO17" i="97"/>
  <c r="D141" i="97"/>
  <c r="D154" i="97" s="1"/>
  <c r="D32" i="97"/>
  <c r="L31" i="97"/>
  <c r="L32" i="97" s="1"/>
  <c r="AB31" i="97"/>
  <c r="AB32" i="97" s="1"/>
  <c r="AJ31" i="97"/>
  <c r="Q42" i="97"/>
  <c r="U42" i="97"/>
  <c r="C153" i="97"/>
  <c r="C38" i="97"/>
  <c r="C39" i="97" s="1"/>
  <c r="C37" i="97"/>
  <c r="G38" i="97"/>
  <c r="G39" i="97" s="1"/>
  <c r="G37" i="97"/>
  <c r="Q37" i="97"/>
  <c r="Q38" i="97"/>
  <c r="Q39" i="97" s="1"/>
  <c r="U37" i="97"/>
  <c r="Y153" i="97"/>
  <c r="AQ38" i="97"/>
  <c r="AQ39" i="97" s="1"/>
  <c r="AQ37" i="97"/>
  <c r="U38" i="97"/>
  <c r="U39" i="97" s="1"/>
  <c r="AX32" i="97"/>
  <c r="Z37" i="97"/>
  <c r="Z31" i="97"/>
  <c r="Z32" i="97" s="1"/>
  <c r="AP41" i="97"/>
  <c r="AN157" i="97" s="1"/>
  <c r="AL97" i="97"/>
  <c r="AN152" i="97" s="1"/>
  <c r="AP31" i="97"/>
  <c r="AZ32" i="97"/>
  <c r="V17" i="97"/>
  <c r="AP17" i="97"/>
  <c r="AA18" i="97"/>
  <c r="AK18" i="97"/>
  <c r="AM33" i="97"/>
  <c r="O42" i="97"/>
  <c r="E37" i="97"/>
  <c r="E153" i="97"/>
  <c r="M37" i="97"/>
  <c r="AJ38" i="97"/>
  <c r="AJ39" i="97" s="1"/>
  <c r="AJ153" i="97"/>
  <c r="AJ37" i="97"/>
  <c r="O157" i="97"/>
  <c r="N40" i="97"/>
  <c r="N38" i="97" s="1"/>
  <c r="O156" i="97"/>
  <c r="W41" i="97"/>
  <c r="W42" i="97"/>
  <c r="AA41" i="97"/>
  <c r="AE41" i="97"/>
  <c r="AE42" i="97"/>
  <c r="AJ156" i="97"/>
  <c r="AJ42" i="97"/>
  <c r="S42" i="97"/>
  <c r="H42" i="97"/>
  <c r="H34" i="97"/>
  <c r="I34" i="97" s="1"/>
  <c r="AV42" i="97"/>
  <c r="AU42" i="97"/>
  <c r="O153" i="97"/>
  <c r="S38" i="97"/>
  <c r="AK37" i="97"/>
  <c r="AK153" i="97"/>
  <c r="AM153" i="97"/>
  <c r="AO37" i="97"/>
  <c r="AO38" i="97"/>
  <c r="AO39" i="97" s="1"/>
  <c r="W37" i="97"/>
  <c r="AK38" i="97"/>
  <c r="AK39" i="97" s="1"/>
  <c r="E42" i="97"/>
  <c r="E156" i="97"/>
  <c r="E41" i="97"/>
  <c r="E157" i="97" s="1"/>
  <c r="P42" i="97"/>
  <c r="AB42" i="97"/>
  <c r="AF42" i="97"/>
  <c r="P41" i="97"/>
  <c r="AJ41" i="97"/>
  <c r="AJ157" i="97" s="1"/>
  <c r="AQ42" i="97"/>
  <c r="B41" i="97"/>
  <c r="B157" i="97" s="1"/>
  <c r="B158" i="97" s="1"/>
  <c r="B156" i="97"/>
  <c r="AL41" i="97"/>
  <c r="R41" i="97"/>
  <c r="V41" i="97"/>
  <c r="Z41" i="97"/>
  <c r="AH40" i="97"/>
  <c r="AI156" i="97"/>
  <c r="AS158" i="97"/>
  <c r="AQ158" i="97"/>
  <c r="D42" i="97"/>
  <c r="AJ46" i="96"/>
  <c r="AM49" i="96"/>
  <c r="AL30" i="96"/>
  <c r="AF47" i="96"/>
  <c r="AH17" i="96"/>
  <c r="AJ45" i="96"/>
  <c r="AK49" i="96"/>
  <c r="AG49" i="96"/>
  <c r="AJ47" i="96"/>
  <c r="AJ39" i="96"/>
  <c r="AJ41" i="96" s="1"/>
  <c r="AH18" i="96"/>
  <c r="AI26" i="96"/>
  <c r="AD30" i="96"/>
  <c r="AK41" i="96"/>
  <c r="AH19" i="96"/>
  <c r="AH16" i="96"/>
  <c r="AH20" i="96"/>
  <c r="AE24" i="96"/>
  <c r="AF39" i="96"/>
  <c r="AF41" i="96" s="1"/>
  <c r="AF45" i="96"/>
  <c r="AF44" i="96"/>
  <c r="J30" i="96"/>
  <c r="I30" i="96"/>
  <c r="AJ48" i="96"/>
  <c r="AI28" i="96"/>
  <c r="H30" i="96"/>
  <c r="AJ44" i="96"/>
  <c r="AI24" i="96"/>
  <c r="I49" i="96"/>
  <c r="AF48" i="96"/>
  <c r="AE28" i="96"/>
  <c r="AE26" i="96"/>
  <c r="AF46" i="96"/>
  <c r="H49" i="96"/>
  <c r="AL49" i="96"/>
  <c r="AL41" i="96"/>
  <c r="AL16" i="96"/>
  <c r="AL19" i="96"/>
  <c r="AH49" i="96"/>
  <c r="AH41" i="96"/>
  <c r="AF25" i="96"/>
  <c r="AE25" i="96"/>
  <c r="AF27" i="96"/>
  <c r="AE27" i="96"/>
  <c r="AE29" i="96"/>
  <c r="AF29" i="96"/>
  <c r="AI20" i="96"/>
  <c r="AI19" i="96"/>
  <c r="AI18" i="96"/>
  <c r="AI17" i="96"/>
  <c r="AI16" i="96"/>
  <c r="J16" i="96"/>
  <c r="J17" i="96"/>
  <c r="J18" i="96"/>
  <c r="J19" i="96"/>
  <c r="J49" i="96"/>
  <c r="J41" i="96"/>
  <c r="AD49" i="96"/>
  <c r="AD41" i="96"/>
  <c r="AI49" i="96"/>
  <c r="AL17" i="96"/>
  <c r="AL18" i="96"/>
  <c r="AL20" i="96"/>
  <c r="AJ25" i="96"/>
  <c r="AI25" i="96"/>
  <c r="AJ27" i="96"/>
  <c r="AI27" i="96"/>
  <c r="AI29" i="96"/>
  <c r="AJ29" i="96"/>
  <c r="K20" i="96"/>
  <c r="K30" i="96"/>
  <c r="K19" i="96"/>
  <c r="K18" i="96"/>
  <c r="K17" i="96"/>
  <c r="K16" i="96"/>
  <c r="AE19" i="96"/>
  <c r="AE18" i="96"/>
  <c r="AE17" i="96"/>
  <c r="AE16" i="96"/>
  <c r="AE20" i="96"/>
  <c r="AK30" i="96"/>
  <c r="AD16" i="96"/>
  <c r="AD17" i="96"/>
  <c r="AD18" i="96"/>
  <c r="AD19" i="96"/>
  <c r="K49" i="96"/>
  <c r="AE49" i="96"/>
  <c r="AM19" i="96"/>
  <c r="AM20" i="96"/>
  <c r="AM30" i="96"/>
  <c r="AF12" i="96"/>
  <c r="AJ12" i="96"/>
  <c r="H17" i="96"/>
  <c r="H18" i="96"/>
  <c r="H19" i="96"/>
  <c r="H20" i="96"/>
  <c r="AM16" i="96"/>
  <c r="AM17" i="96"/>
  <c r="I16" i="96"/>
  <c r="AG16" i="96"/>
  <c r="AK16" i="96"/>
  <c r="I17" i="96"/>
  <c r="AG17" i="96"/>
  <c r="AK17" i="96"/>
  <c r="I18" i="96"/>
  <c r="AG18" i="96"/>
  <c r="AK18" i="96"/>
  <c r="I19" i="96"/>
  <c r="AG19" i="96"/>
  <c r="AK19" i="96"/>
  <c r="I20" i="96"/>
  <c r="AG20" i="96"/>
  <c r="AK20" i="96"/>
  <c r="AE41" i="96"/>
  <c r="AI41" i="96"/>
  <c r="AM41" i="96"/>
  <c r="BE43" i="99" l="1"/>
  <c r="BE45" i="99" s="1"/>
  <c r="BE50" i="99"/>
  <c r="AN32" i="97"/>
  <c r="Z24" i="97"/>
  <c r="AA24" i="97" s="1"/>
  <c r="AB24" i="97" s="1"/>
  <c r="N24" i="97"/>
  <c r="BB34" i="97"/>
  <c r="AZ22" i="97"/>
  <c r="AZ21" i="97" s="1"/>
  <c r="AY21" i="97"/>
  <c r="AZ38" i="97"/>
  <c r="BB36" i="97"/>
  <c r="S23" i="97"/>
  <c r="S24" i="97" s="1"/>
  <c r="AF49" i="96"/>
  <c r="AJ19" i="96"/>
  <c r="AZ42" i="97"/>
  <c r="AN41" i="97"/>
  <c r="AN39" i="97" s="1"/>
  <c r="AR36" i="97"/>
  <c r="AX38" i="97"/>
  <c r="AW38" i="97" s="1"/>
  <c r="AW39" i="97" s="1"/>
  <c r="AS38" i="97"/>
  <c r="AR38" i="97" s="1"/>
  <c r="Y141" i="97"/>
  <c r="Y154" i="97" s="1"/>
  <c r="Y158" i="97" s="1"/>
  <c r="AJ13" i="99"/>
  <c r="AJ42" i="99" s="1"/>
  <c r="AR42" i="97"/>
  <c r="AM36" i="97"/>
  <c r="AS41" i="97"/>
  <c r="AS39" i="97" s="1"/>
  <c r="AJ6" i="99"/>
  <c r="I39" i="97"/>
  <c r="AL153" i="97"/>
  <c r="AN42" i="97"/>
  <c r="AI17" i="99"/>
  <c r="AI13" i="99"/>
  <c r="AI42" i="99" s="1"/>
  <c r="AJ28" i="99"/>
  <c r="AJ29" i="99" s="1"/>
  <c r="AK13" i="99"/>
  <c r="AK42" i="99" s="1"/>
  <c r="Y39" i="97"/>
  <c r="AW36" i="97"/>
  <c r="AW37" i="97" s="1"/>
  <c r="N39" i="97"/>
  <c r="X17" i="97"/>
  <c r="D158" i="97"/>
  <c r="S39" i="97"/>
  <c r="I37" i="97"/>
  <c r="AY42" i="97"/>
  <c r="AS32" i="97"/>
  <c r="AR16" i="97"/>
  <c r="AW17" i="97" s="1"/>
  <c r="AX17" i="97"/>
  <c r="AI153" i="97"/>
  <c r="I42" i="97"/>
  <c r="AD153" i="97"/>
  <c r="AW42" i="97"/>
  <c r="AK158" i="97"/>
  <c r="I24" i="97"/>
  <c r="E158" i="97"/>
  <c r="X23" i="97"/>
  <c r="S37" i="97"/>
  <c r="AI17" i="97"/>
  <c r="AS17" i="97"/>
  <c r="AH37" i="97"/>
  <c r="AI141" i="97"/>
  <c r="AI154" i="97" s="1"/>
  <c r="N37" i="97"/>
  <c r="AI97" i="97"/>
  <c r="AI152" i="97" s="1"/>
  <c r="S41" i="97"/>
  <c r="AM158" i="97"/>
  <c r="AB18" i="97"/>
  <c r="AA19" i="97"/>
  <c r="N41" i="97"/>
  <c r="N42" i="97"/>
  <c r="AU19" i="97"/>
  <c r="AV18" i="97"/>
  <c r="AH21" i="97"/>
  <c r="AI23" i="97"/>
  <c r="AH23" i="97" s="1"/>
  <c r="AH41" i="97"/>
  <c r="AK19" i="97"/>
  <c r="AL18" i="97"/>
  <c r="AJ154" i="97"/>
  <c r="AJ158" i="97" s="1"/>
  <c r="AJ32" i="97"/>
  <c r="AR34" i="97"/>
  <c r="AH34" i="97"/>
  <c r="AF19" i="97"/>
  <c r="AG18" i="97"/>
  <c r="AH38" i="97"/>
  <c r="AH39" i="97" s="1"/>
  <c r="AM42" i="97"/>
  <c r="J141" i="97"/>
  <c r="J154" i="97" s="1"/>
  <c r="J158" i="97" s="1"/>
  <c r="J32" i="97"/>
  <c r="AM38" i="97"/>
  <c r="AD97" i="97"/>
  <c r="AD152" i="97" s="1"/>
  <c r="AD17" i="97"/>
  <c r="AC16" i="97"/>
  <c r="AH17" i="97" s="1"/>
  <c r="N34" i="97"/>
  <c r="AL141" i="97"/>
  <c r="AN154" i="97" s="1"/>
  <c r="AN158" i="97" s="1"/>
  <c r="AP32" i="97"/>
  <c r="AJ97" i="97"/>
  <c r="AL152" i="97" s="1"/>
  <c r="AN17" i="97"/>
  <c r="AJ141" i="97"/>
  <c r="AL154" i="97" s="1"/>
  <c r="AM16" i="97"/>
  <c r="O141" i="97"/>
  <c r="O154" i="97" s="1"/>
  <c r="O158" i="97" s="1"/>
  <c r="O32" i="97"/>
  <c r="AM34" i="97"/>
  <c r="AP19" i="97"/>
  <c r="AQ18" i="97"/>
  <c r="AF20" i="96"/>
  <c r="AF18" i="96"/>
  <c r="AF16" i="96"/>
  <c r="AJ20" i="96"/>
  <c r="AJ16" i="96"/>
  <c r="AJ18" i="96"/>
  <c r="AE30" i="96"/>
  <c r="AJ30" i="96"/>
  <c r="AI30" i="96"/>
  <c r="AF17" i="96"/>
  <c r="AF30" i="96"/>
  <c r="AJ17" i="96"/>
  <c r="AF19" i="96"/>
  <c r="AJ49" i="96"/>
  <c r="BB22" i="97" l="1"/>
  <c r="BB21" i="97"/>
  <c r="AY19" i="97"/>
  <c r="AY16" i="97"/>
  <c r="AY23" i="97"/>
  <c r="AZ23" i="97"/>
  <c r="AZ19" i="97"/>
  <c r="AZ16" i="97"/>
  <c r="BB42" i="97"/>
  <c r="BB38" i="97"/>
  <c r="AR39" i="97"/>
  <c r="AR17" i="97"/>
  <c r="AR41" i="97"/>
  <c r="AK28" i="99"/>
  <c r="AD39" i="97"/>
  <c r="AD31" i="97"/>
  <c r="AR37" i="97"/>
  <c r="AM39" i="97"/>
  <c r="AI32" i="97"/>
  <c r="AG19" i="97"/>
  <c r="AH18" i="97"/>
  <c r="AH19" i="97" s="1"/>
  <c r="AR18" i="97"/>
  <c r="AR19" i="97" s="1"/>
  <c r="AQ19" i="97"/>
  <c r="AM17" i="97"/>
  <c r="AM37" i="97"/>
  <c r="AD23" i="97"/>
  <c r="AD24" i="97" s="1"/>
  <c r="AI24" i="97" s="1"/>
  <c r="AN24" i="97" s="1"/>
  <c r="AS24" i="97" s="1"/>
  <c r="AX24" i="97" s="1"/>
  <c r="BC24" i="97" s="1"/>
  <c r="AC21" i="97"/>
  <c r="AC23" i="97" s="1"/>
  <c r="AC24" i="97" s="1"/>
  <c r="AL19" i="97"/>
  <c r="AM18" i="97"/>
  <c r="AM19" i="97" s="1"/>
  <c r="AC18" i="97"/>
  <c r="AC19" i="97" s="1"/>
  <c r="AB19" i="97"/>
  <c r="AC17" i="97"/>
  <c r="AM41" i="97"/>
  <c r="AW18" i="97"/>
  <c r="AW19" i="97" s="1"/>
  <c r="AV19" i="97"/>
  <c r="AJ86" i="95"/>
  <c r="AJ87" i="95" s="1"/>
  <c r="AJ73" i="95"/>
  <c r="AI86" i="95"/>
  <c r="AR58" i="95"/>
  <c r="AQ58" i="95"/>
  <c r="AP58" i="95"/>
  <c r="AO58" i="95"/>
  <c r="AN58" i="95"/>
  <c r="AM58" i="95"/>
  <c r="AL58" i="95"/>
  <c r="AJ58" i="95"/>
  <c r="AI58" i="95"/>
  <c r="M107" i="95"/>
  <c r="M108" i="95" s="1"/>
  <c r="L107" i="95"/>
  <c r="L108" i="95" s="1"/>
  <c r="M75" i="95"/>
  <c r="K143" i="95"/>
  <c r="J143" i="95"/>
  <c r="I143" i="95"/>
  <c r="AO110" i="95"/>
  <c r="AK110" i="95"/>
  <c r="AO106" i="95"/>
  <c r="AK106" i="95"/>
  <c r="AR147" i="95"/>
  <c r="AQ147" i="95"/>
  <c r="AP147" i="95"/>
  <c r="AN147" i="95"/>
  <c r="AM147" i="95"/>
  <c r="AL147" i="95"/>
  <c r="AJ147" i="95"/>
  <c r="AI147" i="95"/>
  <c r="M147" i="95"/>
  <c r="L147" i="95"/>
  <c r="K147" i="95"/>
  <c r="J147" i="95"/>
  <c r="I147" i="95"/>
  <c r="H147" i="95"/>
  <c r="B147" i="95"/>
  <c r="H143" i="95"/>
  <c r="AR10" i="95"/>
  <c r="AR237" i="95" s="1"/>
  <c r="AR239" i="95" s="1"/>
  <c r="AN10" i="95"/>
  <c r="AN237" i="95" s="1"/>
  <c r="AN239" i="95" s="1"/>
  <c r="AQ10" i="95"/>
  <c r="AQ237" i="95" s="1"/>
  <c r="AQ239" i="95" s="1"/>
  <c r="AM10" i="95"/>
  <c r="AM237" i="95" s="1"/>
  <c r="AM239" i="95" s="1"/>
  <c r="AP10" i="95"/>
  <c r="AP237" i="95" s="1"/>
  <c r="AP239" i="95" s="1"/>
  <c r="AP5" i="95"/>
  <c r="AP26" i="95" s="1"/>
  <c r="AL10" i="95"/>
  <c r="AL237" i="95" s="1"/>
  <c r="AL239" i="95" s="1"/>
  <c r="AI10" i="95"/>
  <c r="AI237" i="95" s="1"/>
  <c r="AI239" i="95" s="1"/>
  <c r="L10" i="95"/>
  <c r="L237" i="95" s="1"/>
  <c r="L239" i="95" s="1"/>
  <c r="K10" i="95"/>
  <c r="K237" i="95" s="1"/>
  <c r="K239" i="95" s="1"/>
  <c r="J10" i="95"/>
  <c r="J237" i="95" s="1"/>
  <c r="J239" i="95" s="1"/>
  <c r="I10" i="95"/>
  <c r="I237" i="95" s="1"/>
  <c r="I239" i="95" s="1"/>
  <c r="L26" i="95"/>
  <c r="J228" i="95"/>
  <c r="I228" i="95"/>
  <c r="H228" i="95"/>
  <c r="K227" i="95"/>
  <c r="K214" i="95"/>
  <c r="I210" i="95"/>
  <c r="I211" i="95" s="1"/>
  <c r="H210" i="95"/>
  <c r="H211" i="95" s="1"/>
  <c r="K209" i="95"/>
  <c r="J209" i="95"/>
  <c r="K208" i="95"/>
  <c r="J208" i="95"/>
  <c r="K207" i="95"/>
  <c r="J207" i="95"/>
  <c r="M203" i="95"/>
  <c r="L203" i="95"/>
  <c r="K201" i="95"/>
  <c r="K203" i="95" s="1"/>
  <c r="J201" i="95"/>
  <c r="J203" i="95" s="1"/>
  <c r="I201" i="95"/>
  <c r="I203" i="95" s="1"/>
  <c r="I204" i="95" s="1"/>
  <c r="H201" i="95"/>
  <c r="H203" i="95" s="1"/>
  <c r="H204" i="95" s="1"/>
  <c r="M193" i="95"/>
  <c r="L193" i="95"/>
  <c r="K193" i="95"/>
  <c r="J193" i="95"/>
  <c r="I193" i="95"/>
  <c r="H193" i="95"/>
  <c r="M192" i="95"/>
  <c r="L192" i="95"/>
  <c r="K192" i="95"/>
  <c r="J192" i="95"/>
  <c r="I192" i="95"/>
  <c r="H192" i="95"/>
  <c r="M191" i="95"/>
  <c r="L191" i="95"/>
  <c r="K191" i="95"/>
  <c r="J191" i="95"/>
  <c r="I191" i="95"/>
  <c r="H191" i="95"/>
  <c r="M190" i="95"/>
  <c r="L190" i="95"/>
  <c r="K190" i="95"/>
  <c r="J190" i="95"/>
  <c r="I190" i="95"/>
  <c r="H190" i="95"/>
  <c r="M189" i="95"/>
  <c r="L189" i="95"/>
  <c r="K189" i="95"/>
  <c r="J189" i="95"/>
  <c r="I189" i="95"/>
  <c r="H189" i="95"/>
  <c r="M188" i="95"/>
  <c r="L188" i="95"/>
  <c r="K188" i="95"/>
  <c r="J188" i="95"/>
  <c r="I188" i="95"/>
  <c r="H188" i="95"/>
  <c r="M185" i="95"/>
  <c r="M194" i="95" s="1"/>
  <c r="L185" i="95"/>
  <c r="L194" i="95" s="1"/>
  <c r="K185" i="95"/>
  <c r="K194" i="95" s="1"/>
  <c r="J185" i="95"/>
  <c r="J186" i="95" s="1"/>
  <c r="I185" i="95"/>
  <c r="I194" i="95" s="1"/>
  <c r="H185" i="95"/>
  <c r="H186" i="95" s="1"/>
  <c r="M177" i="95"/>
  <c r="L177" i="95"/>
  <c r="K176" i="95"/>
  <c r="J176" i="95"/>
  <c r="I176" i="95"/>
  <c r="H176" i="95"/>
  <c r="K175" i="95"/>
  <c r="J174" i="95"/>
  <c r="I174" i="95"/>
  <c r="H174" i="95"/>
  <c r="J173" i="95"/>
  <c r="I173" i="95"/>
  <c r="H173" i="95"/>
  <c r="J172" i="95"/>
  <c r="I172" i="95"/>
  <c r="H172" i="95"/>
  <c r="J171" i="95"/>
  <c r="I171" i="95"/>
  <c r="H171" i="95"/>
  <c r="J170" i="95"/>
  <c r="I170" i="95"/>
  <c r="H170" i="95"/>
  <c r="M166" i="95"/>
  <c r="L166" i="95"/>
  <c r="K165" i="95"/>
  <c r="K164" i="95"/>
  <c r="J164" i="95"/>
  <c r="I164" i="95"/>
  <c r="I166" i="95" s="1"/>
  <c r="I177" i="95" s="1"/>
  <c r="H164" i="95"/>
  <c r="AR156" i="95"/>
  <c r="AQ156" i="95"/>
  <c r="AP156" i="95"/>
  <c r="AO156" i="95"/>
  <c r="AN156" i="95"/>
  <c r="AM156" i="95"/>
  <c r="AL156" i="95"/>
  <c r="AK156" i="95"/>
  <c r="AJ156" i="95"/>
  <c r="AI156" i="95"/>
  <c r="M156" i="95"/>
  <c r="L156" i="95"/>
  <c r="K156" i="95"/>
  <c r="J156" i="95"/>
  <c r="I156" i="95"/>
  <c r="H156" i="95"/>
  <c r="AR148" i="95"/>
  <c r="AQ148" i="95"/>
  <c r="AP148" i="95"/>
  <c r="AN148" i="95"/>
  <c r="AM148" i="95"/>
  <c r="AL148" i="95"/>
  <c r="AJ148" i="95"/>
  <c r="AI148" i="95"/>
  <c r="M148" i="95"/>
  <c r="L148" i="95"/>
  <c r="K148" i="95"/>
  <c r="J148" i="95"/>
  <c r="I148" i="95"/>
  <c r="H148" i="95"/>
  <c r="B148" i="95"/>
  <c r="AR146" i="95"/>
  <c r="AQ146" i="95"/>
  <c r="AP146" i="95"/>
  <c r="AN146" i="95"/>
  <c r="AM146" i="95"/>
  <c r="AL146" i="95"/>
  <c r="AJ146" i="95"/>
  <c r="AI146" i="95"/>
  <c r="M146" i="95"/>
  <c r="L146" i="95"/>
  <c r="K146" i="95"/>
  <c r="J146" i="95"/>
  <c r="I146" i="95"/>
  <c r="H146" i="95"/>
  <c r="B146" i="95"/>
  <c r="AR143" i="95"/>
  <c r="AQ143" i="95"/>
  <c r="AP143" i="95"/>
  <c r="AN143" i="95"/>
  <c r="AM143" i="95"/>
  <c r="AL143" i="95"/>
  <c r="AJ143" i="95"/>
  <c r="AI143" i="95"/>
  <c r="M143" i="95"/>
  <c r="L143" i="95"/>
  <c r="AR142" i="95"/>
  <c r="AQ142" i="95"/>
  <c r="AP142" i="95"/>
  <c r="AN142" i="95"/>
  <c r="AM142" i="95"/>
  <c r="AL142" i="95"/>
  <c r="AJ142" i="95"/>
  <c r="AI142" i="95"/>
  <c r="M142" i="95"/>
  <c r="L142" i="95"/>
  <c r="K142" i="95"/>
  <c r="J142" i="95"/>
  <c r="I142" i="95"/>
  <c r="H142" i="95"/>
  <c r="B142" i="95"/>
  <c r="AR140" i="95"/>
  <c r="AQ140" i="95"/>
  <c r="AP140" i="95"/>
  <c r="AN140" i="95"/>
  <c r="AM140" i="95"/>
  <c r="AL140" i="95"/>
  <c r="AJ140" i="95"/>
  <c r="AI140" i="95"/>
  <c r="M140" i="95"/>
  <c r="L140" i="95"/>
  <c r="K140" i="95"/>
  <c r="J140" i="95"/>
  <c r="I140" i="95"/>
  <c r="H140" i="95"/>
  <c r="B140" i="95"/>
  <c r="AR139" i="95"/>
  <c r="AQ139" i="95"/>
  <c r="AP139" i="95"/>
  <c r="AN139" i="95"/>
  <c r="AM139" i="95"/>
  <c r="AL139" i="95"/>
  <c r="AJ139" i="95"/>
  <c r="AI139" i="95"/>
  <c r="M139" i="95"/>
  <c r="L139" i="95"/>
  <c r="K139" i="95"/>
  <c r="J139" i="95"/>
  <c r="I139" i="95"/>
  <c r="H139" i="95"/>
  <c r="B139" i="95"/>
  <c r="AO130" i="95"/>
  <c r="AK130" i="95"/>
  <c r="AO129" i="95"/>
  <c r="AK129" i="95"/>
  <c r="AR128" i="95"/>
  <c r="AQ128" i="95"/>
  <c r="AP128" i="95"/>
  <c r="AN128" i="95"/>
  <c r="AM128" i="95"/>
  <c r="AL128" i="95"/>
  <c r="AJ128" i="95"/>
  <c r="AI128" i="95"/>
  <c r="M128" i="95"/>
  <c r="L128" i="95"/>
  <c r="K128" i="95"/>
  <c r="J128" i="95"/>
  <c r="I128" i="95"/>
  <c r="H128" i="95"/>
  <c r="AO127" i="95"/>
  <c r="AK127" i="95"/>
  <c r="AO126" i="95"/>
  <c r="AK126" i="95"/>
  <c r="AO125" i="95"/>
  <c r="AK125" i="95"/>
  <c r="AO124" i="95"/>
  <c r="AO143" i="95" s="1"/>
  <c r="AK124" i="95"/>
  <c r="AK143" i="95" s="1"/>
  <c r="AO123" i="95"/>
  <c r="AK123" i="95"/>
  <c r="AR122" i="95"/>
  <c r="AQ122" i="95"/>
  <c r="AP122" i="95"/>
  <c r="AN122" i="95"/>
  <c r="AM122" i="95"/>
  <c r="AL122" i="95"/>
  <c r="AJ122" i="95"/>
  <c r="AI122" i="95"/>
  <c r="M122" i="95"/>
  <c r="L122" i="95"/>
  <c r="K122" i="95"/>
  <c r="K131" i="95" s="1"/>
  <c r="K134" i="95" s="1"/>
  <c r="J122" i="95"/>
  <c r="I122" i="95"/>
  <c r="H122" i="95"/>
  <c r="H131" i="95" s="1"/>
  <c r="H134" i="95" s="1"/>
  <c r="AO121" i="95"/>
  <c r="AO140" i="95" s="1"/>
  <c r="AK121" i="95"/>
  <c r="AK140" i="95" s="1"/>
  <c r="AO119" i="95"/>
  <c r="AK119" i="95"/>
  <c r="AO118" i="95"/>
  <c r="AK118" i="95"/>
  <c r="AO117" i="95"/>
  <c r="AO139" i="95" s="1"/>
  <c r="AK117" i="95"/>
  <c r="AK139" i="95" s="1"/>
  <c r="AR115" i="95"/>
  <c r="AQ115" i="95"/>
  <c r="AP115" i="95"/>
  <c r="AN115" i="95"/>
  <c r="AM115" i="95"/>
  <c r="AL115" i="95"/>
  <c r="AJ115" i="95"/>
  <c r="AI115" i="95"/>
  <c r="M115" i="95"/>
  <c r="L115" i="95"/>
  <c r="K115" i="95"/>
  <c r="J115" i="95"/>
  <c r="I115" i="95"/>
  <c r="H115" i="95"/>
  <c r="AO114" i="95"/>
  <c r="AK114" i="95"/>
  <c r="AO113" i="95"/>
  <c r="AK113" i="95"/>
  <c r="AO112" i="95"/>
  <c r="AK112" i="95"/>
  <c r="AO111" i="95"/>
  <c r="AK111" i="95"/>
  <c r="AO109" i="95"/>
  <c r="AO148" i="95" s="1"/>
  <c r="AK109" i="95"/>
  <c r="AK148" i="95" s="1"/>
  <c r="AR108" i="95"/>
  <c r="AQ108" i="95"/>
  <c r="AP108" i="95"/>
  <c r="AN108" i="95"/>
  <c r="AM108" i="95"/>
  <c r="AL108" i="95"/>
  <c r="AJ108" i="95"/>
  <c r="AI108" i="95"/>
  <c r="K108" i="95"/>
  <c r="J108" i="95"/>
  <c r="I108" i="95"/>
  <c r="H108" i="95"/>
  <c r="AO107" i="95"/>
  <c r="AK107" i="95"/>
  <c r="AO105" i="95"/>
  <c r="AK105" i="95"/>
  <c r="AO104" i="95"/>
  <c r="AK104" i="95"/>
  <c r="AO103" i="95"/>
  <c r="AO147" i="95" s="1"/>
  <c r="AK103" i="95"/>
  <c r="AK147" i="95" s="1"/>
  <c r="AO102" i="95"/>
  <c r="AO146" i="95" s="1"/>
  <c r="AK102" i="95"/>
  <c r="AK146" i="95" s="1"/>
  <c r="AR101" i="95"/>
  <c r="AQ101" i="95"/>
  <c r="AP101" i="95"/>
  <c r="AO101" i="95"/>
  <c r="AN101" i="95"/>
  <c r="AM101" i="95"/>
  <c r="AL101" i="95"/>
  <c r="AK101" i="95"/>
  <c r="AJ101" i="95"/>
  <c r="AI101" i="95"/>
  <c r="M101" i="95"/>
  <c r="L101" i="95"/>
  <c r="K101" i="95"/>
  <c r="J101" i="95"/>
  <c r="I101" i="95"/>
  <c r="H101" i="95"/>
  <c r="AK92" i="95"/>
  <c r="AR87" i="95"/>
  <c r="AQ87" i="95"/>
  <c r="AP87" i="95"/>
  <c r="AO87" i="95"/>
  <c r="AN87" i="95"/>
  <c r="AM87" i="95"/>
  <c r="AL87" i="95"/>
  <c r="M87" i="95"/>
  <c r="L87" i="95"/>
  <c r="K87" i="95"/>
  <c r="J87" i="95"/>
  <c r="I87" i="95"/>
  <c r="H87" i="95"/>
  <c r="AK86" i="95"/>
  <c r="AK85" i="95"/>
  <c r="AK84" i="95"/>
  <c r="AK83" i="95"/>
  <c r="AK82" i="95"/>
  <c r="AR80" i="95"/>
  <c r="AQ80" i="95"/>
  <c r="AP80" i="95"/>
  <c r="AO80" i="95"/>
  <c r="AN80" i="95"/>
  <c r="AM80" i="95"/>
  <c r="AL80" i="95"/>
  <c r="AI80" i="95"/>
  <c r="L80" i="95"/>
  <c r="K80" i="95"/>
  <c r="J80" i="95"/>
  <c r="I80" i="95"/>
  <c r="H80" i="95"/>
  <c r="AK79" i="95"/>
  <c r="AK78" i="95"/>
  <c r="AK77" i="95"/>
  <c r="AK76" i="95"/>
  <c r="AK75" i="95"/>
  <c r="AK73" i="95"/>
  <c r="AR69" i="95"/>
  <c r="AQ69" i="95"/>
  <c r="AP69" i="95"/>
  <c r="AO69" i="95"/>
  <c r="AN69" i="95"/>
  <c r="AM69" i="95"/>
  <c r="AL69" i="95"/>
  <c r="AJ69" i="95"/>
  <c r="AI69" i="95"/>
  <c r="M69" i="95"/>
  <c r="L69" i="95"/>
  <c r="K69" i="95"/>
  <c r="J69" i="95"/>
  <c r="I69" i="95"/>
  <c r="H69" i="95"/>
  <c r="H257" i="95" s="1"/>
  <c r="AK68" i="95"/>
  <c r="AK67" i="95"/>
  <c r="AK66" i="95"/>
  <c r="AK65" i="95"/>
  <c r="AK64" i="95"/>
  <c r="AK63" i="95"/>
  <c r="AK53" i="95"/>
  <c r="AK246" i="95" s="1"/>
  <c r="AK52" i="95"/>
  <c r="AK51" i="95"/>
  <c r="AK50" i="95"/>
  <c r="AK49" i="95"/>
  <c r="AK250" i="95" s="1"/>
  <c r="AK251" i="95" s="1"/>
  <c r="AK48" i="95"/>
  <c r="AK47" i="95"/>
  <c r="AK234" i="95" s="1"/>
  <c r="AK46" i="95"/>
  <c r="AR43" i="95"/>
  <c r="AQ43" i="95"/>
  <c r="AP43" i="95"/>
  <c r="AO43" i="95"/>
  <c r="AN43" i="95"/>
  <c r="AM43" i="95"/>
  <c r="AL43" i="95"/>
  <c r="AK43" i="95"/>
  <c r="AJ43" i="95"/>
  <c r="AI43" i="95"/>
  <c r="M43" i="95"/>
  <c r="L43" i="95"/>
  <c r="K43" i="95"/>
  <c r="J43" i="95"/>
  <c r="I43" i="95"/>
  <c r="H43" i="95"/>
  <c r="B39" i="95"/>
  <c r="AR38" i="95"/>
  <c r="AQ38" i="95"/>
  <c r="AP38" i="95"/>
  <c r="AN38" i="95"/>
  <c r="AM38" i="95"/>
  <c r="AL38" i="95"/>
  <c r="AJ38" i="95"/>
  <c r="AI38" i="95"/>
  <c r="M38" i="95"/>
  <c r="L38" i="95"/>
  <c r="K38" i="95"/>
  <c r="J38" i="95"/>
  <c r="I38" i="95"/>
  <c r="H38" i="95"/>
  <c r="B38" i="95"/>
  <c r="B37" i="95"/>
  <c r="B36" i="95"/>
  <c r="AR35" i="95"/>
  <c r="AQ35" i="95"/>
  <c r="AP35" i="95"/>
  <c r="AN35" i="95"/>
  <c r="AM35" i="95"/>
  <c r="AL35" i="95"/>
  <c r="AJ35" i="95"/>
  <c r="AI35" i="95"/>
  <c r="M35" i="95"/>
  <c r="L35" i="95"/>
  <c r="K35" i="95"/>
  <c r="J35" i="95"/>
  <c r="I35" i="95"/>
  <c r="H35" i="95"/>
  <c r="B35" i="95"/>
  <c r="AR34" i="95"/>
  <c r="AQ34" i="95"/>
  <c r="AP34" i="95"/>
  <c r="AN34" i="95"/>
  <c r="AM34" i="95"/>
  <c r="AL34" i="95"/>
  <c r="AJ34" i="95"/>
  <c r="AI34" i="95"/>
  <c r="M34" i="95"/>
  <c r="L34" i="95"/>
  <c r="K34" i="95"/>
  <c r="J34" i="95"/>
  <c r="I34" i="95"/>
  <c r="H34" i="95"/>
  <c r="B34" i="95"/>
  <c r="AR33" i="95"/>
  <c r="AQ33" i="95"/>
  <c r="AP33" i="95"/>
  <c r="AN33" i="95"/>
  <c r="AM33" i="95"/>
  <c r="AL33" i="95"/>
  <c r="AJ33" i="95"/>
  <c r="AI33" i="95"/>
  <c r="M33" i="95"/>
  <c r="L33" i="95"/>
  <c r="K33" i="95"/>
  <c r="J33" i="95"/>
  <c r="I33" i="95"/>
  <c r="H33" i="95"/>
  <c r="B32" i="95"/>
  <c r="AR31" i="95"/>
  <c r="AQ31" i="95"/>
  <c r="AP31" i="95"/>
  <c r="AN31" i="95"/>
  <c r="AM31" i="95"/>
  <c r="AL31" i="95"/>
  <c r="AJ31" i="95"/>
  <c r="AI31" i="95"/>
  <c r="M31" i="95"/>
  <c r="L31" i="95"/>
  <c r="K31" i="95"/>
  <c r="J31" i="95"/>
  <c r="I31" i="95"/>
  <c r="H31" i="95"/>
  <c r="AJ30" i="95"/>
  <c r="B30" i="95"/>
  <c r="AR29" i="95"/>
  <c r="AQ29" i="95"/>
  <c r="AP29" i="95"/>
  <c r="AN29" i="95"/>
  <c r="AM29" i="95"/>
  <c r="AL29" i="95"/>
  <c r="AJ29" i="95"/>
  <c r="AI29" i="95"/>
  <c r="M29" i="95"/>
  <c r="L29" i="95"/>
  <c r="K29" i="95"/>
  <c r="J29" i="95"/>
  <c r="I29" i="95"/>
  <c r="H29" i="95"/>
  <c r="B29" i="95"/>
  <c r="AR28" i="95"/>
  <c r="AQ28" i="95"/>
  <c r="AP28" i="95"/>
  <c r="AN28" i="95"/>
  <c r="AM28" i="95"/>
  <c r="AL28" i="95"/>
  <c r="AJ28" i="95"/>
  <c r="AI28" i="95"/>
  <c r="M28" i="95"/>
  <c r="L28" i="95"/>
  <c r="K28" i="95"/>
  <c r="J28" i="95"/>
  <c r="I28" i="95"/>
  <c r="H28" i="95"/>
  <c r="B28" i="95"/>
  <c r="AR27" i="95"/>
  <c r="AQ27" i="95"/>
  <c r="AP27" i="95"/>
  <c r="AN27" i="95"/>
  <c r="AM27" i="95"/>
  <c r="AL27" i="95"/>
  <c r="AJ27" i="95"/>
  <c r="AI27" i="95"/>
  <c r="M27" i="95"/>
  <c r="L27" i="95"/>
  <c r="K27" i="95"/>
  <c r="J27" i="95"/>
  <c r="I27" i="95"/>
  <c r="H27" i="95"/>
  <c r="B27" i="95"/>
  <c r="B26" i="95"/>
  <c r="AR25" i="95"/>
  <c r="AQ25" i="95"/>
  <c r="AP25" i="95"/>
  <c r="AN25" i="95"/>
  <c r="AM25" i="95"/>
  <c r="AL25" i="95"/>
  <c r="AJ25" i="95"/>
  <c r="AI25" i="95"/>
  <c r="M25" i="95"/>
  <c r="L25" i="95"/>
  <c r="K25" i="95"/>
  <c r="J25" i="95"/>
  <c r="I25" i="95"/>
  <c r="H25" i="95"/>
  <c r="B25" i="95"/>
  <c r="AQ22" i="95"/>
  <c r="AP22" i="95"/>
  <c r="AM22" i="95"/>
  <c r="AL22" i="95"/>
  <c r="AI22" i="95"/>
  <c r="L22" i="95"/>
  <c r="K22" i="95"/>
  <c r="J22" i="95"/>
  <c r="I22" i="95"/>
  <c r="H22" i="95"/>
  <c r="AO20" i="95"/>
  <c r="AK20" i="95"/>
  <c r="AO16" i="95"/>
  <c r="AO245" i="95" s="1"/>
  <c r="AO247" i="95" s="1"/>
  <c r="AK16" i="95"/>
  <c r="AK245" i="95" s="1"/>
  <c r="AR13" i="95"/>
  <c r="AR241" i="95" s="1"/>
  <c r="AR243" i="95" s="1"/>
  <c r="AQ13" i="95"/>
  <c r="AQ241" i="95" s="1"/>
  <c r="AQ243" i="95" s="1"/>
  <c r="AP13" i="95"/>
  <c r="AP241" i="95" s="1"/>
  <c r="AP243" i="95" s="1"/>
  <c r="AN13" i="95"/>
  <c r="AN241" i="95" s="1"/>
  <c r="AN243" i="95" s="1"/>
  <c r="AM13" i="95"/>
  <c r="AM241" i="95" s="1"/>
  <c r="AM243" i="95" s="1"/>
  <c r="AL13" i="95"/>
  <c r="AL241" i="95" s="1"/>
  <c r="AL243" i="95" s="1"/>
  <c r="AJ13" i="95"/>
  <c r="AJ241" i="95" s="1"/>
  <c r="AJ243" i="95" s="1"/>
  <c r="AI13" i="95"/>
  <c r="AI241" i="95" s="1"/>
  <c r="AI243" i="95" s="1"/>
  <c r="AO12" i="95"/>
  <c r="AK12" i="95"/>
  <c r="AO11" i="95"/>
  <c r="AK11" i="95"/>
  <c r="AO8" i="95"/>
  <c r="AK8" i="95"/>
  <c r="AO7" i="95"/>
  <c r="AK7" i="95"/>
  <c r="AO6" i="95"/>
  <c r="AK6" i="95"/>
  <c r="AR5" i="95"/>
  <c r="AR9" i="95" s="1"/>
  <c r="AR233" i="95" s="1"/>
  <c r="AR235" i="95" s="1"/>
  <c r="AQ5" i="95"/>
  <c r="AQ26" i="95" s="1"/>
  <c r="AN5" i="95"/>
  <c r="AM5" i="95"/>
  <c r="AM26" i="95" s="1"/>
  <c r="AL5" i="95"/>
  <c r="AL26" i="95" s="1"/>
  <c r="AJ5" i="95"/>
  <c r="AJ9" i="95" s="1"/>
  <c r="AJ233" i="95" s="1"/>
  <c r="AJ235" i="95" s="1"/>
  <c r="AI5" i="95"/>
  <c r="AI26" i="95" s="1"/>
  <c r="H5" i="95"/>
  <c r="H26" i="95" s="1"/>
  <c r="AO4" i="95"/>
  <c r="AK4" i="95"/>
  <c r="AO3" i="95"/>
  <c r="AJ13" i="96" s="1"/>
  <c r="AK3" i="95"/>
  <c r="AF13" i="96" s="1"/>
  <c r="BH24" i="97" l="1"/>
  <c r="BG24" i="97" s="1"/>
  <c r="BB24" i="97"/>
  <c r="AR253" i="95"/>
  <c r="AJ253" i="95"/>
  <c r="AH31" i="99"/>
  <c r="AH39" i="99" s="1"/>
  <c r="AH43" i="99" s="1"/>
  <c r="K253" i="95"/>
  <c r="K248" i="95"/>
  <c r="L248" i="95"/>
  <c r="L253" i="95"/>
  <c r="AI31" i="99"/>
  <c r="AI39" i="99" s="1"/>
  <c r="AI43" i="99" s="1"/>
  <c r="J253" i="95"/>
  <c r="J248" i="95"/>
  <c r="AJ31" i="99"/>
  <c r="AJ39" i="99" s="1"/>
  <c r="AJ43" i="99" s="1"/>
  <c r="I253" i="95"/>
  <c r="I248" i="95"/>
  <c r="AK247" i="95"/>
  <c r="M80" i="95"/>
  <c r="AG86" i="95"/>
  <c r="AG87" i="95" s="1"/>
  <c r="AK238" i="95"/>
  <c r="AL36" i="95"/>
  <c r="AM36" i="95"/>
  <c r="AR36" i="95"/>
  <c r="J42" i="96"/>
  <c r="AP30" i="95"/>
  <c r="AR30" i="95"/>
  <c r="AM42" i="96"/>
  <c r="AJ36" i="95"/>
  <c r="AP36" i="95"/>
  <c r="AQ36" i="95"/>
  <c r="I42" i="96"/>
  <c r="AE42" i="96"/>
  <c r="AI36" i="95"/>
  <c r="AN36" i="95"/>
  <c r="K42" i="96"/>
  <c r="AG10" i="95"/>
  <c r="AG237" i="95" s="1"/>
  <c r="AG239" i="95" s="1"/>
  <c r="AG253" i="95" s="1"/>
  <c r="AQ30" i="95"/>
  <c r="AD141" i="97"/>
  <c r="AD154" i="97" s="1"/>
  <c r="AD32" i="97"/>
  <c r="BE17" i="97"/>
  <c r="AY41" i="97"/>
  <c r="AY39" i="97" s="1"/>
  <c r="AY17" i="97"/>
  <c r="BB16" i="97"/>
  <c r="AZ41" i="97"/>
  <c r="AZ39" i="97" s="1"/>
  <c r="AZ17" i="97"/>
  <c r="BB19" i="97"/>
  <c r="BB23" i="97"/>
  <c r="I131" i="95"/>
  <c r="I134" i="95" s="1"/>
  <c r="AI87" i="95"/>
  <c r="K177" i="95"/>
  <c r="AJ80" i="95"/>
  <c r="AG73" i="95"/>
  <c r="AG80" i="95" s="1"/>
  <c r="K15" i="95"/>
  <c r="K17" i="95" s="1"/>
  <c r="I15" i="95"/>
  <c r="I17" i="95" s="1"/>
  <c r="J15" i="95"/>
  <c r="J17" i="95" s="1"/>
  <c r="L15" i="95"/>
  <c r="L17" i="95" s="1"/>
  <c r="K36" i="95"/>
  <c r="M36" i="95"/>
  <c r="L36" i="95"/>
  <c r="J30" i="95"/>
  <c r="M30" i="95"/>
  <c r="J36" i="95"/>
  <c r="H36" i="95"/>
  <c r="M26" i="95"/>
  <c r="I36" i="95"/>
  <c r="I30" i="95"/>
  <c r="AO22" i="95"/>
  <c r="AJ22" i="95"/>
  <c r="AE24" i="97"/>
  <c r="AF24" i="97" s="1"/>
  <c r="AG24" i="97" s="1"/>
  <c r="AH24" i="97" s="1"/>
  <c r="AR131" i="95"/>
  <c r="AR134" i="95" s="1"/>
  <c r="AN131" i="95"/>
  <c r="AN134" i="95" s="1"/>
  <c r="AQ131" i="95"/>
  <c r="AQ134" i="95" s="1"/>
  <c r="AM131" i="95"/>
  <c r="AM134" i="95" s="1"/>
  <c r="AP131" i="95"/>
  <c r="AP134" i="95" s="1"/>
  <c r="AL131" i="95"/>
  <c r="AL134" i="95" s="1"/>
  <c r="AK58" i="95"/>
  <c r="AJ131" i="95"/>
  <c r="AJ134" i="95" s="1"/>
  <c r="AI131" i="95"/>
  <c r="AI134" i="95" s="1"/>
  <c r="M131" i="95"/>
  <c r="M134" i="95" s="1"/>
  <c r="L131" i="95"/>
  <c r="L134" i="95" s="1"/>
  <c r="J131" i="95"/>
  <c r="J134" i="95" s="1"/>
  <c r="K228" i="95"/>
  <c r="AI9" i="95"/>
  <c r="AI233" i="95" s="1"/>
  <c r="AI235" i="95" s="1"/>
  <c r="AI253" i="95" s="1"/>
  <c r="AR15" i="95"/>
  <c r="AN9" i="95"/>
  <c r="AN233" i="95" s="1"/>
  <c r="AN235" i="95" s="1"/>
  <c r="AN253" i="95" s="1"/>
  <c r="AQ9" i="95"/>
  <c r="AQ233" i="95" s="1"/>
  <c r="AQ235" i="95" s="1"/>
  <c r="AQ253" i="95" s="1"/>
  <c r="AK10" i="95"/>
  <c r="AK237" i="95" s="1"/>
  <c r="AM9" i="95"/>
  <c r="AM233" i="95" s="1"/>
  <c r="AM235" i="95" s="1"/>
  <c r="AM253" i="95" s="1"/>
  <c r="AP9" i="95"/>
  <c r="AP233" i="95" s="1"/>
  <c r="AP235" i="95" s="1"/>
  <c r="AP253" i="95" s="1"/>
  <c r="AL30" i="95"/>
  <c r="AL9" i="95"/>
  <c r="AL233" i="95" s="1"/>
  <c r="AL235" i="95" s="1"/>
  <c r="AL253" i="95" s="1"/>
  <c r="AJ15" i="95"/>
  <c r="AO10" i="95"/>
  <c r="AO237" i="95" s="1"/>
  <c r="AO239" i="95" s="1"/>
  <c r="H9" i="95"/>
  <c r="H233" i="95" s="1"/>
  <c r="H235" i="95" s="1"/>
  <c r="L144" i="95"/>
  <c r="J116" i="95"/>
  <c r="AI116" i="95"/>
  <c r="AN116" i="95"/>
  <c r="J26" i="95"/>
  <c r="I26" i="95"/>
  <c r="AO38" i="95"/>
  <c r="AO25" i="95"/>
  <c r="AO27" i="95"/>
  <c r="AO29" i="95"/>
  <c r="AO34" i="95"/>
  <c r="K166" i="95"/>
  <c r="AN26" i="95"/>
  <c r="J194" i="95"/>
  <c r="L116" i="95"/>
  <c r="J144" i="95"/>
  <c r="AI144" i="95"/>
  <c r="AN144" i="95"/>
  <c r="J210" i="95"/>
  <c r="AO35" i="95"/>
  <c r="I116" i="95"/>
  <c r="M116" i="95"/>
  <c r="AM116" i="95"/>
  <c r="AR116" i="95"/>
  <c r="AO128" i="95"/>
  <c r="AO142" i="95"/>
  <c r="I175" i="95"/>
  <c r="AK80" i="95"/>
  <c r="L141" i="95"/>
  <c r="AO33" i="95"/>
  <c r="AO13" i="95"/>
  <c r="AO241" i="95" s="1"/>
  <c r="AO243" i="95" s="1"/>
  <c r="AN22" i="95"/>
  <c r="K26" i="95"/>
  <c r="AO31" i="95"/>
  <c r="AK69" i="95"/>
  <c r="AO108" i="95"/>
  <c r="AP116" i="95"/>
  <c r="AO141" i="95"/>
  <c r="AO122" i="95"/>
  <c r="AM141" i="95"/>
  <c r="AJ141" i="95"/>
  <c r="H144" i="95"/>
  <c r="AL144" i="95"/>
  <c r="AP144" i="95"/>
  <c r="AM144" i="95"/>
  <c r="I186" i="95"/>
  <c r="K210" i="95"/>
  <c r="AO5" i="95"/>
  <c r="AP141" i="95"/>
  <c r="H141" i="95"/>
  <c r="AQ141" i="95"/>
  <c r="AO28" i="95"/>
  <c r="AK87" i="95"/>
  <c r="H116" i="95"/>
  <c r="AL116" i="95"/>
  <c r="AQ116" i="95"/>
  <c r="AN141" i="95"/>
  <c r="I144" i="95"/>
  <c r="M144" i="95"/>
  <c r="H194" i="95"/>
  <c r="AJ32" i="95"/>
  <c r="AR32" i="95"/>
  <c r="AK28" i="95"/>
  <c r="AK31" i="95"/>
  <c r="AK25" i="95"/>
  <c r="AK38" i="95"/>
  <c r="AK29" i="95"/>
  <c r="AK34" i="95"/>
  <c r="AI30" i="95"/>
  <c r="AK5" i="95"/>
  <c r="AK9" i="95" s="1"/>
  <c r="AK233" i="95" s="1"/>
  <c r="AK235" i="95" s="1"/>
  <c r="AK27" i="95"/>
  <c r="AK13" i="95"/>
  <c r="AK241" i="95" s="1"/>
  <c r="AK243" i="95" s="1"/>
  <c r="AK35" i="95"/>
  <c r="M141" i="95"/>
  <c r="AR141" i="95"/>
  <c r="AK33" i="95"/>
  <c r="AK22" i="95"/>
  <c r="AJ26" i="95"/>
  <c r="AR26" i="95"/>
  <c r="K30" i="95"/>
  <c r="AN30" i="95"/>
  <c r="K116" i="95"/>
  <c r="AJ116" i="95"/>
  <c r="J175" i="95"/>
  <c r="J166" i="95"/>
  <c r="AO115" i="95"/>
  <c r="I141" i="95"/>
  <c r="AK122" i="95"/>
  <c r="AK142" i="95"/>
  <c r="AK144" i="95" s="1"/>
  <c r="AK128" i="95"/>
  <c r="AK108" i="95"/>
  <c r="AK115" i="95"/>
  <c r="AL141" i="95"/>
  <c r="AQ144" i="95"/>
  <c r="I167" i="95"/>
  <c r="J141" i="95"/>
  <c r="AI141" i="95"/>
  <c r="K144" i="95"/>
  <c r="AJ144" i="95"/>
  <c r="AR144" i="95"/>
  <c r="AK141" i="95"/>
  <c r="K141" i="95"/>
  <c r="H175" i="95"/>
  <c r="H166" i="95"/>
  <c r="AK239" i="95" l="1"/>
  <c r="AK253" i="95" s="1"/>
  <c r="AG15" i="95"/>
  <c r="AG17" i="95" s="1"/>
  <c r="AG30" i="95"/>
  <c r="H253" i="95"/>
  <c r="AK30" i="99"/>
  <c r="H248" i="95"/>
  <c r="AO36" i="95"/>
  <c r="AF42" i="96"/>
  <c r="AH42" i="96"/>
  <c r="AK36" i="95"/>
  <c r="AL42" i="96"/>
  <c r="AK42" i="96"/>
  <c r="AI42" i="96"/>
  <c r="AG42" i="96"/>
  <c r="AD42" i="96"/>
  <c r="AB42" i="96"/>
  <c r="BB41" i="97"/>
  <c r="BB39" i="97" s="1"/>
  <c r="BB17" i="97"/>
  <c r="BG17" i="97"/>
  <c r="H42" i="96"/>
  <c r="L145" i="95"/>
  <c r="L149" i="95" s="1"/>
  <c r="L135" i="95" s="1"/>
  <c r="AO131" i="95"/>
  <c r="AO134" i="95" s="1"/>
  <c r="AK131" i="95"/>
  <c r="AK134" i="95" s="1"/>
  <c r="AK36" i="99"/>
  <c r="AL15" i="95"/>
  <c r="AI15" i="95"/>
  <c r="AQ15" i="95"/>
  <c r="H15" i="95"/>
  <c r="AP15" i="95"/>
  <c r="AN15" i="95"/>
  <c r="AN17" i="95" s="1"/>
  <c r="AN19" i="95" s="1"/>
  <c r="AM15" i="95"/>
  <c r="AJ24" i="97"/>
  <c r="AK24" i="97" s="1"/>
  <c r="AL24" i="97" s="1"/>
  <c r="AM24" i="97" s="1"/>
  <c r="AL145" i="95"/>
  <c r="AL149" i="95" s="1"/>
  <c r="AL135" i="95" s="1"/>
  <c r="M132" i="95"/>
  <c r="K153" i="95"/>
  <c r="AQ145" i="95"/>
  <c r="AQ149" i="95" s="1"/>
  <c r="AQ135" i="95" s="1"/>
  <c r="H145" i="95"/>
  <c r="H149" i="95" s="1"/>
  <c r="H135" i="95" s="1"/>
  <c r="AI132" i="95"/>
  <c r="K132" i="95"/>
  <c r="I132" i="95"/>
  <c r="AN32" i="95"/>
  <c r="AK15" i="95"/>
  <c r="AO26" i="95"/>
  <c r="AO9" i="95"/>
  <c r="AO233" i="95" s="1"/>
  <c r="AO235" i="95" s="1"/>
  <c r="AO253" i="95" s="1"/>
  <c r="AO144" i="95"/>
  <c r="AO145" i="95" s="1"/>
  <c r="AO149" i="95" s="1"/>
  <c r="AO135" i="95" s="1"/>
  <c r="AR152" i="95"/>
  <c r="J153" i="95"/>
  <c r="AP153" i="95"/>
  <c r="AN132" i="95"/>
  <c r="AP145" i="95"/>
  <c r="AP149" i="95" s="1"/>
  <c r="AP135" i="95" s="1"/>
  <c r="I145" i="95"/>
  <c r="I149" i="95" s="1"/>
  <c r="I135" i="95" s="1"/>
  <c r="J132" i="95"/>
  <c r="AN145" i="95"/>
  <c r="AN149" i="95" s="1"/>
  <c r="AN135" i="95" s="1"/>
  <c r="H153" i="95"/>
  <c r="AR132" i="95"/>
  <c r="AJ152" i="95"/>
  <c r="AQ132" i="95"/>
  <c r="AJ145" i="95"/>
  <c r="AJ149" i="95" s="1"/>
  <c r="AJ135" i="95" s="1"/>
  <c r="AJ132" i="95"/>
  <c r="M145" i="95"/>
  <c r="AM152" i="95"/>
  <c r="AK153" i="95"/>
  <c r="AK145" i="95"/>
  <c r="AI145" i="95"/>
  <c r="AI149" i="95" s="1"/>
  <c r="AI135" i="95" s="1"/>
  <c r="AQ153" i="95"/>
  <c r="L132" i="95"/>
  <c r="J145" i="95"/>
  <c r="J149" i="95" s="1"/>
  <c r="J135" i="95" s="1"/>
  <c r="AL132" i="95"/>
  <c r="AN153" i="95"/>
  <c r="AK116" i="95"/>
  <c r="AI153" i="95"/>
  <c r="M153" i="95"/>
  <c r="H132" i="95"/>
  <c r="AO116" i="95"/>
  <c r="AM132" i="95"/>
  <c r="AM145" i="95"/>
  <c r="AP132" i="95"/>
  <c r="AP32" i="95"/>
  <c r="AM30" i="95"/>
  <c r="AI32" i="95"/>
  <c r="H177" i="95"/>
  <c r="H167" i="95"/>
  <c r="AO30" i="95"/>
  <c r="H30" i="95"/>
  <c r="AL32" i="95"/>
  <c r="AK26" i="95"/>
  <c r="K145" i="95"/>
  <c r="I153" i="95"/>
  <c r="J167" i="95"/>
  <c r="J177" i="95"/>
  <c r="AR17" i="95"/>
  <c r="AR19" i="95" s="1"/>
  <c r="AR37" i="95"/>
  <c r="L30" i="95"/>
  <c r="AQ32" i="95"/>
  <c r="AL153" i="95"/>
  <c r="AR145" i="95"/>
  <c r="AJ17" i="95"/>
  <c r="AJ19" i="95" s="1"/>
  <c r="AJ37" i="95"/>
  <c r="AG37" i="95" l="1"/>
  <c r="AK39" i="99"/>
  <c r="AK43" i="99" s="1"/>
  <c r="AK29" i="99"/>
  <c r="AJ42" i="96"/>
  <c r="AN37" i="95"/>
  <c r="AG39" i="95"/>
  <c r="AG45" i="95"/>
  <c r="J152" i="95"/>
  <c r="AK149" i="95"/>
  <c r="AK135" i="95" s="1"/>
  <c r="AO13" i="99"/>
  <c r="AO41" i="99" s="1"/>
  <c r="AO34" i="99"/>
  <c r="AO28" i="99"/>
  <c r="G7" i="101" s="1"/>
  <c r="AO15" i="95"/>
  <c r="AO24" i="97"/>
  <c r="AP24" i="97" s="1"/>
  <c r="AQ24" i="97" s="1"/>
  <c r="AR24" i="97" s="1"/>
  <c r="AR153" i="95"/>
  <c r="AO132" i="95"/>
  <c r="K152" i="95"/>
  <c r="AK132" i="95"/>
  <c r="AP152" i="95"/>
  <c r="L153" i="95"/>
  <c r="L152" i="95"/>
  <c r="I152" i="95"/>
  <c r="H152" i="95"/>
  <c r="M149" i="95"/>
  <c r="M135" i="95" s="1"/>
  <c r="AJ153" i="95"/>
  <c r="AM153" i="95"/>
  <c r="AQ152" i="95"/>
  <c r="M152" i="95"/>
  <c r="AI152" i="95"/>
  <c r="AN152" i="95"/>
  <c r="AM149" i="95"/>
  <c r="AM135" i="95" s="1"/>
  <c r="AN45" i="95"/>
  <c r="AN60" i="95" s="1"/>
  <c r="AN39" i="95"/>
  <c r="AL152" i="95"/>
  <c r="AO32" i="95"/>
  <c r="AJ45" i="95"/>
  <c r="AJ60" i="95" s="1"/>
  <c r="AJ39" i="95"/>
  <c r="AO153" i="95"/>
  <c r="K149" i="95"/>
  <c r="K135" i="95" s="1"/>
  <c r="AM32" i="95"/>
  <c r="AR149" i="95"/>
  <c r="AR135" i="95" s="1"/>
  <c r="AO152" i="95"/>
  <c r="AK152" i="95"/>
  <c r="AR45" i="95"/>
  <c r="AR60" i="95" s="1"/>
  <c r="AR39" i="95"/>
  <c r="AK30" i="95"/>
  <c r="I22" i="100" l="1"/>
  <c r="AO29" i="99"/>
  <c r="AO39" i="99"/>
  <c r="G17" i="101" s="1"/>
  <c r="AG71" i="95"/>
  <c r="AG254" i="95" s="1"/>
  <c r="AG60" i="95"/>
  <c r="AT13" i="99"/>
  <c r="AT41" i="99" s="1"/>
  <c r="AT34" i="99"/>
  <c r="AT28" i="99"/>
  <c r="AT24" i="97"/>
  <c r="AU24" i="97" s="1"/>
  <c r="AV24" i="97" s="1"/>
  <c r="AW24" i="97" s="1"/>
  <c r="AR71" i="95"/>
  <c r="AR254" i="95" s="1"/>
  <c r="AJ71" i="95"/>
  <c r="AJ254" i="95" s="1"/>
  <c r="AN71" i="95"/>
  <c r="AN254" i="95" s="1"/>
  <c r="AP17" i="95"/>
  <c r="AP19" i="95" s="1"/>
  <c r="AP37" i="95"/>
  <c r="AK32" i="95"/>
  <c r="AQ17" i="95"/>
  <c r="AQ19" i="95" s="1"/>
  <c r="AQ37" i="95"/>
  <c r="AI17" i="95"/>
  <c r="AI19" i="95" s="1"/>
  <c r="AG19" i="95" s="1"/>
  <c r="AI37" i="95"/>
  <c r="AL17" i="95"/>
  <c r="AL19" i="95" s="1"/>
  <c r="AL37" i="95"/>
  <c r="AT29" i="99" l="1"/>
  <c r="G8" i="101"/>
  <c r="AO43" i="99"/>
  <c r="J22" i="100"/>
  <c r="I23" i="100"/>
  <c r="AG91" i="95"/>
  <c r="AO50" i="99"/>
  <c r="AT48" i="99"/>
  <c r="AJ91" i="95"/>
  <c r="AN91" i="95"/>
  <c r="AN95" i="95" s="1"/>
  <c r="AR91" i="95"/>
  <c r="AR95" i="95" s="1"/>
  <c r="AM37" i="95"/>
  <c r="AM17" i="95"/>
  <c r="AM19" i="95" s="1"/>
  <c r="AP39" i="95"/>
  <c r="AP45" i="95"/>
  <c r="AP60" i="95" s="1"/>
  <c r="AL39" i="95"/>
  <c r="AL45" i="95"/>
  <c r="AL60" i="95" s="1"/>
  <c r="AQ39" i="95"/>
  <c r="AQ45" i="95"/>
  <c r="AQ60" i="95" s="1"/>
  <c r="AI45" i="95"/>
  <c r="AI39" i="95"/>
  <c r="AO37" i="95"/>
  <c r="AO17" i="95"/>
  <c r="AO19" i="95" s="1"/>
  <c r="AT31" i="99" l="1"/>
  <c r="AT39" i="99" s="1"/>
  <c r="G18" i="101" s="1"/>
  <c r="AI71" i="95"/>
  <c r="AI254" i="95" s="1"/>
  <c r="AI60" i="95"/>
  <c r="AQ71" i="95"/>
  <c r="AQ254" i="95" s="1"/>
  <c r="AP71" i="95"/>
  <c r="AP254" i="95" s="1"/>
  <c r="AN96" i="95"/>
  <c r="AR96" i="95"/>
  <c r="AL71" i="95"/>
  <c r="AL254" i="95" s="1"/>
  <c r="AK37" i="95"/>
  <c r="AK17" i="95"/>
  <c r="AK19" i="95" s="1"/>
  <c r="AM39" i="95"/>
  <c r="AM45" i="95"/>
  <c r="AM60" i="95" s="1"/>
  <c r="AO45" i="95"/>
  <c r="AO60" i="95" s="1"/>
  <c r="AO39" i="95"/>
  <c r="AT50" i="99" l="1"/>
  <c r="J23" i="100"/>
  <c r="AT43" i="99"/>
  <c r="AL91" i="95"/>
  <c r="AP91" i="95"/>
  <c r="AM71" i="95"/>
  <c r="AM254" i="95" s="1"/>
  <c r="AO71" i="95"/>
  <c r="AO254" i="95" s="1"/>
  <c r="AI91" i="95"/>
  <c r="AQ91" i="95"/>
  <c r="AQ95" i="95" s="1"/>
  <c r="AK45" i="95"/>
  <c r="AK60" i="95" s="1"/>
  <c r="AK39" i="95"/>
  <c r="AM91" i="95" l="1"/>
  <c r="AM95" i="95" s="1"/>
  <c r="AQ96" i="95"/>
  <c r="AP95" i="95"/>
  <c r="AK71" i="95"/>
  <c r="AK254" i="95" s="1"/>
  <c r="AO91" i="95"/>
  <c r="AK91" i="95" l="1"/>
  <c r="AP96" i="95"/>
  <c r="AO89" i="95"/>
  <c r="AM96" i="95"/>
  <c r="AL95" i="95"/>
  <c r="AO95" i="95" l="1"/>
  <c r="AO96" i="95" s="1"/>
  <c r="AL96" i="95"/>
  <c r="AK89" i="95"/>
  <c r="AK95" i="95" s="1"/>
  <c r="AK96" i="95" l="1"/>
  <c r="AJ95" i="95"/>
  <c r="AI89" i="95" s="1"/>
  <c r="AJ96" i="95" l="1"/>
  <c r="G32" i="63"/>
  <c r="F32" i="63"/>
  <c r="E32" i="63"/>
  <c r="D32" i="63"/>
  <c r="C32" i="63"/>
  <c r="B32" i="63"/>
  <c r="E10" i="63"/>
  <c r="D10" i="63"/>
  <c r="C10" i="63"/>
  <c r="B10" i="63"/>
  <c r="E8" i="63"/>
  <c r="D8" i="63"/>
  <c r="C8" i="63"/>
  <c r="B8" i="63"/>
  <c r="F7" i="63"/>
  <c r="E7" i="63"/>
  <c r="D7" i="63"/>
  <c r="C7" i="63"/>
  <c r="B7" i="63"/>
  <c r="O6" i="63"/>
  <c r="N6" i="63"/>
  <c r="M6" i="63"/>
  <c r="L6" i="63"/>
  <c r="K6" i="63"/>
  <c r="I6" i="63"/>
  <c r="H6" i="63"/>
  <c r="G6" i="63"/>
  <c r="F6" i="63"/>
  <c r="E6" i="63"/>
  <c r="D6" i="63"/>
  <c r="C6" i="63"/>
  <c r="B6" i="63"/>
  <c r="AI95" i="95" l="1"/>
  <c r="AO6" i="2"/>
  <c r="AI96" i="95" l="1"/>
  <c r="AH89" i="95"/>
  <c r="AH95" i="95" s="1"/>
  <c r="AG89" i="95" s="1"/>
  <c r="AH96" i="95" l="1"/>
  <c r="AG95" i="95"/>
  <c r="AG96" i="95" l="1"/>
  <c r="AF89" i="95"/>
  <c r="AF95" i="95" s="1"/>
  <c r="AF96" i="95" l="1"/>
  <c r="AE89" i="95"/>
  <c r="AE95" i="95" s="1"/>
  <c r="AE96" i="95" l="1"/>
  <c r="AD89" i="95"/>
  <c r="AD95" i="95" s="1"/>
  <c r="AD96" i="95" l="1"/>
  <c r="AC89" i="95"/>
  <c r="AC95" i="95" s="1"/>
  <c r="AC96" i="95" l="1"/>
  <c r="AB89" i="95"/>
  <c r="AB95" i="95" s="1"/>
  <c r="AB96" i="95" l="1"/>
  <c r="AA89" i="95"/>
  <c r="AA95" i="95" s="1"/>
  <c r="E89" i="34"/>
  <c r="AA96" i="95" l="1"/>
  <c r="Z89" i="95"/>
  <c r="Z95" i="95" s="1"/>
  <c r="M18" i="83"/>
  <c r="L18" i="83"/>
  <c r="K18" i="83"/>
  <c r="J18" i="83"/>
  <c r="M16" i="83"/>
  <c r="L16" i="83"/>
  <c r="K16" i="83"/>
  <c r="J16" i="83"/>
  <c r="I18" i="83"/>
  <c r="H18" i="83"/>
  <c r="I16" i="83"/>
  <c r="H10" i="83"/>
  <c r="I10" i="83" s="1"/>
  <c r="J10" i="83" s="1"/>
  <c r="K10" i="83" s="1"/>
  <c r="L10" i="83" s="1"/>
  <c r="M10" i="83" s="1"/>
  <c r="I5" i="83"/>
  <c r="H5" i="83"/>
  <c r="Z96" i="95" l="1"/>
  <c r="Y89" i="95"/>
  <c r="Y95" i="95" s="1"/>
  <c r="I19" i="83"/>
  <c r="I13" i="83"/>
  <c r="Y96" i="95" l="1"/>
  <c r="X89" i="95"/>
  <c r="X95" i="95" s="1"/>
  <c r="J5" i="83"/>
  <c r="X96" i="95" l="1"/>
  <c r="W89" i="95"/>
  <c r="W95" i="95" s="1"/>
  <c r="J13" i="83"/>
  <c r="J19" i="83"/>
  <c r="H9" i="83"/>
  <c r="I9" i="83" s="1"/>
  <c r="J9" i="83" s="1"/>
  <c r="K9" i="83" s="1"/>
  <c r="L9" i="83" s="1"/>
  <c r="M9" i="83" s="1"/>
  <c r="W96" i="95" l="1"/>
  <c r="V89" i="95"/>
  <c r="V95" i="95" s="1"/>
  <c r="K5" i="83"/>
  <c r="V96" i="95" l="1"/>
  <c r="U89" i="95"/>
  <c r="U95" i="95" s="1"/>
  <c r="L5" i="83"/>
  <c r="K19" i="83"/>
  <c r="K13" i="83"/>
  <c r="T89" i="95" l="1"/>
  <c r="T95" i="95" s="1"/>
  <c r="U96" i="95"/>
  <c r="M5" i="83"/>
  <c r="L19" i="83"/>
  <c r="L13" i="83"/>
  <c r="T96" i="95" l="1"/>
  <c r="S89" i="95"/>
  <c r="S95" i="95" s="1"/>
  <c r="M13" i="83"/>
  <c r="M19" i="83"/>
  <c r="S96" i="95" l="1"/>
  <c r="R89" i="95"/>
  <c r="R95" i="95" s="1"/>
  <c r="I7" i="99"/>
  <c r="AN27" i="2"/>
  <c r="AN26" i="2" s="1"/>
  <c r="AN14" i="2"/>
  <c r="AN6" i="2"/>
  <c r="AM35" i="2"/>
  <c r="AM26" i="2"/>
  <c r="AM6" i="2"/>
  <c r="AM5" i="2" s="1"/>
  <c r="AL35" i="2"/>
  <c r="AL26" i="2"/>
  <c r="AL6" i="2"/>
  <c r="AL5" i="2" s="1"/>
  <c r="R96" i="95" l="1"/>
  <c r="Q89" i="95"/>
  <c r="Q95" i="95" s="1"/>
  <c r="P89" i="95" s="1"/>
  <c r="P95" i="95" s="1"/>
  <c r="J7" i="99"/>
  <c r="AN5" i="2"/>
  <c r="AK35" i="2"/>
  <c r="AK34" i="2" s="1"/>
  <c r="AK27" i="2"/>
  <c r="AK26" i="2" s="1"/>
  <c r="AK6" i="2"/>
  <c r="AK5" i="2" s="1"/>
  <c r="AN72" i="2"/>
  <c r="AN75" i="2" s="1"/>
  <c r="AM72" i="2"/>
  <c r="AM75" i="2" s="1"/>
  <c r="AL72" i="2"/>
  <c r="AL75" i="2" s="1"/>
  <c r="AK72" i="2"/>
  <c r="AK75" i="2" s="1"/>
  <c r="AN66" i="2"/>
  <c r="AN69" i="2" s="1"/>
  <c r="AL66" i="2"/>
  <c r="AL69" i="2" s="1"/>
  <c r="AK66" i="2"/>
  <c r="AK69" i="2" s="1"/>
  <c r="AN65" i="2"/>
  <c r="AN71" i="2" s="1"/>
  <c r="AM65" i="2"/>
  <c r="AM71" i="2" s="1"/>
  <c r="AL65" i="2"/>
  <c r="AL71" i="2" s="1"/>
  <c r="AK65" i="2"/>
  <c r="AK71" i="2" s="1"/>
  <c r="AN60" i="2"/>
  <c r="AN63" i="2" s="1"/>
  <c r="AL60" i="2"/>
  <c r="AK60" i="2"/>
  <c r="AK63" i="2" s="1"/>
  <c r="AN52" i="2"/>
  <c r="AM52" i="2"/>
  <c r="AL52" i="2"/>
  <c r="AK52" i="2"/>
  <c r="AN50" i="2"/>
  <c r="AL50" i="2"/>
  <c r="AK50" i="2"/>
  <c r="AN48" i="2"/>
  <c r="AL48" i="2"/>
  <c r="AK48" i="2"/>
  <c r="AN34" i="2"/>
  <c r="AN40" i="2" s="1"/>
  <c r="AN45" i="2" s="1"/>
  <c r="AM34" i="2"/>
  <c r="AM40" i="2" s="1"/>
  <c r="AM45" i="2" s="1"/>
  <c r="AL34" i="2"/>
  <c r="AL40" i="2" s="1"/>
  <c r="AL45" i="2" s="1"/>
  <c r="AM14" i="2"/>
  <c r="AL14" i="2"/>
  <c r="AL24" i="2" s="1"/>
  <c r="AK14" i="2"/>
  <c r="AM66" i="2"/>
  <c r="AM60" i="2"/>
  <c r="AN2" i="2"/>
  <c r="AN3" i="2" s="1"/>
  <c r="AM2" i="2"/>
  <c r="AM59" i="2" s="1"/>
  <c r="AL2" i="2"/>
  <c r="AL7" i="2" s="1"/>
  <c r="AK2" i="2"/>
  <c r="AK3" i="2" s="1"/>
  <c r="P96" i="95" l="1"/>
  <c r="O89" i="95"/>
  <c r="O95" i="95" s="1"/>
  <c r="O96" i="95" s="1"/>
  <c r="AK24" i="2"/>
  <c r="AM7" i="2"/>
  <c r="AM29" i="2"/>
  <c r="AN7" i="2"/>
  <c r="AN29" i="2"/>
  <c r="AN9" i="2"/>
  <c r="AN59" i="2"/>
  <c r="AN61" i="2" s="1"/>
  <c r="AL51" i="2"/>
  <c r="AN13" i="2"/>
  <c r="AL29" i="2"/>
  <c r="AL59" i="2"/>
  <c r="AL62" i="2" s="1"/>
  <c r="AK40" i="2"/>
  <c r="AK45" i="2" s="1"/>
  <c r="AM13" i="2"/>
  <c r="AN54" i="2"/>
  <c r="AN24" i="2"/>
  <c r="AN53" i="2"/>
  <c r="AM53" i="2"/>
  <c r="AL54" i="2"/>
  <c r="AL55" i="2" s="1"/>
  <c r="AL49" i="2"/>
  <c r="AK54" i="2"/>
  <c r="AK55" i="2" s="1"/>
  <c r="AL53" i="2"/>
  <c r="AM69" i="2"/>
  <c r="AM68" i="2"/>
  <c r="AM67" i="2"/>
  <c r="AM63" i="2"/>
  <c r="AM62" i="2"/>
  <c r="AM61" i="2"/>
  <c r="AL63" i="2"/>
  <c r="AL73" i="2"/>
  <c r="AL3" i="2"/>
  <c r="AK9" i="2"/>
  <c r="AM3" i="2"/>
  <c r="AM24" i="2"/>
  <c r="AL9" i="2"/>
  <c r="AK13" i="2"/>
  <c r="AM9" i="2"/>
  <c r="AL13" i="2"/>
  <c r="AK29" i="2"/>
  <c r="AK59" i="2"/>
  <c r="AK76" i="2" s="1"/>
  <c r="AK7" i="2"/>
  <c r="AM48" i="2"/>
  <c r="AN49" i="2" s="1"/>
  <c r="AM50" i="2"/>
  <c r="AM51" i="2" s="1"/>
  <c r="AM73" i="2"/>
  <c r="AM74" i="2"/>
  <c r="AL67" i="2"/>
  <c r="AN67" i="2"/>
  <c r="AN73" i="2"/>
  <c r="AW31" i="97"/>
  <c r="AW32" i="97" s="1"/>
  <c r="AJ35" i="2"/>
  <c r="AJ26" i="2"/>
  <c r="AJ6" i="2"/>
  <c r="AI35" i="2"/>
  <c r="AK62" i="2" l="1"/>
  <c r="AN68" i="2"/>
  <c r="AJ5" i="2"/>
  <c r="AN55" i="2"/>
  <c r="AM76" i="2"/>
  <c r="AN76" i="2"/>
  <c r="AN74" i="2"/>
  <c r="AN62" i="2"/>
  <c r="AK74" i="2"/>
  <c r="AK68" i="2"/>
  <c r="AL74" i="2"/>
  <c r="H6" i="83"/>
  <c r="AL68" i="2"/>
  <c r="AL61" i="2"/>
  <c r="AL76" i="2"/>
  <c r="AM54" i="2"/>
  <c r="AM49" i="2"/>
  <c r="AN51" i="2"/>
  <c r="AI26" i="2"/>
  <c r="AI15" i="2"/>
  <c r="AI14" i="2" s="1"/>
  <c r="AI12" i="2"/>
  <c r="AI50" i="2" s="1"/>
  <c r="AI8" i="2"/>
  <c r="AI60" i="2" s="1"/>
  <c r="AI6" i="2"/>
  <c r="AJ72" i="2"/>
  <c r="AI72" i="2"/>
  <c r="AJ66" i="2"/>
  <c r="AK67" i="2" s="1"/>
  <c r="AJ65" i="2"/>
  <c r="AJ71" i="2" s="1"/>
  <c r="AI65" i="2"/>
  <c r="AJ60" i="2"/>
  <c r="AK61" i="2" s="1"/>
  <c r="AJ52" i="2"/>
  <c r="AI52" i="2"/>
  <c r="AJ50" i="2"/>
  <c r="AK51" i="2" s="1"/>
  <c r="AJ48" i="2"/>
  <c r="AK49" i="2" s="1"/>
  <c r="AJ34" i="2"/>
  <c r="AJ40" i="2" s="1"/>
  <c r="AJ45" i="2" s="1"/>
  <c r="AI34" i="2"/>
  <c r="AI40" i="2" s="1"/>
  <c r="AI45" i="2" s="1"/>
  <c r="AJ14" i="2"/>
  <c r="AJ2" i="2"/>
  <c r="AJ59" i="2" s="1"/>
  <c r="AI2" i="2"/>
  <c r="AI59" i="2" s="1"/>
  <c r="AR31" i="97"/>
  <c r="AR32" i="97" s="1"/>
  <c r="AI48" i="2" l="1"/>
  <c r="AI54" i="2" s="1"/>
  <c r="AI55" i="2" s="1"/>
  <c r="AI66" i="2"/>
  <c r="AI68" i="2" s="1"/>
  <c r="AI5" i="2"/>
  <c r="I8" i="83"/>
  <c r="I11" i="83" s="1"/>
  <c r="I15" i="83" s="1"/>
  <c r="I17" i="83" s="1"/>
  <c r="I6" i="83" s="1"/>
  <c r="H20" i="83"/>
  <c r="H22" i="83" s="1"/>
  <c r="AJ75" i="2"/>
  <c r="AK73" i="2"/>
  <c r="AJ7" i="2"/>
  <c r="AJ53" i="2"/>
  <c r="AK53" i="2"/>
  <c r="AM55" i="2"/>
  <c r="AJ62" i="2"/>
  <c r="AJ68" i="2"/>
  <c r="AJ3" i="2"/>
  <c r="AJ74" i="2"/>
  <c r="AJ69" i="2"/>
  <c r="AJ9" i="2"/>
  <c r="AI7" i="2"/>
  <c r="AI62" i="2"/>
  <c r="AI74" i="2"/>
  <c r="AJ51" i="2"/>
  <c r="AI69" i="2"/>
  <c r="AI3" i="2"/>
  <c r="AI9" i="2"/>
  <c r="AJ54" i="2"/>
  <c r="AI24" i="2"/>
  <c r="AI13" i="2"/>
  <c r="AI29" i="2"/>
  <c r="AI63" i="2"/>
  <c r="AI71" i="2"/>
  <c r="AI75" i="2"/>
  <c r="AJ24" i="2"/>
  <c r="AJ13" i="2"/>
  <c r="AJ29" i="2"/>
  <c r="AJ61" i="2"/>
  <c r="AJ63" i="2"/>
  <c r="AJ73" i="2"/>
  <c r="AJ49" i="2" l="1"/>
  <c r="AJ76" i="2"/>
  <c r="AJ67" i="2"/>
  <c r="AN56" i="2"/>
  <c r="J8" i="83"/>
  <c r="J11" i="83" s="1"/>
  <c r="J15" i="83" s="1"/>
  <c r="J17" i="83" s="1"/>
  <c r="J6" i="83" s="1"/>
  <c r="I21" i="83"/>
  <c r="I20" i="83"/>
  <c r="I22" i="83" s="1"/>
  <c r="H23" i="83"/>
  <c r="I12" i="83"/>
  <c r="AM56" i="2"/>
  <c r="AI76" i="2"/>
  <c r="AJ55" i="2"/>
  <c r="U9" i="21"/>
  <c r="T9" i="21"/>
  <c r="P9" i="21"/>
  <c r="L9" i="21"/>
  <c r="K9" i="21"/>
  <c r="I9" i="21"/>
  <c r="H9" i="21"/>
  <c r="G9" i="21"/>
  <c r="AE9" i="21"/>
  <c r="AD9"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AF9" i="21"/>
  <c r="Q5" i="21"/>
  <c r="P5" i="21"/>
  <c r="O5" i="21"/>
  <c r="N5" i="21"/>
  <c r="M5" i="21"/>
  <c r="L5" i="21"/>
  <c r="K5" i="21"/>
  <c r="J5" i="21"/>
  <c r="I5" i="21"/>
  <c r="H5" i="21"/>
  <c r="G5" i="21"/>
  <c r="F5" i="21"/>
  <c r="D5" i="21"/>
  <c r="C5" i="21"/>
  <c r="B5" i="21"/>
  <c r="E3" i="21"/>
  <c r="E2" i="21"/>
  <c r="V131" i="13"/>
  <c r="U131" i="13"/>
  <c r="T131" i="13"/>
  <c r="V130" i="13"/>
  <c r="U130" i="13"/>
  <c r="V129" i="13"/>
  <c r="U129" i="13"/>
  <c r="V128" i="13"/>
  <c r="U128" i="13"/>
  <c r="V127" i="13"/>
  <c r="U127" i="13"/>
  <c r="V126" i="13"/>
  <c r="U126" i="13"/>
  <c r="V125" i="13"/>
  <c r="U125" i="13"/>
  <c r="V124" i="13"/>
  <c r="U124" i="13"/>
  <c r="V123" i="13"/>
  <c r="U123" i="13"/>
  <c r="H120" i="13"/>
  <c r="W118" i="13"/>
  <c r="Y117" i="13"/>
  <c r="I117" i="13"/>
  <c r="Y116" i="13"/>
  <c r="I116" i="13"/>
  <c r="P115" i="13"/>
  <c r="H115" i="13"/>
  <c r="AD112" i="13" s="1"/>
  <c r="P114" i="13"/>
  <c r="H114" i="13"/>
  <c r="I114" i="13" s="1"/>
  <c r="Y113" i="13"/>
  <c r="P113" i="13"/>
  <c r="T128" i="13" s="1"/>
  <c r="I113" i="13"/>
  <c r="Y112" i="13"/>
  <c r="P112" i="13"/>
  <c r="I112" i="13"/>
  <c r="Y111" i="13"/>
  <c r="P111" i="13"/>
  <c r="I111" i="13"/>
  <c r="Y110" i="13"/>
  <c r="P110" i="13"/>
  <c r="I110" i="13"/>
  <c r="Y109" i="13"/>
  <c r="P109" i="13"/>
  <c r="I109" i="13"/>
  <c r="Y108" i="13"/>
  <c r="P108" i="13"/>
  <c r="T123" i="13" s="1"/>
  <c r="I108" i="13"/>
  <c r="Y107" i="13"/>
  <c r="P107" i="13"/>
  <c r="I107" i="13"/>
  <c r="Y106" i="13"/>
  <c r="P106" i="13"/>
  <c r="I106" i="13"/>
  <c r="Y105" i="13"/>
  <c r="P105" i="13"/>
  <c r="I105" i="13"/>
  <c r="Y104" i="13"/>
  <c r="P104" i="13"/>
  <c r="I104" i="13"/>
  <c r="AD103" i="13"/>
  <c r="Y103" i="13"/>
  <c r="P103" i="13"/>
  <c r="I103" i="13"/>
  <c r="Y102" i="13"/>
  <c r="P102" i="13"/>
  <c r="I102" i="13"/>
  <c r="AH101" i="13"/>
  <c r="Y101" i="13"/>
  <c r="P101" i="13"/>
  <c r="I101" i="13"/>
  <c r="Y100" i="13"/>
  <c r="P100" i="13"/>
  <c r="I100" i="13"/>
  <c r="Y99" i="13"/>
  <c r="P99" i="13"/>
  <c r="I99" i="13"/>
  <c r="Y98" i="13"/>
  <c r="P98" i="13"/>
  <c r="I98" i="13"/>
  <c r="Y97" i="13"/>
  <c r="P97" i="13"/>
  <c r="I97" i="13"/>
  <c r="AH96" i="13"/>
  <c r="Y96" i="13"/>
  <c r="P96" i="13"/>
  <c r="I96" i="13"/>
  <c r="Y95" i="13"/>
  <c r="P95" i="13"/>
  <c r="I95" i="13"/>
  <c r="Y94" i="13"/>
  <c r="P94" i="13"/>
  <c r="I94" i="13"/>
  <c r="Y93" i="13"/>
  <c r="P93" i="13"/>
  <c r="I93" i="13"/>
  <c r="Y92" i="13"/>
  <c r="P92" i="13"/>
  <c r="I92" i="13"/>
  <c r="Y91" i="13"/>
  <c r="P91" i="13"/>
  <c r="I91" i="13"/>
  <c r="Y90" i="13"/>
  <c r="P90" i="13"/>
  <c r="I90" i="13"/>
  <c r="AD89" i="13"/>
  <c r="Y89" i="13"/>
  <c r="P89" i="13"/>
  <c r="I89" i="13"/>
  <c r="AH88" i="13"/>
  <c r="AD88" i="13"/>
  <c r="Y88" i="13"/>
  <c r="P88" i="13"/>
  <c r="I88" i="13"/>
  <c r="AH87" i="13"/>
  <c r="Y87" i="13"/>
  <c r="P87" i="13"/>
  <c r="I87" i="13"/>
  <c r="Y86" i="13"/>
  <c r="P86" i="13"/>
  <c r="I86" i="13"/>
  <c r="AD85" i="13"/>
  <c r="Y85" i="13"/>
  <c r="P85" i="13"/>
  <c r="I85" i="13"/>
  <c r="AH84" i="13"/>
  <c r="AD84" i="13"/>
  <c r="Y84" i="13"/>
  <c r="P84" i="13"/>
  <c r="I84" i="13"/>
  <c r="AH83" i="13"/>
  <c r="Y83" i="13"/>
  <c r="P83" i="13"/>
  <c r="I83" i="13"/>
  <c r="Y82" i="13"/>
  <c r="P82" i="13"/>
  <c r="I82" i="13"/>
  <c r="AD81" i="13"/>
  <c r="Y81" i="13"/>
  <c r="P81" i="13"/>
  <c r="I81" i="13"/>
  <c r="AH80" i="13"/>
  <c r="AD80" i="13"/>
  <c r="Y80" i="13"/>
  <c r="P80" i="13"/>
  <c r="I80" i="13"/>
  <c r="AH79" i="13"/>
  <c r="Y79" i="13"/>
  <c r="P79" i="13"/>
  <c r="I79" i="13"/>
  <c r="Y78" i="13"/>
  <c r="P78" i="13"/>
  <c r="I78" i="13"/>
  <c r="AD77" i="13"/>
  <c r="Y77" i="13"/>
  <c r="P77" i="13"/>
  <c r="I77" i="13"/>
  <c r="AH76" i="13"/>
  <c r="AD76" i="13"/>
  <c r="Y76" i="13"/>
  <c r="P76" i="13"/>
  <c r="I76" i="13"/>
  <c r="AH75" i="13"/>
  <c r="Y75" i="13"/>
  <c r="P75" i="13"/>
  <c r="I75" i="13"/>
  <c r="Y74" i="13"/>
  <c r="P74" i="13"/>
  <c r="I74" i="13"/>
  <c r="AD73" i="13"/>
  <c r="Y73" i="13"/>
  <c r="P73" i="13"/>
  <c r="I73" i="13"/>
  <c r="AH72" i="13"/>
  <c r="AD72" i="13"/>
  <c r="Y72" i="13"/>
  <c r="P72" i="13"/>
  <c r="I72" i="13"/>
  <c r="AH71" i="13"/>
  <c r="Y71" i="13"/>
  <c r="P71" i="13"/>
  <c r="I71" i="13"/>
  <c r="Y70" i="13"/>
  <c r="P70" i="13"/>
  <c r="I70" i="13"/>
  <c r="AD69" i="13"/>
  <c r="Y69" i="13"/>
  <c r="P69" i="13"/>
  <c r="I69" i="13"/>
  <c r="AH68" i="13"/>
  <c r="AD68" i="13"/>
  <c r="Y68" i="13"/>
  <c r="P68" i="13"/>
  <c r="I68" i="13"/>
  <c r="AH67" i="13"/>
  <c r="Y67" i="13"/>
  <c r="P67" i="13"/>
  <c r="I67" i="13"/>
  <c r="Y66" i="13"/>
  <c r="P66" i="13"/>
  <c r="I66" i="13"/>
  <c r="AD65" i="13"/>
  <c r="Y65" i="13"/>
  <c r="P65" i="13"/>
  <c r="I65" i="13"/>
  <c r="AH64" i="13"/>
  <c r="AD64" i="13"/>
  <c r="Y64" i="13"/>
  <c r="P64" i="13"/>
  <c r="I64" i="13"/>
  <c r="AH63" i="13"/>
  <c r="Y63" i="13"/>
  <c r="P63" i="13"/>
  <c r="I63" i="13"/>
  <c r="Y62" i="13"/>
  <c r="P62" i="13"/>
  <c r="I62" i="13"/>
  <c r="AD61" i="13"/>
  <c r="Y61" i="13"/>
  <c r="P61" i="13"/>
  <c r="I61" i="13"/>
  <c r="AH60" i="13"/>
  <c r="AD60" i="13"/>
  <c r="Y60" i="13"/>
  <c r="P60" i="13"/>
  <c r="I60" i="13"/>
  <c r="AH59" i="13"/>
  <c r="Y59" i="13"/>
  <c r="P59" i="13"/>
  <c r="I59" i="13"/>
  <c r="Y58" i="13"/>
  <c r="P58" i="13"/>
  <c r="I58" i="13"/>
  <c r="AD57" i="13"/>
  <c r="Y57" i="13"/>
  <c r="P57" i="13"/>
  <c r="I57" i="13"/>
  <c r="AH56" i="13"/>
  <c r="AD56" i="13"/>
  <c r="Y56" i="13"/>
  <c r="P56" i="13"/>
  <c r="I56" i="13"/>
  <c r="AH55" i="13"/>
  <c r="Y55" i="13"/>
  <c r="P55" i="13"/>
  <c r="I55" i="13"/>
  <c r="Y54" i="13"/>
  <c r="P54" i="13"/>
  <c r="I54" i="13"/>
  <c r="AD53" i="13"/>
  <c r="Y53" i="13"/>
  <c r="P53" i="13"/>
  <c r="I53" i="13"/>
  <c r="AH52" i="13"/>
  <c r="AD52" i="13"/>
  <c r="Y52" i="13"/>
  <c r="P52" i="13"/>
  <c r="I52" i="13"/>
  <c r="AH51" i="13"/>
  <c r="Y51" i="13"/>
  <c r="P51" i="13"/>
  <c r="I51" i="13"/>
  <c r="Y50" i="13"/>
  <c r="P50" i="13"/>
  <c r="I50" i="13"/>
  <c r="AD49" i="13"/>
  <c r="Y49" i="13"/>
  <c r="P49" i="13"/>
  <c r="I49" i="13"/>
  <c r="AH48" i="13"/>
  <c r="AD48" i="13"/>
  <c r="Y48" i="13"/>
  <c r="P48" i="13"/>
  <c r="I48" i="13"/>
  <c r="AH47" i="13"/>
  <c r="Y47" i="13"/>
  <c r="P47" i="13"/>
  <c r="I47" i="13"/>
  <c r="Y46" i="13"/>
  <c r="P46" i="13"/>
  <c r="I46" i="13"/>
  <c r="AD45" i="13"/>
  <c r="Y45" i="13"/>
  <c r="P45" i="13"/>
  <c r="I45" i="13"/>
  <c r="AH44" i="13"/>
  <c r="AD44" i="13"/>
  <c r="Y44" i="13"/>
  <c r="P44" i="13"/>
  <c r="I44" i="13"/>
  <c r="AH43" i="13"/>
  <c r="Y43" i="13"/>
  <c r="P43" i="13"/>
  <c r="I43" i="13"/>
  <c r="Y42" i="13"/>
  <c r="P42" i="13"/>
  <c r="I42" i="13"/>
  <c r="AD41" i="13"/>
  <c r="Y41" i="13"/>
  <c r="P41" i="13"/>
  <c r="I41" i="13"/>
  <c r="AH40" i="13"/>
  <c r="AD40" i="13"/>
  <c r="Y40" i="13"/>
  <c r="P40" i="13"/>
  <c r="I40" i="13"/>
  <c r="AH39" i="13"/>
  <c r="Y39" i="13"/>
  <c r="P39" i="13"/>
  <c r="I39" i="13"/>
  <c r="Y38" i="13"/>
  <c r="P38" i="13"/>
  <c r="I38" i="13"/>
  <c r="AD37" i="13"/>
  <c r="Y37" i="13"/>
  <c r="P37" i="13"/>
  <c r="I37" i="13"/>
  <c r="AH36" i="13"/>
  <c r="AD36" i="13"/>
  <c r="Y36" i="13"/>
  <c r="P36" i="13"/>
  <c r="I36" i="13"/>
  <c r="AH35" i="13"/>
  <c r="Y35" i="13"/>
  <c r="P35" i="13"/>
  <c r="I35" i="13"/>
  <c r="Y34" i="13"/>
  <c r="P34" i="13"/>
  <c r="I34" i="13"/>
  <c r="AD33" i="13"/>
  <c r="Y33" i="13"/>
  <c r="P33" i="13"/>
  <c r="I33" i="13"/>
  <c r="AH32" i="13"/>
  <c r="AD32" i="13"/>
  <c r="Y32" i="13"/>
  <c r="P32" i="13"/>
  <c r="I32" i="13"/>
  <c r="AH31" i="13"/>
  <c r="Y31" i="13"/>
  <c r="P31" i="13"/>
  <c r="I31" i="13"/>
  <c r="Y30" i="13"/>
  <c r="P30" i="13"/>
  <c r="I30" i="13"/>
  <c r="AD29" i="13"/>
  <c r="Y29" i="13"/>
  <c r="P29" i="13"/>
  <c r="I29" i="13"/>
  <c r="AH28" i="13"/>
  <c r="AD28" i="13"/>
  <c r="Y28" i="13"/>
  <c r="P28" i="13"/>
  <c r="I28" i="13"/>
  <c r="AH27" i="13"/>
  <c r="Y27" i="13"/>
  <c r="P27" i="13"/>
  <c r="I27" i="13"/>
  <c r="Y26" i="13"/>
  <c r="P26" i="13"/>
  <c r="I26" i="13"/>
  <c r="AD25" i="13"/>
  <c r="Y25" i="13"/>
  <c r="I25" i="13"/>
  <c r="AD24" i="13"/>
  <c r="Y24" i="13"/>
  <c r="I24" i="13"/>
  <c r="AD23" i="13"/>
  <c r="Y23" i="13"/>
  <c r="I23" i="13"/>
  <c r="AD22" i="13"/>
  <c r="Y22" i="13"/>
  <c r="I22" i="13"/>
  <c r="AD21" i="13"/>
  <c r="Y21" i="13"/>
  <c r="I21" i="13"/>
  <c r="AD20" i="13"/>
  <c r="Y20" i="13"/>
  <c r="I20" i="13"/>
  <c r="Y19" i="13"/>
  <c r="I19" i="13"/>
  <c r="Y18" i="13"/>
  <c r="I18" i="13"/>
  <c r="AH17" i="13"/>
  <c r="Y17" i="13"/>
  <c r="I17" i="13"/>
  <c r="AH16" i="13"/>
  <c r="Y16" i="13"/>
  <c r="I16" i="13"/>
  <c r="Y15" i="13"/>
  <c r="I15" i="13"/>
  <c r="Y14" i="13"/>
  <c r="I14" i="13"/>
  <c r="AH13" i="13"/>
  <c r="Y13" i="13"/>
  <c r="I13" i="13"/>
  <c r="AH12" i="13"/>
  <c r="Y12" i="13"/>
  <c r="I12" i="13"/>
  <c r="Y11" i="13"/>
  <c r="I11" i="13"/>
  <c r="Y10" i="13"/>
  <c r="I10" i="13"/>
  <c r="AH9" i="13"/>
  <c r="Y9" i="13"/>
  <c r="I9" i="13"/>
  <c r="AH8" i="13"/>
  <c r="Y8" i="13"/>
  <c r="I8" i="13"/>
  <c r="Y7" i="13"/>
  <c r="I7" i="13"/>
  <c r="I4" i="32"/>
  <c r="I21" i="32" s="1"/>
  <c r="I35" i="32" s="1"/>
  <c r="H4" i="32"/>
  <c r="H26" i="32" s="1"/>
  <c r="H40" i="32" s="1"/>
  <c r="G4" i="32"/>
  <c r="G6" i="32" s="1"/>
  <c r="F4" i="32"/>
  <c r="F13" i="32" s="1"/>
  <c r="F27" i="32" s="1"/>
  <c r="E4" i="32"/>
  <c r="E20" i="32" s="1"/>
  <c r="E34" i="32" s="1"/>
  <c r="K61" i="57"/>
  <c r="K59" i="57"/>
  <c r="P51" i="57"/>
  <c r="K51" i="57"/>
  <c r="U42" i="57"/>
  <c r="Q42" i="52"/>
  <c r="P42" i="52"/>
  <c r="Q41" i="52"/>
  <c r="P41" i="52"/>
  <c r="P36" i="52"/>
  <c r="P35" i="52"/>
  <c r="P34" i="52"/>
  <c r="P31" i="52"/>
  <c r="P30" i="52"/>
  <c r="O29" i="52"/>
  <c r="P29" i="52" s="1"/>
  <c r="J105" i="34"/>
  <c r="J104" i="34"/>
  <c r="D88" i="34"/>
  <c r="E88" i="34" s="1"/>
  <c r="K67" i="34"/>
  <c r="J67" i="34"/>
  <c r="K63" i="34"/>
  <c r="K64" i="34" s="1"/>
  <c r="J63" i="34"/>
  <c r="J64" i="34" s="1"/>
  <c r="G62" i="34"/>
  <c r="G67" i="34" s="1"/>
  <c r="J19" i="25"/>
  <c r="E6" i="25"/>
  <c r="Q6" i="99"/>
  <c r="AE6" i="99"/>
  <c r="AD6" i="99"/>
  <c r="AC6" i="99"/>
  <c r="Z6" i="99"/>
  <c r="Y6" i="99"/>
  <c r="X6" i="99"/>
  <c r="U6" i="99"/>
  <c r="T6" i="99"/>
  <c r="S6" i="99"/>
  <c r="R6" i="99"/>
  <c r="P6" i="99"/>
  <c r="O6" i="99"/>
  <c r="N6" i="99"/>
  <c r="B18" i="63"/>
  <c r="B17" i="63"/>
  <c r="C84" i="2"/>
  <c r="B84" i="2"/>
  <c r="AH72" i="2"/>
  <c r="AG72" i="2"/>
  <c r="AG75" i="2" s="1"/>
  <c r="AF72" i="2"/>
  <c r="AF75" i="2" s="1"/>
  <c r="AE72" i="2"/>
  <c r="AE75" i="2" s="1"/>
  <c r="AD72" i="2"/>
  <c r="AD75" i="2" s="1"/>
  <c r="AB72" i="2"/>
  <c r="AB75" i="2" s="1"/>
  <c r="AA72" i="2"/>
  <c r="AA75" i="2" s="1"/>
  <c r="Z72" i="2"/>
  <c r="Z75" i="2" s="1"/>
  <c r="Y72" i="2"/>
  <c r="Y75" i="2" s="1"/>
  <c r="X72" i="2"/>
  <c r="X75" i="2" s="1"/>
  <c r="W72" i="2"/>
  <c r="W75" i="2" s="1"/>
  <c r="V72" i="2"/>
  <c r="V75" i="2" s="1"/>
  <c r="U72" i="2"/>
  <c r="U75" i="2" s="1"/>
  <c r="R72" i="2"/>
  <c r="R75" i="2" s="1"/>
  <c r="Q72" i="2"/>
  <c r="Q75" i="2" s="1"/>
  <c r="P72" i="2"/>
  <c r="P75" i="2" s="1"/>
  <c r="O72" i="2"/>
  <c r="O75" i="2" s="1"/>
  <c r="N72" i="2"/>
  <c r="N75" i="2" s="1"/>
  <c r="M72" i="2"/>
  <c r="M75" i="2" s="1"/>
  <c r="L72" i="2"/>
  <c r="L75" i="2" s="1"/>
  <c r="K72" i="2"/>
  <c r="K75" i="2" s="1"/>
  <c r="J72" i="2"/>
  <c r="J75" i="2" s="1"/>
  <c r="I72" i="2"/>
  <c r="I75" i="2" s="1"/>
  <c r="H72" i="2"/>
  <c r="H75" i="2" s="1"/>
  <c r="G72" i="2"/>
  <c r="G75" i="2" s="1"/>
  <c r="F72" i="2"/>
  <c r="F75" i="2" s="1"/>
  <c r="E72" i="2"/>
  <c r="E75" i="2" s="1"/>
  <c r="D72" i="2"/>
  <c r="D75" i="2" s="1"/>
  <c r="C72" i="2"/>
  <c r="C75" i="2" s="1"/>
  <c r="AH66" i="2"/>
  <c r="AG66" i="2"/>
  <c r="AG69" i="2" s="1"/>
  <c r="AF66" i="2"/>
  <c r="AF69" i="2" s="1"/>
  <c r="AE66" i="2"/>
  <c r="AE69" i="2" s="1"/>
  <c r="AD66" i="2"/>
  <c r="AD69" i="2" s="1"/>
  <c r="AB66" i="2"/>
  <c r="AB69" i="2" s="1"/>
  <c r="AA66" i="2"/>
  <c r="AA69" i="2" s="1"/>
  <c r="Z66" i="2"/>
  <c r="Z69" i="2" s="1"/>
  <c r="Y66" i="2"/>
  <c r="Y69" i="2" s="1"/>
  <c r="X66" i="2"/>
  <c r="X69" i="2" s="1"/>
  <c r="W66" i="2"/>
  <c r="W69" i="2" s="1"/>
  <c r="V66" i="2"/>
  <c r="V69" i="2" s="1"/>
  <c r="U66" i="2"/>
  <c r="U69" i="2" s="1"/>
  <c r="R66" i="2"/>
  <c r="R69" i="2" s="1"/>
  <c r="Q66" i="2"/>
  <c r="Q69" i="2" s="1"/>
  <c r="P66" i="2"/>
  <c r="P69" i="2" s="1"/>
  <c r="N66" i="2"/>
  <c r="N69" i="2" s="1"/>
  <c r="M66" i="2"/>
  <c r="M69" i="2" s="1"/>
  <c r="L66" i="2"/>
  <c r="L69" i="2" s="1"/>
  <c r="K66" i="2"/>
  <c r="K69" i="2" s="1"/>
  <c r="J66" i="2"/>
  <c r="J69" i="2" s="1"/>
  <c r="I66" i="2"/>
  <c r="I69" i="2" s="1"/>
  <c r="H66" i="2"/>
  <c r="H69" i="2" s="1"/>
  <c r="G66" i="2"/>
  <c r="G69" i="2" s="1"/>
  <c r="F66" i="2"/>
  <c r="F69" i="2" s="1"/>
  <c r="E66" i="2"/>
  <c r="E69" i="2" s="1"/>
  <c r="D66" i="2"/>
  <c r="D69" i="2" s="1"/>
  <c r="C66" i="2"/>
  <c r="C69" i="2" s="1"/>
  <c r="AH65" i="2"/>
  <c r="AH71" i="2" s="1"/>
  <c r="AG65" i="2"/>
  <c r="AF65" i="2"/>
  <c r="AF71" i="2" s="1"/>
  <c r="AE65" i="2"/>
  <c r="AE71" i="2" s="1"/>
  <c r="AD65" i="2"/>
  <c r="AD71" i="2" s="1"/>
  <c r="AC65" i="2"/>
  <c r="AB65" i="2"/>
  <c r="AB71" i="2" s="1"/>
  <c r="AA65" i="2"/>
  <c r="AA71" i="2" s="1"/>
  <c r="Z65" i="2"/>
  <c r="Z71" i="2" s="1"/>
  <c r="Y65" i="2"/>
  <c r="X65" i="2"/>
  <c r="X71" i="2" s="1"/>
  <c r="W65" i="2"/>
  <c r="W71" i="2" s="1"/>
  <c r="V65" i="2"/>
  <c r="V71" i="2" s="1"/>
  <c r="U65" i="2"/>
  <c r="S65" i="2"/>
  <c r="S71" i="2" s="1"/>
  <c r="R65" i="2"/>
  <c r="R71" i="2" s="1"/>
  <c r="Q65" i="2"/>
  <c r="Q71" i="2" s="1"/>
  <c r="P65" i="2"/>
  <c r="O65" i="2"/>
  <c r="O71" i="2" s="1"/>
  <c r="N65" i="2"/>
  <c r="N71" i="2" s="1"/>
  <c r="M65" i="2"/>
  <c r="M71" i="2" s="1"/>
  <c r="L65" i="2"/>
  <c r="D65" i="2"/>
  <c r="C65" i="2"/>
  <c r="C71" i="2" s="1"/>
  <c r="B65" i="2"/>
  <c r="B71" i="2" s="1"/>
  <c r="AO61" i="2"/>
  <c r="AH60" i="2"/>
  <c r="AG60" i="2"/>
  <c r="AG63" i="2" s="1"/>
  <c r="AF60" i="2"/>
  <c r="AF63" i="2" s="1"/>
  <c r="AE60" i="2"/>
  <c r="AE63" i="2" s="1"/>
  <c r="AD60" i="2"/>
  <c r="AD63" i="2" s="1"/>
  <c r="AB60" i="2"/>
  <c r="AB63" i="2" s="1"/>
  <c r="AA60" i="2"/>
  <c r="AA63" i="2" s="1"/>
  <c r="Y60" i="2"/>
  <c r="Y63" i="2" s="1"/>
  <c r="X60" i="2"/>
  <c r="X63" i="2" s="1"/>
  <c r="W60" i="2"/>
  <c r="W63" i="2" s="1"/>
  <c r="U60" i="2"/>
  <c r="U63" i="2" s="1"/>
  <c r="R60" i="2"/>
  <c r="R63" i="2" s="1"/>
  <c r="Q60" i="2"/>
  <c r="Q63" i="2" s="1"/>
  <c r="P60" i="2"/>
  <c r="P63" i="2" s="1"/>
  <c r="O60" i="2"/>
  <c r="O63" i="2" s="1"/>
  <c r="N60" i="2"/>
  <c r="N63" i="2" s="1"/>
  <c r="M60" i="2"/>
  <c r="M63" i="2" s="1"/>
  <c r="K60" i="2"/>
  <c r="K63" i="2" s="1"/>
  <c r="J60" i="2"/>
  <c r="J63" i="2" s="1"/>
  <c r="I60" i="2"/>
  <c r="I63" i="2" s="1"/>
  <c r="H60" i="2"/>
  <c r="H63" i="2" s="1"/>
  <c r="G60" i="2"/>
  <c r="G63" i="2" s="1"/>
  <c r="F60" i="2"/>
  <c r="F63" i="2" s="1"/>
  <c r="E60" i="2"/>
  <c r="E63" i="2" s="1"/>
  <c r="D60" i="2"/>
  <c r="D63" i="2" s="1"/>
  <c r="C60" i="2"/>
  <c r="C63" i="2" s="1"/>
  <c r="AU52" i="2"/>
  <c r="AT52" i="2"/>
  <c r="AS52" i="2"/>
  <c r="AR52" i="2"/>
  <c r="AQ52" i="2"/>
  <c r="AP52" i="2"/>
  <c r="AO52" i="2"/>
  <c r="AH52" i="2"/>
  <c r="AI53" i="2" s="1"/>
  <c r="AG52" i="2"/>
  <c r="AF52" i="2"/>
  <c r="AE52" i="2"/>
  <c r="AD52" i="2"/>
  <c r="AB52" i="2"/>
  <c r="AA52" i="2"/>
  <c r="Z52" i="2"/>
  <c r="Y52" i="2"/>
  <c r="X52" i="2"/>
  <c r="W52" i="2"/>
  <c r="V52" i="2"/>
  <c r="U52" i="2"/>
  <c r="T52" i="2"/>
  <c r="R52" i="2"/>
  <c r="Q52" i="2"/>
  <c r="P52" i="2"/>
  <c r="O52" i="2"/>
  <c r="P53" i="2" s="1"/>
  <c r="N52" i="2"/>
  <c r="M52" i="2"/>
  <c r="L52" i="2"/>
  <c r="K52" i="2"/>
  <c r="J52" i="2"/>
  <c r="I52" i="2"/>
  <c r="H52" i="2"/>
  <c r="G52" i="2"/>
  <c r="F52" i="2"/>
  <c r="E52" i="2"/>
  <c r="D52" i="2"/>
  <c r="C52" i="2"/>
  <c r="B52" i="2"/>
  <c r="AH50" i="2"/>
  <c r="AI51" i="2" s="1"/>
  <c r="AG50" i="2"/>
  <c r="AF50" i="2"/>
  <c r="AE50" i="2"/>
  <c r="AD50" i="2"/>
  <c r="AB50" i="2"/>
  <c r="AA50" i="2"/>
  <c r="Z50" i="2"/>
  <c r="Y50" i="2"/>
  <c r="X50" i="2"/>
  <c r="W50" i="2"/>
  <c r="V50" i="2"/>
  <c r="U50" i="2"/>
  <c r="T50" i="2"/>
  <c r="R50" i="2"/>
  <c r="Q50" i="2"/>
  <c r="P50" i="2"/>
  <c r="N50" i="2"/>
  <c r="M50" i="2"/>
  <c r="L50" i="2"/>
  <c r="K50" i="2"/>
  <c r="J50" i="2"/>
  <c r="I50" i="2"/>
  <c r="H50" i="2"/>
  <c r="G50" i="2"/>
  <c r="F50" i="2"/>
  <c r="E50" i="2"/>
  <c r="D50" i="2"/>
  <c r="C50" i="2"/>
  <c r="B50" i="2"/>
  <c r="AH48" i="2"/>
  <c r="AI49" i="2" s="1"/>
  <c r="AG48" i="2"/>
  <c r="AF48" i="2"/>
  <c r="AE48" i="2"/>
  <c r="AD48" i="2"/>
  <c r="AB48" i="2"/>
  <c r="AA48" i="2"/>
  <c r="Y48" i="2"/>
  <c r="X48" i="2"/>
  <c r="W48" i="2"/>
  <c r="U48" i="2"/>
  <c r="T48" i="2"/>
  <c r="R48" i="2"/>
  <c r="Q48" i="2"/>
  <c r="P48" i="2"/>
  <c r="O48" i="2"/>
  <c r="N48" i="2"/>
  <c r="M48" i="2"/>
  <c r="K48" i="2"/>
  <c r="J48" i="2"/>
  <c r="I48" i="2"/>
  <c r="H48" i="2"/>
  <c r="G48" i="2"/>
  <c r="F48" i="2"/>
  <c r="E48" i="2"/>
  <c r="D48" i="2"/>
  <c r="C48" i="2"/>
  <c r="B48" i="2"/>
  <c r="S44" i="2"/>
  <c r="S42" i="2"/>
  <c r="S41" i="2"/>
  <c r="S39" i="2"/>
  <c r="S38" i="2"/>
  <c r="S37" i="2"/>
  <c r="AC36" i="2"/>
  <c r="S36" i="2"/>
  <c r="AP35" i="2"/>
  <c r="AH35" i="2"/>
  <c r="AH34" i="2" s="1"/>
  <c r="AG35" i="2"/>
  <c r="AG34" i="2" s="1"/>
  <c r="AF35" i="2"/>
  <c r="AE35" i="2"/>
  <c r="AE34" i="2" s="1"/>
  <c r="AD35" i="2"/>
  <c r="AD34" i="2" s="1"/>
  <c r="AC35" i="2"/>
  <c r="AB35" i="2"/>
  <c r="AB34" i="2" s="1"/>
  <c r="AA35" i="2"/>
  <c r="AA34" i="2" s="1"/>
  <c r="Z35" i="2"/>
  <c r="Z34" i="2" s="1"/>
  <c r="Y35" i="2"/>
  <c r="Y34" i="2" s="1"/>
  <c r="X35" i="2"/>
  <c r="W35" i="2"/>
  <c r="W34" i="2" s="1"/>
  <c r="V35" i="2"/>
  <c r="V34" i="2" s="1"/>
  <c r="U35" i="2"/>
  <c r="U34" i="2" s="1"/>
  <c r="T35" i="2"/>
  <c r="T34" i="2" s="1"/>
  <c r="R35" i="2"/>
  <c r="R34" i="2" s="1"/>
  <c r="Q35" i="2"/>
  <c r="Q34" i="2" s="1"/>
  <c r="P35" i="2"/>
  <c r="N35" i="2"/>
  <c r="N34" i="2" s="1"/>
  <c r="M35" i="2"/>
  <c r="M34" i="2" s="1"/>
  <c r="L35" i="2"/>
  <c r="L34" i="2" s="1"/>
  <c r="AP34" i="2"/>
  <c r="O34" i="2"/>
  <c r="K34" i="2"/>
  <c r="J34" i="2"/>
  <c r="I34" i="2"/>
  <c r="H34" i="2"/>
  <c r="G34" i="2"/>
  <c r="F34" i="2"/>
  <c r="E34" i="2"/>
  <c r="D34" i="2"/>
  <c r="C34" i="2"/>
  <c r="B34" i="2"/>
  <c r="S33" i="2"/>
  <c r="AC32" i="2"/>
  <c r="X32" i="2"/>
  <c r="S32" i="2"/>
  <c r="AC31" i="2"/>
  <c r="S31" i="2"/>
  <c r="AC30" i="2"/>
  <c r="S30" i="2"/>
  <c r="AC28" i="2"/>
  <c r="AC72" i="2" s="1"/>
  <c r="AC75" i="2" s="1"/>
  <c r="S28" i="2"/>
  <c r="S72" i="2" s="1"/>
  <c r="S75" i="2" s="1"/>
  <c r="AC27" i="2"/>
  <c r="S27" i="2"/>
  <c r="AH26" i="2"/>
  <c r="AG26" i="2"/>
  <c r="AF26" i="2"/>
  <c r="AE26" i="2"/>
  <c r="AD26" i="2"/>
  <c r="AB26" i="2"/>
  <c r="AA26" i="2"/>
  <c r="Z26" i="2"/>
  <c r="Y26" i="2"/>
  <c r="X26" i="2"/>
  <c r="W26" i="2"/>
  <c r="V26" i="2"/>
  <c r="U26" i="2"/>
  <c r="T26" i="2"/>
  <c r="R26" i="2"/>
  <c r="Q26" i="2"/>
  <c r="P26" i="2"/>
  <c r="O26" i="2"/>
  <c r="N26" i="2"/>
  <c r="M26" i="2"/>
  <c r="L26" i="2"/>
  <c r="K26" i="2"/>
  <c r="J26" i="2"/>
  <c r="I26" i="2"/>
  <c r="H26" i="2"/>
  <c r="G26" i="2"/>
  <c r="F26" i="2"/>
  <c r="E26" i="2"/>
  <c r="D26" i="2"/>
  <c r="C26" i="2"/>
  <c r="B26" i="2"/>
  <c r="S23" i="2"/>
  <c r="S22" i="2"/>
  <c r="AB21" i="2"/>
  <c r="AB14" i="2" s="1"/>
  <c r="X21" i="2"/>
  <c r="X14" i="2" s="1"/>
  <c r="S21" i="2"/>
  <c r="AC20" i="2"/>
  <c r="S20" i="2"/>
  <c r="AC19" i="2"/>
  <c r="S19" i="2"/>
  <c r="AC18" i="2"/>
  <c r="S18" i="2"/>
  <c r="AC17" i="2"/>
  <c r="S17" i="2"/>
  <c r="AC16" i="2"/>
  <c r="S16" i="2"/>
  <c r="AC15" i="2"/>
  <c r="S15" i="2"/>
  <c r="AH14" i="2"/>
  <c r="AG14" i="2"/>
  <c r="AF14" i="2"/>
  <c r="AE14" i="2"/>
  <c r="AD14" i="2"/>
  <c r="AA14" i="2"/>
  <c r="Z14" i="2"/>
  <c r="Y14" i="2"/>
  <c r="W14" i="2"/>
  <c r="V14" i="2"/>
  <c r="U14" i="2"/>
  <c r="T14" i="2"/>
  <c r="R14" i="2"/>
  <c r="Q14" i="2"/>
  <c r="P14" i="2"/>
  <c r="O14" i="2"/>
  <c r="N14" i="2"/>
  <c r="M14" i="2"/>
  <c r="L14" i="2"/>
  <c r="K14" i="2"/>
  <c r="J14" i="2"/>
  <c r="I14" i="2"/>
  <c r="H14" i="2"/>
  <c r="G14" i="2"/>
  <c r="F14" i="2"/>
  <c r="E14" i="2"/>
  <c r="D14" i="2"/>
  <c r="C14" i="2"/>
  <c r="B14" i="2"/>
  <c r="AR13" i="2"/>
  <c r="AS13" i="2" s="1"/>
  <c r="AT13" i="2" s="1"/>
  <c r="AU13" i="2" s="1"/>
  <c r="AC12" i="2"/>
  <c r="AC66" i="2" s="1"/>
  <c r="AC69" i="2" s="1"/>
  <c r="S12" i="2"/>
  <c r="S66" i="2" s="1"/>
  <c r="S69" i="2" s="1"/>
  <c r="O12" i="2"/>
  <c r="O66" i="2" s="1"/>
  <c r="O69" i="2" s="1"/>
  <c r="AC11" i="2"/>
  <c r="S11" i="2"/>
  <c r="AC10" i="2"/>
  <c r="S10" i="2"/>
  <c r="AC8" i="2"/>
  <c r="AC60" i="2" s="1"/>
  <c r="AC63" i="2" s="1"/>
  <c r="Z8" i="2"/>
  <c r="Z48" i="2" s="1"/>
  <c r="V8" i="2"/>
  <c r="V48" i="2" s="1"/>
  <c r="S8" i="2"/>
  <c r="S60" i="2" s="1"/>
  <c r="S63" i="2" s="1"/>
  <c r="L8" i="2"/>
  <c r="L60" i="2" s="1"/>
  <c r="L63" i="2" s="1"/>
  <c r="AH6" i="2"/>
  <c r="AG6" i="2"/>
  <c r="AG5" i="2" s="1"/>
  <c r="AF6" i="2"/>
  <c r="AE6" i="2"/>
  <c r="AD6" i="2"/>
  <c r="AC6" i="2"/>
  <c r="AB6" i="2"/>
  <c r="AA6" i="2"/>
  <c r="Z6" i="2"/>
  <c r="Y6" i="2"/>
  <c r="Y5" i="2" s="1"/>
  <c r="X6" i="2"/>
  <c r="W6" i="2"/>
  <c r="W5" i="2" s="1"/>
  <c r="V6" i="2"/>
  <c r="U6" i="2"/>
  <c r="U5" i="2" s="1"/>
  <c r="T6" i="2"/>
  <c r="R6" i="2"/>
  <c r="Q6" i="2"/>
  <c r="Q5" i="2" s="1"/>
  <c r="P6" i="2"/>
  <c r="P5" i="2" s="1"/>
  <c r="O6" i="2"/>
  <c r="N6" i="2"/>
  <c r="N5" i="2" s="1"/>
  <c r="M6" i="2"/>
  <c r="M5" i="2" s="1"/>
  <c r="L6" i="2"/>
  <c r="AF5" i="2"/>
  <c r="AF24" i="2" s="1"/>
  <c r="AE5" i="2"/>
  <c r="K5" i="2"/>
  <c r="J5" i="2"/>
  <c r="I5" i="2"/>
  <c r="H5" i="2"/>
  <c r="G5" i="2"/>
  <c r="F5" i="2"/>
  <c r="E5" i="2"/>
  <c r="D5" i="2"/>
  <c r="C5" i="2"/>
  <c r="B5" i="2"/>
  <c r="AU2" i="2"/>
  <c r="AU5" i="2" s="1"/>
  <c r="AT2" i="2"/>
  <c r="AT5" i="2" s="1"/>
  <c r="AS2" i="2"/>
  <c r="AS5" i="2" s="1"/>
  <c r="AS8" i="2" s="1"/>
  <c r="AS48" i="2" s="1"/>
  <c r="AR2" i="2"/>
  <c r="AR5" i="2" s="1"/>
  <c r="AQ2" i="2"/>
  <c r="AQ5" i="2" s="1"/>
  <c r="AQ12" i="2" s="1"/>
  <c r="AQ50" i="2" s="1"/>
  <c r="AP2" i="2"/>
  <c r="AP5" i="2" s="1"/>
  <c r="AO2" i="2"/>
  <c r="AO5" i="2" s="1"/>
  <c r="AO8" i="2" s="1"/>
  <c r="AO48" i="2" s="1"/>
  <c r="AH2" i="2"/>
  <c r="AG2" i="2"/>
  <c r="AG59" i="2" s="1"/>
  <c r="AE2" i="2"/>
  <c r="AE29" i="2" s="1"/>
  <c r="AD2" i="2"/>
  <c r="AC2" i="2"/>
  <c r="AC59" i="2" s="1"/>
  <c r="AA2" i="2"/>
  <c r="AA29" i="2" s="1"/>
  <c r="Z2" i="2"/>
  <c r="Y2" i="2"/>
  <c r="Y59" i="2" s="1"/>
  <c r="Q2" i="2"/>
  <c r="Q59" i="2" s="1"/>
  <c r="P2" i="2"/>
  <c r="P13" i="2" s="1"/>
  <c r="O2" i="2"/>
  <c r="O29" i="2" s="1"/>
  <c r="K2" i="2"/>
  <c r="K29" i="2" s="1"/>
  <c r="J2" i="2"/>
  <c r="I2" i="2"/>
  <c r="I59" i="2" s="1"/>
  <c r="H2" i="2"/>
  <c r="H13" i="2" s="1"/>
  <c r="G2" i="2"/>
  <c r="G29" i="2" s="1"/>
  <c r="F2" i="2"/>
  <c r="E2" i="2"/>
  <c r="E59" i="2" s="1"/>
  <c r="D2" i="2"/>
  <c r="D13" i="2" s="1"/>
  <c r="C2" i="2"/>
  <c r="C29" i="2" s="1"/>
  <c r="B2" i="2"/>
  <c r="BF15" i="20"/>
  <c r="BS14" i="20"/>
  <c r="BR14" i="20"/>
  <c r="BQ14" i="20"/>
  <c r="BC14" i="20"/>
  <c r="BB14" i="20"/>
  <c r="AY14" i="20"/>
  <c r="AE27" i="99" s="1"/>
  <c r="AX14" i="20"/>
  <c r="AD27" i="99" s="1"/>
  <c r="AW14" i="20"/>
  <c r="AC27" i="99" s="1"/>
  <c r="AT14" i="20"/>
  <c r="Z27" i="99" s="1"/>
  <c r="AS14" i="20"/>
  <c r="Y27" i="99" s="1"/>
  <c r="AR14" i="20"/>
  <c r="X27" i="99" s="1"/>
  <c r="AQ14" i="20"/>
  <c r="W27" i="99" s="1"/>
  <c r="AO14" i="20"/>
  <c r="U27" i="99" s="1"/>
  <c r="AN14" i="20"/>
  <c r="T27" i="99" s="1"/>
  <c r="AM14" i="20"/>
  <c r="S27" i="99" s="1"/>
  <c r="AL14" i="20"/>
  <c r="R27" i="99" s="1"/>
  <c r="AJ14" i="20"/>
  <c r="P27" i="99" s="1"/>
  <c r="AI14" i="20"/>
  <c r="O27" i="99" s="1"/>
  <c r="AH14" i="20"/>
  <c r="N27" i="99" s="1"/>
  <c r="AG14" i="20"/>
  <c r="AE14" i="20"/>
  <c r="AD14" i="20"/>
  <c r="AC14" i="20"/>
  <c r="AB14" i="20"/>
  <c r="Z14" i="20"/>
  <c r="Y14" i="20"/>
  <c r="X14" i="20"/>
  <c r="W14" i="20"/>
  <c r="U14" i="20"/>
  <c r="T14" i="20"/>
  <c r="S14" i="20"/>
  <c r="R14" i="20"/>
  <c r="Q14" i="20"/>
  <c r="Q15" i="20" s="1"/>
  <c r="O14" i="20"/>
  <c r="O15" i="20" s="1"/>
  <c r="N14" i="20"/>
  <c r="J14" i="20"/>
  <c r="F14" i="20"/>
  <c r="D14" i="20"/>
  <c r="C14" i="20"/>
  <c r="BN13" i="20"/>
  <c r="BL13" i="20"/>
  <c r="AF13" i="20"/>
  <c r="AA13" i="20"/>
  <c r="BN12" i="20"/>
  <c r="BL12" i="20"/>
  <c r="AF12" i="20"/>
  <c r="AA12" i="20"/>
  <c r="V12" i="20"/>
  <c r="BN11" i="20"/>
  <c r="BM11" i="20"/>
  <c r="BL11" i="20"/>
  <c r="BJ11" i="20"/>
  <c r="BJ14" i="20" s="1"/>
  <c r="AZ11" i="20"/>
  <c r="AZ10" i="20" s="1"/>
  <c r="AU11" i="20"/>
  <c r="AP11" i="20"/>
  <c r="AP14" i="20" s="1"/>
  <c r="AK11" i="20"/>
  <c r="AK14" i="20" s="1"/>
  <c r="AF11" i="20"/>
  <c r="AA11" i="20"/>
  <c r="V11" i="20"/>
  <c r="W10" i="20" s="1"/>
  <c r="P11" i="20"/>
  <c r="P14" i="20" s="1"/>
  <c r="BC10" i="20"/>
  <c r="BB10" i="20"/>
  <c r="BA10" i="20"/>
  <c r="AY10" i="20"/>
  <c r="AX10" i="20"/>
  <c r="AW10" i="20"/>
  <c r="AT10" i="20"/>
  <c r="AS10" i="20"/>
  <c r="AR10" i="20"/>
  <c r="AQ10" i="20"/>
  <c r="AP10" i="20"/>
  <c r="AO10" i="20"/>
  <c r="AN10" i="20"/>
  <c r="AM10" i="20"/>
  <c r="AL10" i="20"/>
  <c r="AJ10" i="20"/>
  <c r="AI10" i="20"/>
  <c r="AH10" i="20"/>
  <c r="AE10" i="20"/>
  <c r="AD10" i="20"/>
  <c r="AC10" i="20"/>
  <c r="Z10" i="20"/>
  <c r="Y10" i="20"/>
  <c r="U10" i="20"/>
  <c r="T10" i="20"/>
  <c r="BS8" i="20"/>
  <c r="BR8" i="20"/>
  <c r="BQ8" i="20"/>
  <c r="BC8" i="20"/>
  <c r="BB8" i="20"/>
  <c r="BA8" i="20"/>
  <c r="AG40" i="99" s="1"/>
  <c r="AY8" i="20"/>
  <c r="AE40" i="99" s="1"/>
  <c r="AX8" i="20"/>
  <c r="AD40" i="99" s="1"/>
  <c r="AV8" i="20"/>
  <c r="AB40" i="99" s="1"/>
  <c r="AT8" i="20"/>
  <c r="Z40" i="99" s="1"/>
  <c r="AS8" i="20"/>
  <c r="Y40" i="99" s="1"/>
  <c r="AR8" i="20"/>
  <c r="X40" i="99" s="1"/>
  <c r="AQ8" i="20"/>
  <c r="W40" i="99" s="1"/>
  <c r="AO8" i="20"/>
  <c r="AN8" i="20"/>
  <c r="T40" i="99" s="1"/>
  <c r="AM8" i="20"/>
  <c r="S40" i="99" s="1"/>
  <c r="AL8" i="20"/>
  <c r="R40" i="99" s="1"/>
  <c r="AJ8" i="20"/>
  <c r="P40" i="99" s="1"/>
  <c r="AI8" i="20"/>
  <c r="O40" i="99" s="1"/>
  <c r="AG8" i="20"/>
  <c r="M40" i="99" s="1"/>
  <c r="AE8" i="20"/>
  <c r="AD8" i="20"/>
  <c r="AC8" i="20"/>
  <c r="AC9" i="20" s="1"/>
  <c r="AB8" i="20"/>
  <c r="L40" i="99" s="1"/>
  <c r="Z8" i="20"/>
  <c r="Y8" i="20"/>
  <c r="X8" i="20"/>
  <c r="W8" i="20"/>
  <c r="K40" i="99" s="1"/>
  <c r="U8" i="20"/>
  <c r="BN7" i="20" s="1"/>
  <c r="T8" i="20"/>
  <c r="S8" i="20"/>
  <c r="R8" i="20"/>
  <c r="J40" i="99" s="1"/>
  <c r="Q8" i="20"/>
  <c r="O8" i="20"/>
  <c r="N8" i="20"/>
  <c r="I40" i="99" s="1"/>
  <c r="J8" i="20"/>
  <c r="F8" i="20"/>
  <c r="D8" i="20"/>
  <c r="C8" i="20"/>
  <c r="AZ7" i="20"/>
  <c r="AU7" i="20"/>
  <c r="AP7" i="20"/>
  <c r="AK7" i="20"/>
  <c r="AF7" i="20"/>
  <c r="AA7" i="20"/>
  <c r="V7" i="20"/>
  <c r="AW6" i="20"/>
  <c r="AZ6" i="20" s="1"/>
  <c r="AU6" i="20"/>
  <c r="AP6" i="20"/>
  <c r="AH6" i="20"/>
  <c r="AH8" i="20" s="1"/>
  <c r="N40" i="99" s="1"/>
  <c r="AF6" i="20"/>
  <c r="AA6" i="20"/>
  <c r="AZ5" i="20"/>
  <c r="AU5" i="20"/>
  <c r="AP5" i="20"/>
  <c r="AK5" i="20"/>
  <c r="AF5" i="20"/>
  <c r="AA5" i="20"/>
  <c r="V5" i="20"/>
  <c r="BL4" i="20"/>
  <c r="AW4" i="20"/>
  <c r="AU4" i="20"/>
  <c r="AP4" i="20"/>
  <c r="AK4" i="20"/>
  <c r="AF4" i="20"/>
  <c r="AA4" i="20"/>
  <c r="V4" i="20"/>
  <c r="P4" i="20"/>
  <c r="P8" i="20" s="1"/>
  <c r="P9" i="20" s="1"/>
  <c r="M27" i="99"/>
  <c r="L27" i="99"/>
  <c r="K27" i="99"/>
  <c r="J27" i="99"/>
  <c r="I27" i="99"/>
  <c r="AC24" i="99"/>
  <c r="V24" i="99"/>
  <c r="Q24" i="99"/>
  <c r="M24" i="99"/>
  <c r="AC22" i="99"/>
  <c r="AC20" i="99"/>
  <c r="M20" i="99"/>
  <c r="AE18" i="99"/>
  <c r="AD18" i="99"/>
  <c r="AC18" i="99"/>
  <c r="Z18" i="99"/>
  <c r="U26" i="99"/>
  <c r="T26" i="99"/>
  <c r="S26" i="99"/>
  <c r="O26" i="99"/>
  <c r="N26" i="99"/>
  <c r="AF12" i="99"/>
  <c r="M12" i="99"/>
  <c r="AF11" i="99"/>
  <c r="M11" i="99"/>
  <c r="R11" i="99" s="1"/>
  <c r="AF10" i="99"/>
  <c r="AA10" i="99"/>
  <c r="M10" i="99"/>
  <c r="R10" i="99" s="1"/>
  <c r="Q10" i="99" s="1"/>
  <c r="M9" i="99"/>
  <c r="AM31" i="97"/>
  <c r="AM32" i="97" s="1"/>
  <c r="N31" i="97"/>
  <c r="N32" i="97" s="1"/>
  <c r="AH22" i="20"/>
  <c r="C22" i="20"/>
  <c r="AF37" i="99"/>
  <c r="AA37" i="99"/>
  <c r="AF35" i="99"/>
  <c r="O35" i="99"/>
  <c r="AF33" i="99"/>
  <c r="AE32" i="99"/>
  <c r="AD32" i="99"/>
  <c r="AC32" i="99"/>
  <c r="AB32" i="99"/>
  <c r="Z32" i="99"/>
  <c r="Y32" i="99"/>
  <c r="X32" i="99"/>
  <c r="W32" i="99"/>
  <c r="U32" i="99"/>
  <c r="T32" i="99"/>
  <c r="S32" i="99"/>
  <c r="K65" i="2"/>
  <c r="K71" i="2" s="1"/>
  <c r="L6" i="66"/>
  <c r="G65" i="2"/>
  <c r="G71" i="2" s="1"/>
  <c r="F65" i="2"/>
  <c r="F71" i="2" s="1"/>
  <c r="E7" i="66"/>
  <c r="G6" i="66"/>
  <c r="F6" i="66"/>
  <c r="E6" i="66"/>
  <c r="M4" i="66"/>
  <c r="L4" i="66"/>
  <c r="K4" i="66"/>
  <c r="J4" i="66"/>
  <c r="I4" i="66"/>
  <c r="H4" i="66"/>
  <c r="G4" i="66"/>
  <c r="F4" i="66"/>
  <c r="E4" i="66"/>
  <c r="AC34" i="2" l="1"/>
  <c r="AH102" i="13"/>
  <c r="AK10" i="20"/>
  <c r="Q27" i="99"/>
  <c r="V27" i="99"/>
  <c r="V32" i="99"/>
  <c r="AA32" i="99"/>
  <c r="R32" i="99"/>
  <c r="Q32" i="99" s="1"/>
  <c r="K32" i="99"/>
  <c r="O8" i="99"/>
  <c r="O13" i="99" s="1"/>
  <c r="O14" i="99" s="1"/>
  <c r="AD8" i="99"/>
  <c r="AD13" i="99" s="1"/>
  <c r="AD14" i="99" s="1"/>
  <c r="AC16" i="99"/>
  <c r="AG20" i="99"/>
  <c r="AG16" i="99"/>
  <c r="L32" i="99"/>
  <c r="S28" i="99"/>
  <c r="M18" i="99"/>
  <c r="T8" i="99"/>
  <c r="T13" i="99" s="1"/>
  <c r="I16" i="99"/>
  <c r="N16" i="99"/>
  <c r="X16" i="99"/>
  <c r="F73" i="2"/>
  <c r="Q35" i="99"/>
  <c r="R22" i="99"/>
  <c r="Q11" i="99"/>
  <c r="N28" i="99"/>
  <c r="Q40" i="99"/>
  <c r="AG9" i="99"/>
  <c r="AF9" i="99" s="1"/>
  <c r="H8" i="99"/>
  <c r="H13" i="99" s="1"/>
  <c r="H14" i="99" s="1"/>
  <c r="K8" i="99"/>
  <c r="K13" i="99" s="1"/>
  <c r="P8" i="99"/>
  <c r="P13" i="99" s="1"/>
  <c r="U8" i="99"/>
  <c r="U13" i="99" s="1"/>
  <c r="U14" i="99" s="1"/>
  <c r="Z8" i="99"/>
  <c r="Z13" i="99" s="1"/>
  <c r="Z14" i="99" s="1"/>
  <c r="AE8" i="99"/>
  <c r="AE13" i="99" s="1"/>
  <c r="AE14" i="99" s="1"/>
  <c r="J16" i="99"/>
  <c r="O16" i="99"/>
  <c r="T16" i="99"/>
  <c r="Y16" i="99"/>
  <c r="AD16" i="99"/>
  <c r="R20" i="99"/>
  <c r="W20" i="99"/>
  <c r="AB20" i="99"/>
  <c r="O28" i="99"/>
  <c r="U28" i="99"/>
  <c r="AB18" i="99"/>
  <c r="AG18" i="99"/>
  <c r="M22" i="99"/>
  <c r="I32" i="99"/>
  <c r="M32" i="99"/>
  <c r="I8" i="99"/>
  <c r="I13" i="99" s="1"/>
  <c r="L8" i="99"/>
  <c r="L13" i="99" s="1"/>
  <c r="R8" i="99"/>
  <c r="W8" i="99"/>
  <c r="W13" i="99" s="1"/>
  <c r="W25" i="99" s="1"/>
  <c r="AB8" i="99"/>
  <c r="AB13" i="99" s="1"/>
  <c r="AG8" i="99"/>
  <c r="K16" i="99"/>
  <c r="P16" i="99"/>
  <c r="U16" i="99"/>
  <c r="Z16" i="99"/>
  <c r="AE16" i="99"/>
  <c r="Q27" i="13"/>
  <c r="Y18" i="99"/>
  <c r="U40" i="99"/>
  <c r="Y8" i="99"/>
  <c r="Y13" i="99" s="1"/>
  <c r="Y14" i="99" s="1"/>
  <c r="S16" i="99"/>
  <c r="T28" i="99"/>
  <c r="P26" i="99"/>
  <c r="X18" i="99"/>
  <c r="J32" i="99"/>
  <c r="J8" i="99"/>
  <c r="J13" i="99" s="1"/>
  <c r="N8" i="99"/>
  <c r="N13" i="99" s="1"/>
  <c r="N14" i="99" s="1"/>
  <c r="S8" i="99"/>
  <c r="S13" i="99" s="1"/>
  <c r="S14" i="99" s="1"/>
  <c r="X8" i="99"/>
  <c r="X13" i="99" s="1"/>
  <c r="AC8" i="99"/>
  <c r="AC13" i="99" s="1"/>
  <c r="L16" i="99"/>
  <c r="R16" i="99"/>
  <c r="W16" i="99"/>
  <c r="AB16" i="99"/>
  <c r="AH111" i="13"/>
  <c r="E5" i="21"/>
  <c r="B29" i="63"/>
  <c r="B30" i="63" s="1"/>
  <c r="I31" i="97"/>
  <c r="I32" i="97" s="1"/>
  <c r="AH33" i="97"/>
  <c r="AH42" i="97" s="1"/>
  <c r="AH31" i="97"/>
  <c r="AH32" i="97" s="1"/>
  <c r="X36" i="97"/>
  <c r="X33" i="97"/>
  <c r="X34" i="97" s="1"/>
  <c r="X31" i="97"/>
  <c r="X32" i="97" s="1"/>
  <c r="AC40" i="97"/>
  <c r="AH10" i="13"/>
  <c r="AH14" i="13"/>
  <c r="AH18" i="13"/>
  <c r="AH26" i="13"/>
  <c r="AD27" i="13"/>
  <c r="AH30" i="13"/>
  <c r="AD31" i="13"/>
  <c r="AH34" i="13"/>
  <c r="AD35" i="13"/>
  <c r="AH38" i="13"/>
  <c r="AD39" i="13"/>
  <c r="AH42" i="13"/>
  <c r="AD43" i="13"/>
  <c r="AH46" i="13"/>
  <c r="AD47" i="13"/>
  <c r="AH50" i="13"/>
  <c r="AD51" i="13"/>
  <c r="AH54" i="13"/>
  <c r="AD55" i="13"/>
  <c r="AH58" i="13"/>
  <c r="AD59" i="13"/>
  <c r="AH62" i="13"/>
  <c r="AD63" i="13"/>
  <c r="AH66" i="13"/>
  <c r="AD67" i="13"/>
  <c r="AH70" i="13"/>
  <c r="AD71" i="13"/>
  <c r="AH74" i="13"/>
  <c r="AD75" i="13"/>
  <c r="AH78" i="13"/>
  <c r="AD79" i="13"/>
  <c r="AH82" i="13"/>
  <c r="AD83" i="13"/>
  <c r="AH86" i="13"/>
  <c r="AD87" i="13"/>
  <c r="AC33" i="97"/>
  <c r="AC34" i="97" s="1"/>
  <c r="AC36" i="97"/>
  <c r="AC31" i="97"/>
  <c r="AC32" i="97" s="1"/>
  <c r="S34" i="97"/>
  <c r="Q16" i="99"/>
  <c r="X40" i="97"/>
  <c r="AH7" i="13"/>
  <c r="AH11" i="13"/>
  <c r="AH15" i="13"/>
  <c r="AH19" i="13"/>
  <c r="AH20" i="13"/>
  <c r="AH21" i="13"/>
  <c r="AH22" i="13"/>
  <c r="AH23" i="13"/>
  <c r="AH24" i="13"/>
  <c r="AH25" i="13"/>
  <c r="AD26" i="13"/>
  <c r="AH29" i="13"/>
  <c r="AD30" i="13"/>
  <c r="AH33" i="13"/>
  <c r="AD34" i="13"/>
  <c r="AH37" i="13"/>
  <c r="AD38" i="13"/>
  <c r="AH41" i="13"/>
  <c r="AD42" i="13"/>
  <c r="AH45" i="13"/>
  <c r="AD46" i="13"/>
  <c r="AH49" i="13"/>
  <c r="AD50" i="13"/>
  <c r="AH53" i="13"/>
  <c r="AD54" i="13"/>
  <c r="AH57" i="13"/>
  <c r="AD58" i="13"/>
  <c r="AH61" i="13"/>
  <c r="AD62" i="13"/>
  <c r="AH65" i="13"/>
  <c r="AD66" i="13"/>
  <c r="AH69" i="13"/>
  <c r="AD70" i="13"/>
  <c r="AH73" i="13"/>
  <c r="AD74" i="13"/>
  <c r="AH77" i="13"/>
  <c r="AD78" i="13"/>
  <c r="AH81" i="13"/>
  <c r="AD82" i="13"/>
  <c r="AH85" i="13"/>
  <c r="AD86" i="13"/>
  <c r="AH89" i="13"/>
  <c r="AH90" i="13"/>
  <c r="AH91" i="13"/>
  <c r="AD92" i="13"/>
  <c r="AD93" i="13"/>
  <c r="AD94" i="13"/>
  <c r="AH107" i="13"/>
  <c r="AD108" i="13"/>
  <c r="Q112" i="13"/>
  <c r="L17" i="63"/>
  <c r="L29" i="63" s="1"/>
  <c r="L30" i="63" s="1"/>
  <c r="AW8" i="20"/>
  <c r="AW17" i="20" s="1"/>
  <c r="X20" i="20"/>
  <c r="AC20" i="20"/>
  <c r="AH98" i="13"/>
  <c r="AD99" i="13"/>
  <c r="N24" i="2"/>
  <c r="Q88" i="13"/>
  <c r="S100" i="13"/>
  <c r="AD105" i="13"/>
  <c r="S9" i="21"/>
  <c r="T40" i="2"/>
  <c r="T45" i="2" s="1"/>
  <c r="S52" i="2"/>
  <c r="S53" i="2" s="1"/>
  <c r="AH15" i="20"/>
  <c r="AE26" i="99"/>
  <c r="BQ17" i="20"/>
  <c r="AO17" i="20"/>
  <c r="BR17" i="20"/>
  <c r="X5" i="2"/>
  <c r="X24" i="2" s="1"/>
  <c r="AC14" i="2"/>
  <c r="AG40" i="2"/>
  <c r="AG45" i="2" s="1"/>
  <c r="Y53" i="2"/>
  <c r="Q29" i="13"/>
  <c r="Q33" i="13"/>
  <c r="Q37" i="13"/>
  <c r="Q41" i="13"/>
  <c r="Q45" i="13"/>
  <c r="Q49" i="13"/>
  <c r="Q53" i="13"/>
  <c r="Q57" i="13"/>
  <c r="Q61" i="13"/>
  <c r="Q65" i="13"/>
  <c r="Z72" i="13"/>
  <c r="Q81" i="13"/>
  <c r="Q85" i="13"/>
  <c r="Z88" i="13"/>
  <c r="T86" i="13"/>
  <c r="Q93" i="13"/>
  <c r="H24" i="2"/>
  <c r="S14" i="2"/>
  <c r="AA8" i="20"/>
  <c r="AC26" i="2"/>
  <c r="AC40" i="2" s="1"/>
  <c r="AC45" i="2" s="1"/>
  <c r="R51" i="2"/>
  <c r="AF51" i="2"/>
  <c r="AP8" i="20"/>
  <c r="T20" i="20"/>
  <c r="Y20" i="20"/>
  <c r="T5" i="2"/>
  <c r="L5" i="2"/>
  <c r="L24" i="2" s="1"/>
  <c r="P24" i="2"/>
  <c r="C40" i="2"/>
  <c r="C45" i="2" s="1"/>
  <c r="G40" i="2"/>
  <c r="G45" i="2" s="1"/>
  <c r="K40" i="2"/>
  <c r="K45" i="2" s="1"/>
  <c r="O40" i="2"/>
  <c r="O45" i="2" s="1"/>
  <c r="L67" i="2"/>
  <c r="U67" i="2"/>
  <c r="AG67" i="2"/>
  <c r="K72" i="34"/>
  <c r="P40" i="52"/>
  <c r="P43" i="52" s="1"/>
  <c r="Q40" i="52"/>
  <c r="Q43" i="52" s="1"/>
  <c r="AT20" i="20"/>
  <c r="U40" i="2"/>
  <c r="U45" i="2" s="1"/>
  <c r="Y40" i="2"/>
  <c r="Y45" i="2" s="1"/>
  <c r="Q30" i="13"/>
  <c r="Q34" i="13"/>
  <c r="Q38" i="13"/>
  <c r="Q42" i="13"/>
  <c r="Q46" i="13"/>
  <c r="Q50" i="13"/>
  <c r="Q54" i="13"/>
  <c r="Q58" i="13"/>
  <c r="Q62" i="13"/>
  <c r="Q66" i="13"/>
  <c r="J82" i="13"/>
  <c r="Q31" i="13"/>
  <c r="Q35" i="13"/>
  <c r="Q39" i="13"/>
  <c r="Q43" i="13"/>
  <c r="Q47" i="13"/>
  <c r="Q51" i="13"/>
  <c r="Q55" i="13"/>
  <c r="Q59" i="13"/>
  <c r="Q63" i="13"/>
  <c r="S67" i="13"/>
  <c r="D24" i="2"/>
  <c r="AG17" i="20"/>
  <c r="Q28" i="13"/>
  <c r="Q32" i="13"/>
  <c r="Q36" i="13"/>
  <c r="Q40" i="13"/>
  <c r="Q44" i="13"/>
  <c r="Q48" i="13"/>
  <c r="Q52" i="13"/>
  <c r="Q56" i="13"/>
  <c r="Q60" i="13"/>
  <c r="S69" i="13"/>
  <c r="Z76" i="13"/>
  <c r="Q69" i="13"/>
  <c r="S101" i="13"/>
  <c r="AZ4" i="20"/>
  <c r="AZ8" i="20" s="1"/>
  <c r="AF40" i="99" s="1"/>
  <c r="AK6" i="20"/>
  <c r="AK8" i="20" s="1"/>
  <c r="AD20" i="20"/>
  <c r="B40" i="2"/>
  <c r="B45" i="2" s="1"/>
  <c r="Q40" i="2"/>
  <c r="Q45" i="2" s="1"/>
  <c r="Z40" i="2"/>
  <c r="Z45" i="2" s="1"/>
  <c r="M54" i="2"/>
  <c r="Z20" i="20"/>
  <c r="AA5" i="2"/>
  <c r="AA24" i="2" s="1"/>
  <c r="AB40" i="2"/>
  <c r="AB45" i="2" s="1"/>
  <c r="R40" i="2"/>
  <c r="R45" i="2" s="1"/>
  <c r="K66" i="34"/>
  <c r="K69" i="34" s="1"/>
  <c r="G73" i="2"/>
  <c r="K73" i="2"/>
  <c r="AC26" i="99"/>
  <c r="AC28" i="99" s="1"/>
  <c r="AU8" i="20"/>
  <c r="AA40" i="99" s="1"/>
  <c r="B24" i="2"/>
  <c r="F24" i="2"/>
  <c r="J24" i="2"/>
  <c r="AB5" i="2"/>
  <c r="AB24" i="2" s="1"/>
  <c r="AD40" i="2"/>
  <c r="AD45" i="2" s="1"/>
  <c r="S26" i="2"/>
  <c r="S48" i="2"/>
  <c r="Q51" i="2"/>
  <c r="G10" i="32"/>
  <c r="H14" i="32"/>
  <c r="H28" i="32" s="1"/>
  <c r="H19" i="32"/>
  <c r="H33" i="32" s="1"/>
  <c r="H47" i="32" s="1"/>
  <c r="T70" i="13"/>
  <c r="Z83" i="13"/>
  <c r="Q84" i="13"/>
  <c r="T103" i="13"/>
  <c r="T114" i="13"/>
  <c r="F11" i="32"/>
  <c r="H15" i="32"/>
  <c r="H29" i="32" s="1"/>
  <c r="H43" i="32" s="1"/>
  <c r="G20" i="32"/>
  <c r="G34" i="32" s="1"/>
  <c r="T74" i="13"/>
  <c r="Z80" i="13"/>
  <c r="Z84" i="13"/>
  <c r="Z87" i="13"/>
  <c r="T125" i="13"/>
  <c r="H11" i="32"/>
  <c r="I16" i="32"/>
  <c r="I30" i="32" s="1"/>
  <c r="I44" i="32" s="1"/>
  <c r="F23" i="32"/>
  <c r="F37" i="32" s="1"/>
  <c r="F51" i="32" s="1"/>
  <c r="Q64" i="13"/>
  <c r="Z68" i="13"/>
  <c r="T69" i="13"/>
  <c r="Z71" i="13"/>
  <c r="Q72" i="13"/>
  <c r="T75" i="13"/>
  <c r="Z95" i="13"/>
  <c r="AH113" i="13"/>
  <c r="Q118" i="13"/>
  <c r="F8" i="32"/>
  <c r="H13" i="32"/>
  <c r="H27" i="32" s="1"/>
  <c r="H18" i="32"/>
  <c r="H32" i="32" s="1"/>
  <c r="H46" i="32" s="1"/>
  <c r="H25" i="32"/>
  <c r="H39" i="32" s="1"/>
  <c r="T67" i="13"/>
  <c r="J70" i="13"/>
  <c r="T98" i="13"/>
  <c r="S22" i="20"/>
  <c r="S9" i="20" s="1"/>
  <c r="H6" i="66"/>
  <c r="AE22" i="20"/>
  <c r="AE15" i="20" s="1"/>
  <c r="AA14" i="20"/>
  <c r="AA20" i="20" s="1"/>
  <c r="AA10" i="20"/>
  <c r="AB10" i="20"/>
  <c r="AU14" i="20"/>
  <c r="AU10" i="20"/>
  <c r="O17" i="20"/>
  <c r="O18" i="20" s="1"/>
  <c r="BL8" i="20"/>
  <c r="BJ8" i="20" s="1"/>
  <c r="BJ9" i="20" s="1"/>
  <c r="AX17" i="20"/>
  <c r="Y9" i="20"/>
  <c r="AE20" i="20"/>
  <c r="BB20" i="20"/>
  <c r="AC17" i="20"/>
  <c r="AJ20" i="20"/>
  <c r="O5" i="2"/>
  <c r="O24" i="2" s="1"/>
  <c r="P34" i="2"/>
  <c r="P40" i="2" s="1"/>
  <c r="P45" i="2" s="1"/>
  <c r="X34" i="2"/>
  <c r="X40" i="2" s="1"/>
  <c r="X45" i="2" s="1"/>
  <c r="AF34" i="2"/>
  <c r="AF40" i="2" s="1"/>
  <c r="AF45" i="2" s="1"/>
  <c r="B54" i="2"/>
  <c r="B55" i="2" s="1"/>
  <c r="AC48" i="2"/>
  <c r="AC49" i="2" s="1"/>
  <c r="C73" i="2"/>
  <c r="B28" i="63"/>
  <c r="J66" i="34"/>
  <c r="J69" i="34" s="1"/>
  <c r="J78" i="13"/>
  <c r="L84" i="13"/>
  <c r="J87" i="13"/>
  <c r="Q20" i="20"/>
  <c r="BN9" i="20"/>
  <c r="BM8" i="20"/>
  <c r="AD17" i="20"/>
  <c r="AT17" i="20"/>
  <c r="AD9" i="20"/>
  <c r="V14" i="20"/>
  <c r="N20" i="20"/>
  <c r="R20" i="20"/>
  <c r="W20" i="20"/>
  <c r="AB20" i="20"/>
  <c r="AG20" i="20"/>
  <c r="AO20" i="20"/>
  <c r="AQ8" i="2"/>
  <c r="AQ48" i="2" s="1"/>
  <c r="AQ54" i="2" s="1"/>
  <c r="AS12" i="2"/>
  <c r="AS50" i="2" s="1"/>
  <c r="AS54" i="2" s="1"/>
  <c r="N40" i="2"/>
  <c r="N45" i="2" s="1"/>
  <c r="S35" i="2"/>
  <c r="W40" i="2"/>
  <c r="W45" i="2" s="1"/>
  <c r="AA40" i="2"/>
  <c r="AA45" i="2" s="1"/>
  <c r="C54" i="2"/>
  <c r="K49" i="2"/>
  <c r="D51" i="2"/>
  <c r="E53" i="2"/>
  <c r="I53" i="2"/>
  <c r="U53" i="2"/>
  <c r="AC52" i="2"/>
  <c r="AC53" i="2" s="1"/>
  <c r="AG53" i="2"/>
  <c r="D90" i="34"/>
  <c r="E90" i="34" s="1"/>
  <c r="E91" i="34" s="1"/>
  <c r="J68" i="13"/>
  <c r="T78" i="13"/>
  <c r="J90" i="13"/>
  <c r="J98" i="13"/>
  <c r="Q109" i="13"/>
  <c r="S109" i="13"/>
  <c r="O20" i="20"/>
  <c r="AG24" i="2"/>
  <c r="AH40" i="2"/>
  <c r="AH45" i="2" s="1"/>
  <c r="AC67" i="2"/>
  <c r="D91" i="34"/>
  <c r="G25" i="32"/>
  <c r="G39" i="32" s="1"/>
  <c r="G24" i="32"/>
  <c r="G38" i="32" s="1"/>
  <c r="G52" i="32" s="1"/>
  <c r="G22" i="32"/>
  <c r="G36" i="32" s="1"/>
  <c r="G50" i="32" s="1"/>
  <c r="G18" i="32"/>
  <c r="G32" i="32" s="1"/>
  <c r="G46" i="32" s="1"/>
  <c r="G16" i="32"/>
  <c r="G30" i="32" s="1"/>
  <c r="G44" i="32" s="1"/>
  <c r="G14" i="32"/>
  <c r="G28" i="32" s="1"/>
  <c r="G42" i="32" s="1"/>
  <c r="G11" i="32"/>
  <c r="G26" i="32"/>
  <c r="G40" i="32" s="1"/>
  <c r="G7" i="32"/>
  <c r="G23" i="32"/>
  <c r="G37" i="32" s="1"/>
  <c r="G51" i="32" s="1"/>
  <c r="G19" i="32"/>
  <c r="G33" i="32" s="1"/>
  <c r="G47" i="32" s="1"/>
  <c r="G15" i="32"/>
  <c r="G29" i="32" s="1"/>
  <c r="G43" i="32" s="1"/>
  <c r="G12" i="32"/>
  <c r="G8" i="32"/>
  <c r="J69" i="13"/>
  <c r="Q73" i="13"/>
  <c r="J74" i="13"/>
  <c r="S95" i="13"/>
  <c r="T90" i="13"/>
  <c r="T100" i="13"/>
  <c r="J104" i="13"/>
  <c r="S17" i="20"/>
  <c r="X17" i="20"/>
  <c r="AF8" i="20"/>
  <c r="Y17" i="20"/>
  <c r="AS17" i="20"/>
  <c r="AY20" i="20"/>
  <c r="AC5" i="2"/>
  <c r="AC24" i="2" s="1"/>
  <c r="V40" i="2"/>
  <c r="V45" i="2" s="1"/>
  <c r="W49" i="2"/>
  <c r="X51" i="2"/>
  <c r="AB51" i="2"/>
  <c r="V60" i="2"/>
  <c r="V63" i="2" s="1"/>
  <c r="H62" i="34"/>
  <c r="H63" i="34" s="1"/>
  <c r="H64" i="34" s="1"/>
  <c r="J112" i="13"/>
  <c r="J86" i="13"/>
  <c r="L76" i="13"/>
  <c r="J94" i="13"/>
  <c r="S102" i="13"/>
  <c r="Q97" i="13"/>
  <c r="Q104" i="13"/>
  <c r="J110" i="13"/>
  <c r="I6" i="32"/>
  <c r="H10" i="32"/>
  <c r="H17" i="32"/>
  <c r="H31" i="32" s="1"/>
  <c r="H45" i="32" s="1"/>
  <c r="I20" i="32"/>
  <c r="I34" i="32" s="1"/>
  <c r="I48" i="32" s="1"/>
  <c r="E26" i="32"/>
  <c r="E40" i="32" s="1"/>
  <c r="J71" i="13"/>
  <c r="Z75" i="13"/>
  <c r="J79" i="13"/>
  <c r="T87" i="13"/>
  <c r="J91" i="13"/>
  <c r="AH92" i="13"/>
  <c r="Z93" i="13"/>
  <c r="AH94" i="13"/>
  <c r="AH95" i="13"/>
  <c r="AD96" i="13"/>
  <c r="AD98" i="13"/>
  <c r="Z99" i="13"/>
  <c r="AD100" i="13"/>
  <c r="Z103" i="13"/>
  <c r="AH105" i="13"/>
  <c r="AH106" i="13"/>
  <c r="AD107" i="13"/>
  <c r="S111" i="13"/>
  <c r="AD113" i="13"/>
  <c r="AD114" i="13"/>
  <c r="AD115" i="13"/>
  <c r="W9" i="21"/>
  <c r="E9" i="32"/>
  <c r="I17" i="32"/>
  <c r="I31" i="32" s="1"/>
  <c r="I45" i="32" s="1"/>
  <c r="E24" i="32"/>
  <c r="E38" i="32" s="1"/>
  <c r="E52" i="32" s="1"/>
  <c r="T71" i="13"/>
  <c r="Q76" i="13"/>
  <c r="Q77" i="13"/>
  <c r="T79" i="13"/>
  <c r="T82" i="13"/>
  <c r="J83" i="13"/>
  <c r="Q89" i="13"/>
  <c r="T91" i="13"/>
  <c r="Q92" i="13"/>
  <c r="J93" i="13"/>
  <c r="T94" i="13"/>
  <c r="L88" i="13"/>
  <c r="T108" i="13"/>
  <c r="Z111" i="13"/>
  <c r="E6" i="32"/>
  <c r="E8" i="32"/>
  <c r="H9" i="32"/>
  <c r="Q67" i="13"/>
  <c r="T68" i="13"/>
  <c r="S71" i="13"/>
  <c r="J75" i="13"/>
  <c r="Z79" i="13"/>
  <c r="Q80" i="13"/>
  <c r="T83" i="13"/>
  <c r="AD90" i="13"/>
  <c r="Z91" i="13"/>
  <c r="T93" i="13"/>
  <c r="T95" i="13"/>
  <c r="Q96" i="13"/>
  <c r="J97" i="13"/>
  <c r="AD97" i="13"/>
  <c r="AH99" i="13"/>
  <c r="Q101" i="13"/>
  <c r="J102" i="13"/>
  <c r="AH103" i="13"/>
  <c r="AH109" i="13"/>
  <c r="AH110" i="13"/>
  <c r="AD111" i="13"/>
  <c r="I115" i="13"/>
  <c r="K72" i="13" s="1"/>
  <c r="S116" i="13"/>
  <c r="J12" i="83"/>
  <c r="Z9" i="21"/>
  <c r="I23" i="83"/>
  <c r="K8" i="83"/>
  <c r="K11" i="83" s="1"/>
  <c r="K15" i="83" s="1"/>
  <c r="K17" i="83" s="1"/>
  <c r="K6" i="83" s="1"/>
  <c r="J20" i="83"/>
  <c r="J22" i="83" s="1"/>
  <c r="J21" i="83"/>
  <c r="K50" i="57"/>
  <c r="O50" i="57" s="1"/>
  <c r="Z34" i="99"/>
  <c r="U22" i="20"/>
  <c r="Y22" i="20"/>
  <c r="Y15" i="20" s="1"/>
  <c r="AT8" i="2"/>
  <c r="AT48" i="2" s="1"/>
  <c r="AT12" i="2"/>
  <c r="AT50" i="2" s="1"/>
  <c r="G17" i="63"/>
  <c r="G29" i="63" s="1"/>
  <c r="G30" i="63" s="1"/>
  <c r="K6" i="66"/>
  <c r="AC22" i="20"/>
  <c r="AC15" i="20" s="1"/>
  <c r="L2" i="2"/>
  <c r="AF2" i="2"/>
  <c r="AF13" i="2" s="1"/>
  <c r="AM20" i="20"/>
  <c r="AM17" i="20"/>
  <c r="P15" i="20"/>
  <c r="P20" i="20"/>
  <c r="AR20" i="20"/>
  <c r="P17" i="20"/>
  <c r="P18" i="20" s="1"/>
  <c r="AR12" i="2"/>
  <c r="AR50" i="2" s="1"/>
  <c r="AR8" i="2"/>
  <c r="AR48" i="2" s="1"/>
  <c r="V5" i="2"/>
  <c r="V24" i="2" s="1"/>
  <c r="AD5" i="2"/>
  <c r="AD24" i="2" s="1"/>
  <c r="AH5" i="2"/>
  <c r="AH24" i="2" s="1"/>
  <c r="T22" i="20"/>
  <c r="X22" i="20"/>
  <c r="AZ22" i="20"/>
  <c r="V8" i="99"/>
  <c r="V13" i="99" s="1"/>
  <c r="V14" i="99" s="1"/>
  <c r="AF22" i="99"/>
  <c r="AF24" i="99"/>
  <c r="V8" i="20"/>
  <c r="W17" i="20"/>
  <c r="AA9" i="20"/>
  <c r="AE17" i="20"/>
  <c r="AE9" i="20"/>
  <c r="AQ17" i="20"/>
  <c r="AY17" i="20"/>
  <c r="BN8" i="20"/>
  <c r="O9" i="20"/>
  <c r="AZ14" i="20"/>
  <c r="AF27" i="99" s="1"/>
  <c r="AU12" i="2"/>
  <c r="AU50" i="2" s="1"/>
  <c r="AU8" i="2"/>
  <c r="AU48" i="2" s="1"/>
  <c r="AO12" i="2"/>
  <c r="AO50" i="2" s="1"/>
  <c r="AO54" i="2" s="1"/>
  <c r="AA49" i="2"/>
  <c r="D53" i="2"/>
  <c r="Z60" i="2"/>
  <c r="Z63" i="2" s="1"/>
  <c r="F17" i="63"/>
  <c r="F29" i="63" s="1"/>
  <c r="F30" i="63" s="1"/>
  <c r="AC7" i="99"/>
  <c r="K70" i="34"/>
  <c r="K68" i="34"/>
  <c r="AF9" i="20"/>
  <c r="Z5" i="2"/>
  <c r="Z24" i="2" s="1"/>
  <c r="Z22" i="20"/>
  <c r="AD22" i="20"/>
  <c r="M2" i="2"/>
  <c r="M55" i="2" s="1"/>
  <c r="BJ17" i="20"/>
  <c r="AI17" i="20"/>
  <c r="AI9" i="20"/>
  <c r="AN20" i="20"/>
  <c r="T17" i="20"/>
  <c r="S20" i="20"/>
  <c r="AP8" i="2"/>
  <c r="AP48" i="2" s="1"/>
  <c r="AP59" i="2"/>
  <c r="AP12" i="2"/>
  <c r="AP50" i="2" s="1"/>
  <c r="R5" i="2"/>
  <c r="R24" i="2" s="1"/>
  <c r="AI67" i="2"/>
  <c r="AH69" i="2"/>
  <c r="AI73" i="2"/>
  <c r="AH75" i="2"/>
  <c r="C17" i="63"/>
  <c r="C29" i="63" s="1"/>
  <c r="C30" i="63" s="1"/>
  <c r="D17" i="63"/>
  <c r="D29" i="63" s="1"/>
  <c r="D30" i="63" s="1"/>
  <c r="AG10" i="20"/>
  <c r="AF10" i="20"/>
  <c r="P67" i="2"/>
  <c r="E17" i="63"/>
  <c r="E29" i="63" s="1"/>
  <c r="E30" i="63" s="1"/>
  <c r="N2" i="2"/>
  <c r="N59" i="2" s="1"/>
  <c r="N74" i="2" s="1"/>
  <c r="Q8" i="99"/>
  <c r="AH17" i="20"/>
  <c r="BC17" i="20"/>
  <c r="AH9" i="20"/>
  <c r="AF14" i="20"/>
  <c r="AE40" i="2"/>
  <c r="AE45" i="2" s="1"/>
  <c r="AP36" i="2"/>
  <c r="AO59" i="2"/>
  <c r="AI61" i="2"/>
  <c r="AH63" i="2"/>
  <c r="R9" i="99"/>
  <c r="AB6" i="99"/>
  <c r="W6" i="99"/>
  <c r="F41" i="32"/>
  <c r="Z9" i="20"/>
  <c r="BL14" i="20"/>
  <c r="Q17" i="20"/>
  <c r="Q18" i="20" s="1"/>
  <c r="U17" i="20"/>
  <c r="Z17" i="20"/>
  <c r="AL17" i="20"/>
  <c r="BB17" i="20"/>
  <c r="S6" i="2"/>
  <c r="D54" i="2"/>
  <c r="D78" i="2" s="1"/>
  <c r="H54" i="2"/>
  <c r="I41" i="99" s="1"/>
  <c r="L48" i="2"/>
  <c r="L54" i="2" s="1"/>
  <c r="P54" i="2"/>
  <c r="N41" i="99" s="1"/>
  <c r="T54" i="2"/>
  <c r="X54" i="2"/>
  <c r="V41" i="99" s="1"/>
  <c r="AB54" i="2"/>
  <c r="AA41" i="99" s="1"/>
  <c r="AF54" i="2"/>
  <c r="AF41" i="99" s="1"/>
  <c r="H51" i="2"/>
  <c r="O50" i="2"/>
  <c r="P51" i="2" s="1"/>
  <c r="S50" i="2"/>
  <c r="S51" i="2" s="1"/>
  <c r="M73" i="2"/>
  <c r="Q73" i="2"/>
  <c r="V73" i="2"/>
  <c r="Z73" i="2"/>
  <c r="AD73" i="2"/>
  <c r="AH73" i="2"/>
  <c r="AD7" i="99"/>
  <c r="G48" i="32"/>
  <c r="Q9" i="20"/>
  <c r="N17" i="20"/>
  <c r="R17" i="20"/>
  <c r="U20" i="20"/>
  <c r="AH20" i="20"/>
  <c r="AW20" i="20"/>
  <c r="N73" i="2"/>
  <c r="R73" i="2"/>
  <c r="W73" i="2"/>
  <c r="AA73" i="2"/>
  <c r="AE73" i="2"/>
  <c r="E54" i="32"/>
  <c r="X9" i="20"/>
  <c r="AB17" i="20"/>
  <c r="AJ17" i="20"/>
  <c r="AN17" i="20"/>
  <c r="AR17" i="20"/>
  <c r="AI20" i="20"/>
  <c r="AS20" i="20"/>
  <c r="AX20" i="20"/>
  <c r="BC20" i="20"/>
  <c r="C24" i="2"/>
  <c r="G24" i="2"/>
  <c r="K24" i="2"/>
  <c r="W24" i="2"/>
  <c r="AE24" i="2"/>
  <c r="F40" i="2"/>
  <c r="F45" i="2" s="1"/>
  <c r="J40" i="2"/>
  <c r="J45" i="2" s="1"/>
  <c r="E51" i="2"/>
  <c r="I51" i="2"/>
  <c r="U51" i="2"/>
  <c r="Y51" i="2"/>
  <c r="AC50" i="2"/>
  <c r="AC51" i="2" s="1"/>
  <c r="AG51" i="2"/>
  <c r="F53" i="2"/>
  <c r="J53" i="2"/>
  <c r="R53" i="2"/>
  <c r="V53" i="2"/>
  <c r="Z53" i="2"/>
  <c r="D67" i="2"/>
  <c r="O73" i="2"/>
  <c r="S73" i="2"/>
  <c r="X73" i="2"/>
  <c r="AB73" i="2"/>
  <c r="AF73" i="2"/>
  <c r="J72" i="34"/>
  <c r="I49" i="32"/>
  <c r="H42" i="32"/>
  <c r="E48" i="32"/>
  <c r="G63" i="34"/>
  <c r="G64" i="34" s="1"/>
  <c r="G66" i="34" s="1"/>
  <c r="G69" i="34" s="1"/>
  <c r="E23" i="32"/>
  <c r="E37" i="32" s="1"/>
  <c r="E51" i="32" s="1"/>
  <c r="E19" i="32"/>
  <c r="E33" i="32" s="1"/>
  <c r="E47" i="32" s="1"/>
  <c r="E15" i="32"/>
  <c r="E29" i="32" s="1"/>
  <c r="E43" i="32" s="1"/>
  <c r="E11" i="32"/>
  <c r="E7" i="32"/>
  <c r="E18" i="32"/>
  <c r="E32" i="32" s="1"/>
  <c r="E46" i="32" s="1"/>
  <c r="E17" i="32"/>
  <c r="E31" i="32" s="1"/>
  <c r="E45" i="32" s="1"/>
  <c r="E16" i="32"/>
  <c r="E30" i="32" s="1"/>
  <c r="E44" i="32" s="1"/>
  <c r="E14" i="32"/>
  <c r="E28" i="32" s="1"/>
  <c r="E42" i="32" s="1"/>
  <c r="E13" i="32"/>
  <c r="E27" i="32" s="1"/>
  <c r="E41" i="32" s="1"/>
  <c r="E12" i="32"/>
  <c r="I23" i="32"/>
  <c r="I37" i="32" s="1"/>
  <c r="I51" i="32" s="1"/>
  <c r="I19" i="32"/>
  <c r="I33" i="32" s="1"/>
  <c r="I47" i="32" s="1"/>
  <c r="I15" i="32"/>
  <c r="I29" i="32" s="1"/>
  <c r="I43" i="32" s="1"/>
  <c r="I11" i="32"/>
  <c r="I7" i="32"/>
  <c r="I14" i="32"/>
  <c r="I28" i="32" s="1"/>
  <c r="I42" i="32" s="1"/>
  <c r="I13" i="32"/>
  <c r="I27" i="32" s="1"/>
  <c r="I41" i="32" s="1"/>
  <c r="I12" i="32"/>
  <c r="I26" i="32"/>
  <c r="I40" i="32" s="1"/>
  <c r="I54" i="32" s="1"/>
  <c r="I25" i="32"/>
  <c r="I39" i="32" s="1"/>
  <c r="I53" i="32" s="1"/>
  <c r="I24" i="32"/>
  <c r="I38" i="32" s="1"/>
  <c r="I52" i="32" s="1"/>
  <c r="I10" i="32"/>
  <c r="I9" i="32"/>
  <c r="I8" i="32"/>
  <c r="F7" i="32"/>
  <c r="E10" i="32"/>
  <c r="I18" i="32"/>
  <c r="I32" i="32" s="1"/>
  <c r="I46" i="32" s="1"/>
  <c r="E22" i="32"/>
  <c r="E36" i="32" s="1"/>
  <c r="E50" i="32" s="1"/>
  <c r="E25" i="32"/>
  <c r="E39" i="32" s="1"/>
  <c r="E53" i="32" s="1"/>
  <c r="G54" i="32"/>
  <c r="L72" i="13"/>
  <c r="L80" i="13"/>
  <c r="F26" i="32"/>
  <c r="F40" i="32" s="1"/>
  <c r="F54" i="32" s="1"/>
  <c r="F22" i="32"/>
  <c r="F36" i="32" s="1"/>
  <c r="F50" i="32" s="1"/>
  <c r="F18" i="32"/>
  <c r="F32" i="32" s="1"/>
  <c r="F46" i="32" s="1"/>
  <c r="F14" i="32"/>
  <c r="F28" i="32" s="1"/>
  <c r="F42" i="32" s="1"/>
  <c r="F10" i="32"/>
  <c r="F6" i="32"/>
  <c r="F21" i="32"/>
  <c r="F35" i="32" s="1"/>
  <c r="F49" i="32" s="1"/>
  <c r="F20" i="32"/>
  <c r="F34" i="32" s="1"/>
  <c r="F48" i="32" s="1"/>
  <c r="F19" i="32"/>
  <c r="F33" i="32" s="1"/>
  <c r="F47" i="32" s="1"/>
  <c r="F17" i="32"/>
  <c r="F31" i="32" s="1"/>
  <c r="F45" i="32" s="1"/>
  <c r="F16" i="32"/>
  <c r="F30" i="32" s="1"/>
  <c r="F44" i="32" s="1"/>
  <c r="F15" i="32"/>
  <c r="F29" i="32" s="1"/>
  <c r="F43" i="32" s="1"/>
  <c r="H41" i="32"/>
  <c r="F25" i="32"/>
  <c r="F39" i="32" s="1"/>
  <c r="F53" i="32" s="1"/>
  <c r="H54" i="32"/>
  <c r="J68" i="34"/>
  <c r="J70" i="34"/>
  <c r="G53" i="32"/>
  <c r="F9" i="32"/>
  <c r="F12" i="32"/>
  <c r="E21" i="32"/>
  <c r="E35" i="32" s="1"/>
  <c r="E49" i="32" s="1"/>
  <c r="I22" i="32"/>
  <c r="I36" i="32" s="1"/>
  <c r="I50" i="32" s="1"/>
  <c r="F24" i="32"/>
  <c r="F38" i="32" s="1"/>
  <c r="F52" i="32" s="1"/>
  <c r="H53" i="32"/>
  <c r="J95" i="13"/>
  <c r="M67" i="13"/>
  <c r="M100" i="13"/>
  <c r="Z97" i="13"/>
  <c r="H24" i="32"/>
  <c r="H38" i="32" s="1"/>
  <c r="H52" i="32" s="1"/>
  <c r="H20" i="32"/>
  <c r="H34" i="32" s="1"/>
  <c r="H48" i="32" s="1"/>
  <c r="H16" i="32"/>
  <c r="H30" i="32" s="1"/>
  <c r="H44" i="32" s="1"/>
  <c r="H12" i="32"/>
  <c r="H8" i="32"/>
  <c r="H6" i="32"/>
  <c r="H7" i="32"/>
  <c r="H21" i="32"/>
  <c r="H35" i="32" s="1"/>
  <c r="H49" i="32" s="1"/>
  <c r="H22" i="32"/>
  <c r="H36" i="32" s="1"/>
  <c r="H50" i="32" s="1"/>
  <c r="H23" i="32"/>
  <c r="H37" i="32" s="1"/>
  <c r="H51" i="32" s="1"/>
  <c r="M117" i="13"/>
  <c r="L116" i="13"/>
  <c r="M114" i="13"/>
  <c r="L112" i="13"/>
  <c r="M111" i="13"/>
  <c r="K109" i="13"/>
  <c r="L108" i="13"/>
  <c r="M107" i="13"/>
  <c r="L104" i="13"/>
  <c r="M103" i="13"/>
  <c r="L100" i="13"/>
  <c r="M99" i="13"/>
  <c r="L117" i="13"/>
  <c r="M115" i="13"/>
  <c r="M113" i="13"/>
  <c r="J111" i="13"/>
  <c r="M110" i="13"/>
  <c r="L107" i="13"/>
  <c r="M105" i="13"/>
  <c r="J103" i="13"/>
  <c r="M102" i="13"/>
  <c r="K100" i="13"/>
  <c r="L99" i="13"/>
  <c r="M98" i="13"/>
  <c r="L95" i="13"/>
  <c r="M94" i="13"/>
  <c r="L91" i="13"/>
  <c r="M90" i="13"/>
  <c r="K88" i="13"/>
  <c r="L87" i="13"/>
  <c r="M86" i="13"/>
  <c r="L83" i="13"/>
  <c r="M82" i="13"/>
  <c r="L79" i="13"/>
  <c r="M78" i="13"/>
  <c r="L75" i="13"/>
  <c r="M74" i="13"/>
  <c r="L71" i="13"/>
  <c r="M70" i="13"/>
  <c r="K68" i="13"/>
  <c r="L67" i="13"/>
  <c r="M116" i="13"/>
  <c r="L115" i="13"/>
  <c r="L113" i="13"/>
  <c r="M112" i="13"/>
  <c r="L110" i="13"/>
  <c r="J108" i="13"/>
  <c r="L105" i="13"/>
  <c r="M104" i="13"/>
  <c r="L102" i="13"/>
  <c r="J100" i="13"/>
  <c r="L98" i="13"/>
  <c r="M97" i="13"/>
  <c r="J96" i="13"/>
  <c r="L94" i="13"/>
  <c r="M93" i="13"/>
  <c r="J92" i="13"/>
  <c r="L90" i="13"/>
  <c r="M89" i="13"/>
  <c r="J88" i="13"/>
  <c r="L86" i="13"/>
  <c r="M85" i="13"/>
  <c r="J84" i="13"/>
  <c r="L82" i="13"/>
  <c r="M81" i="13"/>
  <c r="J80" i="13"/>
  <c r="L78" i="13"/>
  <c r="M77" i="13"/>
  <c r="J76" i="13"/>
  <c r="L74" i="13"/>
  <c r="M73" i="13"/>
  <c r="J72" i="13"/>
  <c r="L70" i="13"/>
  <c r="L114" i="13"/>
  <c r="K112" i="13"/>
  <c r="L111" i="13"/>
  <c r="M109" i="13"/>
  <c r="J107" i="13"/>
  <c r="M106" i="13"/>
  <c r="L103" i="13"/>
  <c r="M101" i="13"/>
  <c r="J99" i="13"/>
  <c r="L97" i="13"/>
  <c r="M96" i="13"/>
  <c r="L93" i="13"/>
  <c r="M92" i="13"/>
  <c r="L89" i="13"/>
  <c r="M88" i="13"/>
  <c r="L85" i="13"/>
  <c r="M84" i="13"/>
  <c r="L81" i="13"/>
  <c r="M80" i="13"/>
  <c r="L77" i="13"/>
  <c r="M76" i="13"/>
  <c r="L73" i="13"/>
  <c r="M72" i="13"/>
  <c r="L69" i="13"/>
  <c r="M68" i="13"/>
  <c r="J67" i="13"/>
  <c r="M69" i="13"/>
  <c r="Z69" i="13"/>
  <c r="M71" i="13"/>
  <c r="J73" i="13"/>
  <c r="Z73" i="13"/>
  <c r="M75" i="13"/>
  <c r="J77" i="13"/>
  <c r="Z77" i="13"/>
  <c r="M79" i="13"/>
  <c r="J81" i="13"/>
  <c r="Z81" i="13"/>
  <c r="M83" i="13"/>
  <c r="J85" i="13"/>
  <c r="Z85" i="13"/>
  <c r="M87" i="13"/>
  <c r="J89" i="13"/>
  <c r="Z89" i="13"/>
  <c r="M91" i="13"/>
  <c r="L92" i="13"/>
  <c r="Z92" i="13"/>
  <c r="S94" i="13"/>
  <c r="Q95" i="13"/>
  <c r="Q94" i="13"/>
  <c r="S99" i="13"/>
  <c r="T99" i="13"/>
  <c r="Q100" i="13"/>
  <c r="Q99" i="13"/>
  <c r="J101" i="13"/>
  <c r="T102" i="13"/>
  <c r="S104" i="13"/>
  <c r="J105" i="13"/>
  <c r="J109" i="13"/>
  <c r="S112" i="13"/>
  <c r="J113" i="13"/>
  <c r="Q115" i="13"/>
  <c r="Q116" i="13"/>
  <c r="T115" i="13"/>
  <c r="T130" i="13"/>
  <c r="S115" i="13"/>
  <c r="O9" i="21"/>
  <c r="L101" i="13"/>
  <c r="Z102" i="13"/>
  <c r="Q105" i="13"/>
  <c r="S110" i="13"/>
  <c r="Q106" i="13"/>
  <c r="T105" i="13"/>
  <c r="S105" i="13"/>
  <c r="Z106" i="13"/>
  <c r="S107" i="13"/>
  <c r="T107" i="13"/>
  <c r="Q108" i="13"/>
  <c r="Q107" i="13"/>
  <c r="L109" i="13"/>
  <c r="Z110" i="13"/>
  <c r="T116" i="13"/>
  <c r="Q113" i="13"/>
  <c r="T113" i="13"/>
  <c r="S113" i="13"/>
  <c r="J114" i="13"/>
  <c r="Z109" i="13"/>
  <c r="Z101" i="13"/>
  <c r="Z67" i="13"/>
  <c r="Z98" i="13"/>
  <c r="Z94" i="13"/>
  <c r="Z90" i="13"/>
  <c r="Z86" i="13"/>
  <c r="Z82" i="13"/>
  <c r="Z78" i="13"/>
  <c r="Z74" i="13"/>
  <c r="Z70" i="13"/>
  <c r="Z113" i="13"/>
  <c r="Z105" i="13"/>
  <c r="L68" i="13"/>
  <c r="S70" i="13"/>
  <c r="Q71" i="13"/>
  <c r="Q70" i="13"/>
  <c r="T73" i="13"/>
  <c r="S74" i="13"/>
  <c r="Q75" i="13"/>
  <c r="Q74" i="13"/>
  <c r="S75" i="13"/>
  <c r="T77" i="13"/>
  <c r="S78" i="13"/>
  <c r="Q79" i="13"/>
  <c r="Q78" i="13"/>
  <c r="S79" i="13"/>
  <c r="T81" i="13"/>
  <c r="S82" i="13"/>
  <c r="Q83" i="13"/>
  <c r="Q82" i="13"/>
  <c r="S83" i="13"/>
  <c r="T85" i="13"/>
  <c r="S86" i="13"/>
  <c r="Q87" i="13"/>
  <c r="Q86" i="13"/>
  <c r="S87" i="13"/>
  <c r="T89" i="13"/>
  <c r="S90" i="13"/>
  <c r="Q91" i="13"/>
  <c r="Q90" i="13"/>
  <c r="S91" i="13"/>
  <c r="M95" i="13"/>
  <c r="L96" i="13"/>
  <c r="Z96" i="13"/>
  <c r="S98" i="13"/>
  <c r="Q98" i="13"/>
  <c r="L106" i="13"/>
  <c r="Z107" i="13"/>
  <c r="M108" i="13"/>
  <c r="Q68" i="13"/>
  <c r="S73" i="13"/>
  <c r="S68" i="13"/>
  <c r="G9" i="32"/>
  <c r="G13" i="32"/>
  <c r="G27" i="32" s="1"/>
  <c r="G41" i="32" s="1"/>
  <c r="G17" i="32"/>
  <c r="G31" i="32" s="1"/>
  <c r="G45" i="32" s="1"/>
  <c r="G21" i="32"/>
  <c r="G35" i="32" s="1"/>
  <c r="G49" i="32" s="1"/>
  <c r="S72" i="13"/>
  <c r="S76" i="13"/>
  <c r="S80" i="13"/>
  <c r="S84" i="13"/>
  <c r="S88" i="13"/>
  <c r="AD91" i="13"/>
  <c r="S92" i="13"/>
  <c r="AH93" i="13"/>
  <c r="AD95" i="13"/>
  <c r="S96" i="13"/>
  <c r="AH97" i="13"/>
  <c r="Z100" i="13"/>
  <c r="T101" i="13"/>
  <c r="AD101" i="13"/>
  <c r="Q102" i="13"/>
  <c r="AD104" i="13"/>
  <c r="S106" i="13"/>
  <c r="Z108" i="13"/>
  <c r="T109" i="13"/>
  <c r="AD109" i="13"/>
  <c r="Q110" i="13"/>
  <c r="T111" i="13"/>
  <c r="T124" i="13"/>
  <c r="R9" i="21"/>
  <c r="T72" i="13"/>
  <c r="T76" i="13"/>
  <c r="S77" i="13"/>
  <c r="T80" i="13"/>
  <c r="S81" i="13"/>
  <c r="T84" i="13"/>
  <c r="S85" i="13"/>
  <c r="T88" i="13"/>
  <c r="S89" i="13"/>
  <c r="T92" i="13"/>
  <c r="S93" i="13"/>
  <c r="T96" i="13"/>
  <c r="S97" i="13"/>
  <c r="S103" i="13"/>
  <c r="T104" i="13"/>
  <c r="J106" i="13"/>
  <c r="T106" i="13"/>
  <c r="T112" i="13"/>
  <c r="S114" i="13"/>
  <c r="Y114" i="13"/>
  <c r="Z114" i="13" s="1"/>
  <c r="AH114" i="13"/>
  <c r="F9" i="21"/>
  <c r="N9" i="21"/>
  <c r="T97" i="13"/>
  <c r="Q103" i="13"/>
  <c r="Z104" i="13"/>
  <c r="S108" i="13"/>
  <c r="Q111" i="13"/>
  <c r="T127" i="13"/>
  <c r="Z112" i="13"/>
  <c r="Q114" i="13"/>
  <c r="Y115" i="13"/>
  <c r="Z115" i="13" s="1"/>
  <c r="AH112" i="13"/>
  <c r="AD110" i="13"/>
  <c r="AH108" i="13"/>
  <c r="AD106" i="13"/>
  <c r="AH104" i="13"/>
  <c r="AD102" i="13"/>
  <c r="AH100" i="13"/>
  <c r="AH115" i="13"/>
  <c r="T126" i="13"/>
  <c r="T129" i="13"/>
  <c r="J9" i="21"/>
  <c r="T110" i="13"/>
  <c r="E24" i="2"/>
  <c r="I24" i="2"/>
  <c r="M24" i="2"/>
  <c r="Q24" i="2"/>
  <c r="U24" i="2"/>
  <c r="Y24" i="2"/>
  <c r="D40" i="2"/>
  <c r="D45" i="2" s="1"/>
  <c r="H40" i="2"/>
  <c r="H45" i="2" s="1"/>
  <c r="L40" i="2"/>
  <c r="L45" i="2" s="1"/>
  <c r="O49" i="2"/>
  <c r="S49" i="2"/>
  <c r="G51" i="2"/>
  <c r="K51" i="2"/>
  <c r="W51" i="2"/>
  <c r="AA51" i="2"/>
  <c r="AE51" i="2"/>
  <c r="Q53" i="2"/>
  <c r="E40" i="2"/>
  <c r="E45" i="2" s="1"/>
  <c r="I40" i="2"/>
  <c r="I45" i="2" s="1"/>
  <c r="M40" i="2"/>
  <c r="M45" i="2" s="1"/>
  <c r="F49" i="2"/>
  <c r="J49" i="2"/>
  <c r="R49" i="2"/>
  <c r="V49" i="2"/>
  <c r="Z49" i="2"/>
  <c r="AH49" i="2"/>
  <c r="G54" i="2"/>
  <c r="K54" i="2"/>
  <c r="L41" i="99" s="1"/>
  <c r="W54" i="2"/>
  <c r="U41" i="99" s="1"/>
  <c r="AA54" i="2"/>
  <c r="Z41" i="99" s="1"/>
  <c r="AE54" i="2"/>
  <c r="AE41" i="99" s="1"/>
  <c r="F54" i="2"/>
  <c r="J54" i="2"/>
  <c r="K41" i="99" s="1"/>
  <c r="N54" i="2"/>
  <c r="R54" i="2"/>
  <c r="P41" i="99" s="1"/>
  <c r="V54" i="2"/>
  <c r="T41" i="99" s="1"/>
  <c r="Z54" i="2"/>
  <c r="AD54" i="2"/>
  <c r="AD41" i="99" s="1"/>
  <c r="G49" i="2"/>
  <c r="AE49" i="2"/>
  <c r="AI22" i="20"/>
  <c r="AM22" i="20"/>
  <c r="U2" i="2"/>
  <c r="U7" i="2" s="1"/>
  <c r="AQ22" i="20"/>
  <c r="AQ15" i="20" s="1"/>
  <c r="AY22" i="20"/>
  <c r="BC22" i="20"/>
  <c r="AK22" i="20"/>
  <c r="AS22" i="20"/>
  <c r="AS18" i="20" s="1"/>
  <c r="BA22" i="20"/>
  <c r="T2" i="2"/>
  <c r="T9" i="2" s="1"/>
  <c r="AX22" i="20"/>
  <c r="BB22" i="20"/>
  <c r="AH18" i="20"/>
  <c r="AT22" i="20"/>
  <c r="Y67" i="2"/>
  <c r="Y71" i="2"/>
  <c r="Y73" i="2" s="1"/>
  <c r="AJ22" i="20"/>
  <c r="R2" i="2"/>
  <c r="R29" i="2" s="1"/>
  <c r="AN22" i="20"/>
  <c r="AN9" i="20" s="1"/>
  <c r="V2" i="2"/>
  <c r="V59" i="2" s="1"/>
  <c r="V74" i="2" s="1"/>
  <c r="AR22" i="20"/>
  <c r="AR9" i="20" s="1"/>
  <c r="AL22" i="20"/>
  <c r="W2" i="2"/>
  <c r="W59" i="2" s="1"/>
  <c r="W76" i="2" s="1"/>
  <c r="AO22" i="20"/>
  <c r="AO15" i="20" s="1"/>
  <c r="AW22" i="20"/>
  <c r="P56" i="2"/>
  <c r="D49" i="2"/>
  <c r="H49" i="2"/>
  <c r="X49" i="2"/>
  <c r="AB49" i="2"/>
  <c r="AF49" i="2"/>
  <c r="AH53" i="2"/>
  <c r="E54" i="2"/>
  <c r="I54" i="2"/>
  <c r="J41" i="99" s="1"/>
  <c r="Q54" i="2"/>
  <c r="O41" i="99" s="1"/>
  <c r="U54" i="2"/>
  <c r="S41" i="99" s="1"/>
  <c r="Y54" i="2"/>
  <c r="X41" i="99" s="1"/>
  <c r="AG54" i="2"/>
  <c r="AK56" i="2" s="1"/>
  <c r="E49" i="2"/>
  <c r="I49" i="2"/>
  <c r="P49" i="2"/>
  <c r="U49" i="2"/>
  <c r="Y49" i="2"/>
  <c r="AG49" i="2"/>
  <c r="F51" i="2"/>
  <c r="J51" i="2"/>
  <c r="V51" i="2"/>
  <c r="Z51" i="2"/>
  <c r="AH51" i="2"/>
  <c r="G53" i="2"/>
  <c r="K53" i="2"/>
  <c r="W53" i="2"/>
  <c r="AA53" i="2"/>
  <c r="AE53" i="2"/>
  <c r="AH54" i="2"/>
  <c r="AL56" i="2" s="1"/>
  <c r="Q49" i="2"/>
  <c r="H53" i="2"/>
  <c r="O53" i="2"/>
  <c r="X53" i="2"/>
  <c r="AB53" i="2"/>
  <c r="AF53" i="2"/>
  <c r="M67" i="2"/>
  <c r="AD67" i="2"/>
  <c r="O67" i="2"/>
  <c r="X67" i="2"/>
  <c r="AF67" i="2"/>
  <c r="L71" i="2"/>
  <c r="L73" i="2" s="1"/>
  <c r="AC71" i="2"/>
  <c r="AC73" i="2" s="1"/>
  <c r="V67" i="2"/>
  <c r="Q67" i="2"/>
  <c r="Z67" i="2"/>
  <c r="AH67" i="2"/>
  <c r="P71" i="2"/>
  <c r="P73" i="2" s="1"/>
  <c r="AG71" i="2"/>
  <c r="AG73" i="2" s="1"/>
  <c r="S67" i="2"/>
  <c r="AB67" i="2"/>
  <c r="U71" i="2"/>
  <c r="U73" i="2" s="1"/>
  <c r="N67" i="2"/>
  <c r="R67" i="2"/>
  <c r="W67" i="2"/>
  <c r="AA67" i="2"/>
  <c r="AE67" i="2"/>
  <c r="J65" i="2"/>
  <c r="J71" i="2" s="1"/>
  <c r="J73" i="2" s="1"/>
  <c r="J6" i="66"/>
  <c r="I6" i="66"/>
  <c r="M6" i="66"/>
  <c r="AB2" i="2"/>
  <c r="H65" i="2"/>
  <c r="H67" i="2" s="1"/>
  <c r="AF32" i="99"/>
  <c r="P34" i="99"/>
  <c r="AC34" i="99"/>
  <c r="Y34" i="99"/>
  <c r="D9" i="2"/>
  <c r="H9" i="2"/>
  <c r="P9" i="2"/>
  <c r="H29" i="2"/>
  <c r="P29" i="2"/>
  <c r="J29" i="2"/>
  <c r="J59" i="2"/>
  <c r="J74" i="2" s="1"/>
  <c r="Z29" i="2"/>
  <c r="Z59" i="2"/>
  <c r="Z68" i="2" s="1"/>
  <c r="B29" i="2"/>
  <c r="AH29" i="2"/>
  <c r="F29" i="2"/>
  <c r="F59" i="2"/>
  <c r="F74" i="2" s="1"/>
  <c r="AD29" i="2"/>
  <c r="AD59" i="2"/>
  <c r="AD68" i="2" s="1"/>
  <c r="D22" i="20"/>
  <c r="R22" i="20"/>
  <c r="AH59" i="2"/>
  <c r="AH68" i="2" s="1"/>
  <c r="D71" i="2"/>
  <c r="D73" i="2" s="1"/>
  <c r="D29" i="2"/>
  <c r="E76" i="2"/>
  <c r="E68" i="2"/>
  <c r="E61" i="2"/>
  <c r="E74" i="2"/>
  <c r="E62" i="2"/>
  <c r="I76" i="2"/>
  <c r="I68" i="2"/>
  <c r="I61" i="2"/>
  <c r="I74" i="2"/>
  <c r="I62" i="2"/>
  <c r="Q76" i="2"/>
  <c r="Q68" i="2"/>
  <c r="Q61" i="2"/>
  <c r="Q74" i="2"/>
  <c r="Q62" i="2"/>
  <c r="Y76" i="2"/>
  <c r="Y62" i="2"/>
  <c r="Y61" i="2"/>
  <c r="Y68" i="2"/>
  <c r="Y74" i="2"/>
  <c r="AC76" i="2"/>
  <c r="AC62" i="2"/>
  <c r="AC61" i="2"/>
  <c r="AC68" i="2"/>
  <c r="AC74" i="2"/>
  <c r="AG76" i="2"/>
  <c r="AG62" i="2"/>
  <c r="AG61" i="2"/>
  <c r="AG68" i="2"/>
  <c r="AG74" i="2"/>
  <c r="I3" i="2"/>
  <c r="Y3" i="2"/>
  <c r="Y7" i="2"/>
  <c r="Q13" i="2"/>
  <c r="Y13" i="2"/>
  <c r="F22" i="20"/>
  <c r="W22" i="20"/>
  <c r="B3" i="2"/>
  <c r="F3" i="2"/>
  <c r="J3" i="2"/>
  <c r="Z3" i="2"/>
  <c r="AD3" i="2"/>
  <c r="AH3" i="2"/>
  <c r="B7" i="2"/>
  <c r="F7" i="2"/>
  <c r="J7" i="2"/>
  <c r="Z7" i="2"/>
  <c r="AD7" i="2"/>
  <c r="AH7" i="2"/>
  <c r="E9" i="2"/>
  <c r="I9" i="2"/>
  <c r="Q9" i="2"/>
  <c r="Y9" i="2"/>
  <c r="AC9" i="2"/>
  <c r="AG9" i="2"/>
  <c r="B13" i="2"/>
  <c r="F13" i="2"/>
  <c r="J13" i="2"/>
  <c r="Z13" i="2"/>
  <c r="AD13" i="2"/>
  <c r="AH13" i="2"/>
  <c r="E29" i="2"/>
  <c r="I29" i="2"/>
  <c r="Q29" i="2"/>
  <c r="Y29" i="2"/>
  <c r="AC29" i="2"/>
  <c r="AG29" i="2"/>
  <c r="C55" i="2"/>
  <c r="G55" i="2"/>
  <c r="C59" i="2"/>
  <c r="G59" i="2"/>
  <c r="K59" i="2"/>
  <c r="O59" i="2"/>
  <c r="AA59" i="2"/>
  <c r="AE59" i="2"/>
  <c r="F67" i="2"/>
  <c r="E3" i="2"/>
  <c r="AG3" i="2"/>
  <c r="I7" i="2"/>
  <c r="Q7" i="2"/>
  <c r="AG7" i="2"/>
  <c r="E13" i="2"/>
  <c r="AG13" i="2"/>
  <c r="B59" i="2"/>
  <c r="J22" i="20"/>
  <c r="AB22" i="20"/>
  <c r="C3" i="2"/>
  <c r="G3" i="2"/>
  <c r="K3" i="2"/>
  <c r="O3" i="2"/>
  <c r="AA3" i="2"/>
  <c r="AE3" i="2"/>
  <c r="C7" i="2"/>
  <c r="G7" i="2"/>
  <c r="K7" i="2"/>
  <c r="O7" i="2"/>
  <c r="AA7" i="2"/>
  <c r="AE7" i="2"/>
  <c r="B9" i="2"/>
  <c r="F9" i="2"/>
  <c r="J9" i="2"/>
  <c r="Z9" i="2"/>
  <c r="AD9" i="2"/>
  <c r="AH9" i="2"/>
  <c r="C13" i="2"/>
  <c r="G13" i="2"/>
  <c r="K13" i="2"/>
  <c r="O13" i="2"/>
  <c r="AA13" i="2"/>
  <c r="AE13" i="2"/>
  <c r="P55" i="2"/>
  <c r="D59" i="2"/>
  <c r="H59" i="2"/>
  <c r="P59" i="2"/>
  <c r="C67" i="2"/>
  <c r="G67" i="2"/>
  <c r="K67" i="2"/>
  <c r="Q3" i="2"/>
  <c r="AC3" i="2"/>
  <c r="E7" i="2"/>
  <c r="AC7" i="2"/>
  <c r="I13" i="2"/>
  <c r="AC13" i="2"/>
  <c r="N22" i="20"/>
  <c r="D3" i="2"/>
  <c r="H3" i="2"/>
  <c r="P3" i="2"/>
  <c r="D7" i="2"/>
  <c r="H7" i="2"/>
  <c r="P7" i="2"/>
  <c r="C9" i="2"/>
  <c r="G9" i="2"/>
  <c r="K9" i="2"/>
  <c r="O9" i="2"/>
  <c r="AA9" i="2"/>
  <c r="AE9" i="2"/>
  <c r="K114" i="13" l="1"/>
  <c r="K113" i="13"/>
  <c r="Y55" i="2"/>
  <c r="AD49" i="2"/>
  <c r="K74" i="13"/>
  <c r="K86" i="13"/>
  <c r="K107" i="13"/>
  <c r="K106" i="13"/>
  <c r="G78" i="2"/>
  <c r="U18" i="20"/>
  <c r="J62" i="2"/>
  <c r="AF9" i="2"/>
  <c r="V76" i="2"/>
  <c r="R13" i="2"/>
  <c r="AE18" i="20"/>
  <c r="G33" i="63"/>
  <c r="G34" i="63"/>
  <c r="B33" i="63"/>
  <c r="B34" i="63"/>
  <c r="D33" i="63"/>
  <c r="D34" i="63"/>
  <c r="F33" i="63"/>
  <c r="F34" i="63"/>
  <c r="L33" i="63"/>
  <c r="L34" i="63"/>
  <c r="E33" i="63"/>
  <c r="E34" i="63"/>
  <c r="C33" i="63"/>
  <c r="C34" i="63"/>
  <c r="AJ56" i="2"/>
  <c r="AU22" i="20"/>
  <c r="AU9" i="20" s="1"/>
  <c r="K93" i="13"/>
  <c r="K70" i="13"/>
  <c r="K102" i="13"/>
  <c r="K84" i="13"/>
  <c r="X14" i="99"/>
  <c r="AG13" i="99"/>
  <c r="AA55" i="2"/>
  <c r="N7" i="2"/>
  <c r="AP22" i="20"/>
  <c r="AP9" i="20" s="1"/>
  <c r="K90" i="13"/>
  <c r="K71" i="13"/>
  <c r="K75" i="13"/>
  <c r="K79" i="13"/>
  <c r="K83" i="13"/>
  <c r="K87" i="13"/>
  <c r="K91" i="13"/>
  <c r="K95" i="13"/>
  <c r="K99" i="13"/>
  <c r="K14" i="99"/>
  <c r="Y39" i="99"/>
  <c r="Y36" i="99"/>
  <c r="U42" i="99"/>
  <c r="Q7" i="99"/>
  <c r="Y7" i="99"/>
  <c r="AG6" i="99"/>
  <c r="P36" i="99"/>
  <c r="P39" i="99"/>
  <c r="X42" i="99"/>
  <c r="S54" i="2"/>
  <c r="Q41" i="99" s="1"/>
  <c r="S7" i="99"/>
  <c r="P7" i="99"/>
  <c r="W41" i="99"/>
  <c r="V42" i="99"/>
  <c r="M8" i="99"/>
  <c r="M13" i="99" s="1"/>
  <c r="M14" i="99" s="1"/>
  <c r="AD26" i="99"/>
  <c r="Y26" i="99"/>
  <c r="W26" i="99"/>
  <c r="L26" i="99"/>
  <c r="Q20" i="99"/>
  <c r="S42" i="99"/>
  <c r="BB18" i="20"/>
  <c r="AD42" i="99"/>
  <c r="AE42" i="99"/>
  <c r="O7" i="99"/>
  <c r="K7" i="99"/>
  <c r="T7" i="99"/>
  <c r="R41" i="99"/>
  <c r="BA14" i="20"/>
  <c r="AG27" i="99" s="1"/>
  <c r="Z26" i="99"/>
  <c r="AE28" i="99"/>
  <c r="V16" i="99"/>
  <c r="T42" i="99"/>
  <c r="T14" i="99"/>
  <c r="AG26" i="99"/>
  <c r="AF16" i="99"/>
  <c r="N7" i="99"/>
  <c r="AE7" i="99"/>
  <c r="AB41" i="99"/>
  <c r="R18" i="99"/>
  <c r="R26" i="99" s="1"/>
  <c r="Q9" i="99"/>
  <c r="Q13" i="99" s="1"/>
  <c r="Q14" i="99" s="1"/>
  <c r="AC36" i="99"/>
  <c r="AC39" i="99"/>
  <c r="AB55" i="2"/>
  <c r="W29" i="2"/>
  <c r="W74" i="2"/>
  <c r="AF8" i="99"/>
  <c r="AF13" i="99" s="1"/>
  <c r="L7" i="99"/>
  <c r="Z7" i="99"/>
  <c r="M16" i="99"/>
  <c r="V40" i="99"/>
  <c r="L42" i="99"/>
  <c r="L14" i="99"/>
  <c r="AF18" i="99"/>
  <c r="AA20" i="99"/>
  <c r="AA16" i="99"/>
  <c r="O42" i="99"/>
  <c r="Y41" i="99"/>
  <c r="K42" i="99"/>
  <c r="Z42" i="99"/>
  <c r="R7" i="99"/>
  <c r="AB7" i="99"/>
  <c r="AG41" i="99"/>
  <c r="N42" i="99"/>
  <c r="M7" i="99"/>
  <c r="X7" i="99"/>
  <c r="AA8" i="99"/>
  <c r="AA13" i="99" s="1"/>
  <c r="AA14" i="99" s="1"/>
  <c r="Z39" i="99"/>
  <c r="Z36" i="99"/>
  <c r="U7" i="99"/>
  <c r="X26" i="99"/>
  <c r="AB26" i="99"/>
  <c r="AC14" i="99"/>
  <c r="J42" i="99"/>
  <c r="J14" i="99"/>
  <c r="K26" i="99"/>
  <c r="AB14" i="99"/>
  <c r="R13" i="99"/>
  <c r="W14" i="99" s="1"/>
  <c r="I42" i="99"/>
  <c r="I14" i="99"/>
  <c r="AA18" i="99"/>
  <c r="V20" i="99"/>
  <c r="J26" i="99"/>
  <c r="P42" i="99"/>
  <c r="P14" i="99"/>
  <c r="AC40" i="99"/>
  <c r="P28" i="99"/>
  <c r="Q22" i="99"/>
  <c r="I26" i="99"/>
  <c r="AF20" i="99"/>
  <c r="H78" i="2"/>
  <c r="AX9" i="20"/>
  <c r="AX15" i="20"/>
  <c r="X37" i="97"/>
  <c r="X38" i="97"/>
  <c r="X39" i="97" s="1"/>
  <c r="D55" i="2"/>
  <c r="S15" i="20"/>
  <c r="AO9" i="20"/>
  <c r="D56" i="2"/>
  <c r="X2" i="2"/>
  <c r="X55" i="2" s="1"/>
  <c r="K74" i="34"/>
  <c r="K75" i="34"/>
  <c r="T59" i="2"/>
  <c r="T75" i="2" s="1"/>
  <c r="T24" i="2"/>
  <c r="T37" i="97"/>
  <c r="T153" i="97"/>
  <c r="AM15" i="20"/>
  <c r="AM9" i="20"/>
  <c r="H5" i="25"/>
  <c r="I55" i="2"/>
  <c r="AX18" i="20"/>
  <c r="AP20" i="20"/>
  <c r="AP17" i="20"/>
  <c r="J115" i="13"/>
  <c r="K101" i="13"/>
  <c r="K108" i="13"/>
  <c r="K92" i="13"/>
  <c r="K76" i="13"/>
  <c r="K110" i="13"/>
  <c r="K104" i="13"/>
  <c r="K94" i="13"/>
  <c r="K78" i="13"/>
  <c r="K103" i="13"/>
  <c r="K111" i="13"/>
  <c r="K97" i="13"/>
  <c r="K69" i="13"/>
  <c r="K115" i="13"/>
  <c r="K105" i="13"/>
  <c r="K96" i="13"/>
  <c r="K80" i="13"/>
  <c r="K98" i="13"/>
  <c r="K82" i="13"/>
  <c r="AT18" i="20"/>
  <c r="T157" i="97"/>
  <c r="T156" i="97"/>
  <c r="AC38" i="97"/>
  <c r="AC39" i="97" s="1"/>
  <c r="AC37" i="97"/>
  <c r="AC42" i="97"/>
  <c r="AC41" i="97"/>
  <c r="AI18" i="20"/>
  <c r="X42" i="97"/>
  <c r="X41" i="97"/>
  <c r="L18" i="63"/>
  <c r="L28" i="63"/>
  <c r="M17" i="63"/>
  <c r="M29" i="63" s="1"/>
  <c r="M30" i="63" s="1"/>
  <c r="O54" i="2"/>
  <c r="AB56" i="2"/>
  <c r="H56" i="2"/>
  <c r="Z55" i="2"/>
  <c r="AE99" i="13"/>
  <c r="L113" i="34"/>
  <c r="H55" i="2"/>
  <c r="R18" i="20"/>
  <c r="AE55" i="2"/>
  <c r="AD51" i="2"/>
  <c r="AC54" i="2"/>
  <c r="X56" i="2"/>
  <c r="O51" i="2"/>
  <c r="AF56" i="2"/>
  <c r="T18" i="20"/>
  <c r="W7" i="2"/>
  <c r="V7" i="2"/>
  <c r="W13" i="2"/>
  <c r="V9" i="2"/>
  <c r="V68" i="2"/>
  <c r="V62" i="2"/>
  <c r="V3" i="2"/>
  <c r="AM18" i="20"/>
  <c r="V29" i="2"/>
  <c r="R7" i="2"/>
  <c r="W9" i="2"/>
  <c r="R9" i="2"/>
  <c r="W68" i="2"/>
  <c r="V61" i="2"/>
  <c r="R55" i="2"/>
  <c r="W3" i="2"/>
  <c r="V13" i="2"/>
  <c r="W61" i="2"/>
  <c r="AI15" i="20"/>
  <c r="S34" i="2"/>
  <c r="S40" i="2" s="1"/>
  <c r="S45" i="2" s="1"/>
  <c r="AG22" i="20"/>
  <c r="AG9" i="20" s="1"/>
  <c r="AD61" i="2"/>
  <c r="V56" i="2"/>
  <c r="V55" i="2"/>
  <c r="K78" i="2"/>
  <c r="K79" i="2" s="1"/>
  <c r="K56" i="2"/>
  <c r="AH55" i="2"/>
  <c r="I65" i="2"/>
  <c r="I71" i="2" s="1"/>
  <c r="I73" i="2" s="1"/>
  <c r="S2" i="2"/>
  <c r="AZ9" i="20"/>
  <c r="T63" i="2"/>
  <c r="T69" i="2"/>
  <c r="AI56" i="2"/>
  <c r="AE56" i="2"/>
  <c r="K55" i="2"/>
  <c r="J55" i="2"/>
  <c r="G68" i="34"/>
  <c r="N62" i="2"/>
  <c r="N68" i="2"/>
  <c r="AZ15" i="20"/>
  <c r="AU17" i="20"/>
  <c r="AV14" i="20"/>
  <c r="AD53" i="2"/>
  <c r="AF20" i="20"/>
  <c r="AA17" i="20"/>
  <c r="AK20" i="20"/>
  <c r="AK17" i="20"/>
  <c r="AK18" i="20" s="1"/>
  <c r="AA110" i="13"/>
  <c r="J67" i="2"/>
  <c r="G56" i="2"/>
  <c r="Z56" i="2"/>
  <c r="AA93" i="13"/>
  <c r="AA111" i="13"/>
  <c r="AA96" i="13"/>
  <c r="AA85" i="13"/>
  <c r="AA74" i="13"/>
  <c r="AA91" i="13"/>
  <c r="AA87" i="13"/>
  <c r="AA83" i="13"/>
  <c r="AA79" i="13"/>
  <c r="AA75" i="13"/>
  <c r="AA71" i="13"/>
  <c r="AU20" i="20"/>
  <c r="Y18" i="20"/>
  <c r="F55" i="2"/>
  <c r="AE98" i="13"/>
  <c r="AA77" i="13"/>
  <c r="H67" i="34"/>
  <c r="H68" i="34" s="1"/>
  <c r="J56" i="2"/>
  <c r="AD56" i="2"/>
  <c r="AE100" i="13"/>
  <c r="AE113" i="13"/>
  <c r="AE112" i="13"/>
  <c r="AE108" i="13"/>
  <c r="AP54" i="2"/>
  <c r="AF17" i="20"/>
  <c r="M9" i="21"/>
  <c r="K77" i="13"/>
  <c r="K73" i="13"/>
  <c r="Z61" i="2"/>
  <c r="T7" i="2"/>
  <c r="W62" i="2"/>
  <c r="F56" i="2"/>
  <c r="T117" i="13"/>
  <c r="AE94" i="13"/>
  <c r="AE90" i="13"/>
  <c r="AA112" i="13"/>
  <c r="AA80" i="13"/>
  <c r="AA69" i="13"/>
  <c r="AA100" i="13"/>
  <c r="AA90" i="13"/>
  <c r="AE80" i="13"/>
  <c r="K67" i="13"/>
  <c r="AI102" i="13"/>
  <c r="AI89" i="13"/>
  <c r="AE74" i="13"/>
  <c r="AE71" i="13"/>
  <c r="AA6" i="99"/>
  <c r="K89" i="13"/>
  <c r="Q55" i="2"/>
  <c r="AE110" i="13"/>
  <c r="AE102" i="13"/>
  <c r="S117" i="13"/>
  <c r="AE87" i="13"/>
  <c r="AE81" i="13"/>
  <c r="K81" i="13"/>
  <c r="K85" i="13"/>
  <c r="S18" i="20"/>
  <c r="M3" i="2"/>
  <c r="N76" i="2"/>
  <c r="M7" i="2"/>
  <c r="N29" i="2"/>
  <c r="AD15" i="20"/>
  <c r="AD18" i="20"/>
  <c r="L9" i="2"/>
  <c r="L55" i="2"/>
  <c r="L7" i="2"/>
  <c r="L13" i="2"/>
  <c r="L59" i="2"/>
  <c r="L62" i="2" s="1"/>
  <c r="L29" i="2"/>
  <c r="F62" i="2"/>
  <c r="L3" i="2"/>
  <c r="BB9" i="20"/>
  <c r="BB15" i="20"/>
  <c r="T3" i="2"/>
  <c r="T29" i="2"/>
  <c r="X18" i="20"/>
  <c r="X15" i="20"/>
  <c r="K20" i="83"/>
  <c r="K22" i="83" s="1"/>
  <c r="L8" i="83"/>
  <c r="L11" i="83" s="1"/>
  <c r="L15" i="83" s="1"/>
  <c r="L17" i="83" s="1"/>
  <c r="L6" i="83" s="1"/>
  <c r="K21" i="83"/>
  <c r="AC18" i="20"/>
  <c r="K12" i="83"/>
  <c r="J23" i="83"/>
  <c r="AD74" i="2"/>
  <c r="AF29" i="2"/>
  <c r="M9" i="2"/>
  <c r="M29" i="2"/>
  <c r="N3" i="2"/>
  <c r="N13" i="2"/>
  <c r="R59" i="2"/>
  <c r="R3" i="2"/>
  <c r="U13" i="2"/>
  <c r="U29" i="2"/>
  <c r="T9" i="20"/>
  <c r="T15" i="20"/>
  <c r="U9" i="20"/>
  <c r="U15" i="20"/>
  <c r="T13" i="2"/>
  <c r="T55" i="2"/>
  <c r="AF7" i="2"/>
  <c r="AF3" i="2"/>
  <c r="Z62" i="2"/>
  <c r="Z74" i="2"/>
  <c r="AF59" i="2"/>
  <c r="AF62" i="2" s="1"/>
  <c r="AF55" i="2"/>
  <c r="AD76" i="2"/>
  <c r="N61" i="2"/>
  <c r="M13" i="2"/>
  <c r="M59" i="2"/>
  <c r="M74" i="2" s="1"/>
  <c r="N9" i="2"/>
  <c r="N55" i="2"/>
  <c r="H6" i="25"/>
  <c r="K52" i="57"/>
  <c r="K54" i="57" s="1"/>
  <c r="K55" i="57" s="1"/>
  <c r="O52" i="57"/>
  <c r="AI71" i="13"/>
  <c r="AI87" i="13"/>
  <c r="AI77" i="13"/>
  <c r="S5" i="2"/>
  <c r="S24" i="2" s="1"/>
  <c r="E28" i="63"/>
  <c r="E18" i="63"/>
  <c r="AP60" i="2"/>
  <c r="AP75" i="2"/>
  <c r="AP69" i="2"/>
  <c r="AP63" i="2"/>
  <c r="F18" i="63"/>
  <c r="F28" i="63"/>
  <c r="T7" i="63" s="1"/>
  <c r="AI94" i="13"/>
  <c r="AI103" i="13"/>
  <c r="AI100" i="13"/>
  <c r="AI68" i="13"/>
  <c r="R88" i="13"/>
  <c r="R84" i="13"/>
  <c r="R80" i="13"/>
  <c r="R76" i="13"/>
  <c r="R72" i="13"/>
  <c r="AI97" i="13"/>
  <c r="R68" i="13"/>
  <c r="R81" i="13"/>
  <c r="R97" i="13"/>
  <c r="R70" i="13"/>
  <c r="R86" i="13"/>
  <c r="R99" i="13"/>
  <c r="R67" i="13"/>
  <c r="R83" i="13"/>
  <c r="R101" i="13"/>
  <c r="R108" i="13"/>
  <c r="U9" i="2"/>
  <c r="AQ9" i="20"/>
  <c r="AK9" i="20"/>
  <c r="AB9" i="21"/>
  <c r="Y9" i="21"/>
  <c r="AI112" i="13"/>
  <c r="AE107" i="13"/>
  <c r="AI98" i="13"/>
  <c r="AI90" i="13"/>
  <c r="AI74" i="13"/>
  <c r="AI107" i="13"/>
  <c r="AE114" i="13"/>
  <c r="AI110" i="13"/>
  <c r="AI108" i="13"/>
  <c r="AI105" i="13"/>
  <c r="AI92" i="13"/>
  <c r="AI88" i="13"/>
  <c r="AE78" i="13"/>
  <c r="AI72" i="13"/>
  <c r="AE101" i="13"/>
  <c r="AE115" i="13"/>
  <c r="AA104" i="13"/>
  <c r="R103" i="13"/>
  <c r="R92" i="13"/>
  <c r="AA68" i="13"/>
  <c r="AA84" i="13"/>
  <c r="AA102" i="13"/>
  <c r="AA113" i="13"/>
  <c r="AA78" i="13"/>
  <c r="AA94" i="13"/>
  <c r="AA99" i="13"/>
  <c r="AA114" i="13"/>
  <c r="R96" i="13"/>
  <c r="AE75" i="13"/>
  <c r="AE91" i="13"/>
  <c r="AE68" i="13"/>
  <c r="AE84" i="13"/>
  <c r="R69" i="13"/>
  <c r="R85" i="13"/>
  <c r="R105" i="13"/>
  <c r="R74" i="13"/>
  <c r="R90" i="13"/>
  <c r="R102" i="13"/>
  <c r="R71" i="13"/>
  <c r="R87" i="13"/>
  <c r="R109" i="13"/>
  <c r="R112" i="13"/>
  <c r="AE93" i="13"/>
  <c r="AE69" i="13"/>
  <c r="AE85" i="13"/>
  <c r="AI95" i="13"/>
  <c r="AI75" i="13"/>
  <c r="AI115" i="13"/>
  <c r="AI81" i="13"/>
  <c r="J75" i="34"/>
  <c r="J74" i="34"/>
  <c r="K57" i="57"/>
  <c r="K60" i="57" s="1"/>
  <c r="AO63" i="2"/>
  <c r="AO75" i="2"/>
  <c r="AO69" i="2"/>
  <c r="Z18" i="20"/>
  <c r="Z15" i="20"/>
  <c r="AO60" i="2"/>
  <c r="AO56" i="2"/>
  <c r="AU54" i="2"/>
  <c r="AT54" i="2"/>
  <c r="AT56" i="2" s="1"/>
  <c r="AI78" i="13"/>
  <c r="AI96" i="13"/>
  <c r="AI84" i="13"/>
  <c r="U3" i="2"/>
  <c r="AK15" i="20"/>
  <c r="U59" i="2"/>
  <c r="X9" i="21"/>
  <c r="AI106" i="13"/>
  <c r="AI86" i="13"/>
  <c r="AI70" i="13"/>
  <c r="AI111" i="13"/>
  <c r="AI113" i="13"/>
  <c r="AE82" i="13"/>
  <c r="AI76" i="13"/>
  <c r="AE105" i="13"/>
  <c r="AE89" i="13"/>
  <c r="AA72" i="13"/>
  <c r="AA88" i="13"/>
  <c r="AA73" i="13"/>
  <c r="AA81" i="13"/>
  <c r="AA89" i="13"/>
  <c r="AA97" i="13"/>
  <c r="AA105" i="13"/>
  <c r="AA82" i="13"/>
  <c r="AA98" i="13"/>
  <c r="AA103" i="13"/>
  <c r="AA101" i="13"/>
  <c r="R114" i="13"/>
  <c r="AE79" i="13"/>
  <c r="AE95" i="13"/>
  <c r="AE72" i="13"/>
  <c r="AE88" i="13"/>
  <c r="R73" i="13"/>
  <c r="R89" i="13"/>
  <c r="R113" i="13"/>
  <c r="R78" i="13"/>
  <c r="R94" i="13"/>
  <c r="R107" i="13"/>
  <c r="R75" i="13"/>
  <c r="R91" i="13"/>
  <c r="R100" i="13"/>
  <c r="AE67" i="13"/>
  <c r="AA109" i="13"/>
  <c r="AE73" i="13"/>
  <c r="AE97" i="13"/>
  <c r="AI91" i="13"/>
  <c r="AI79" i="13"/>
  <c r="AI69" i="13"/>
  <c r="AI85" i="13"/>
  <c r="G70" i="34"/>
  <c r="D28" i="63"/>
  <c r="D18" i="63"/>
  <c r="H17" i="63"/>
  <c r="H29" i="63" s="1"/>
  <c r="H30" i="63" s="1"/>
  <c r="R111" i="13"/>
  <c r="E55" i="2"/>
  <c r="H71" i="2"/>
  <c r="H73" i="2" s="1"/>
  <c r="U55" i="2"/>
  <c r="AI109" i="13"/>
  <c r="AI104" i="13"/>
  <c r="AI101" i="13"/>
  <c r="AE96" i="13"/>
  <c r="AI82" i="13"/>
  <c r="AI99" i="13"/>
  <c r="AI114" i="13"/>
  <c r="AI93" i="13"/>
  <c r="AE111" i="13"/>
  <c r="AE106" i="13"/>
  <c r="AE103" i="13"/>
  <c r="AE86" i="13"/>
  <c r="AI80" i="13"/>
  <c r="AE70" i="13"/>
  <c r="AE109" i="13"/>
  <c r="AA106" i="13"/>
  <c r="AA95" i="13"/>
  <c r="AA76" i="13"/>
  <c r="AA92" i="13"/>
  <c r="AA115" i="13"/>
  <c r="AA108" i="13"/>
  <c r="AA70" i="13"/>
  <c r="AA86" i="13"/>
  <c r="AA107" i="13"/>
  <c r="V9" i="21"/>
  <c r="Q117" i="13"/>
  <c r="R106" i="13"/>
  <c r="AE83" i="13"/>
  <c r="AE104" i="13"/>
  <c r="AE76" i="13"/>
  <c r="AE92" i="13"/>
  <c r="R77" i="13"/>
  <c r="R93" i="13"/>
  <c r="R115" i="13"/>
  <c r="R82" i="13"/>
  <c r="R98" i="13"/>
  <c r="R110" i="13"/>
  <c r="R79" i="13"/>
  <c r="R95" i="13"/>
  <c r="R104" i="13"/>
  <c r="AA67" i="13"/>
  <c r="AE77" i="13"/>
  <c r="AI67" i="13"/>
  <c r="AI83" i="13"/>
  <c r="AI73" i="13"/>
  <c r="G72" i="34"/>
  <c r="C18" i="63"/>
  <c r="C28" i="63"/>
  <c r="AZ20" i="20"/>
  <c r="AZ17" i="20"/>
  <c r="AZ18" i="20" s="1"/>
  <c r="AR54" i="2"/>
  <c r="G18" i="63"/>
  <c r="G28" i="63"/>
  <c r="AG55" i="2"/>
  <c r="AD55" i="2"/>
  <c r="R56" i="2"/>
  <c r="W55" i="2"/>
  <c r="AA56" i="2"/>
  <c r="R15" i="20"/>
  <c r="AO18" i="20"/>
  <c r="AR18" i="20"/>
  <c r="AR15" i="20"/>
  <c r="AN18" i="20"/>
  <c r="AN15" i="20"/>
  <c r="AJ9" i="20"/>
  <c r="AJ18" i="20"/>
  <c r="AJ15" i="20"/>
  <c r="AS15" i="20"/>
  <c r="AS9" i="20"/>
  <c r="BA9" i="20"/>
  <c r="BC15" i="20"/>
  <c r="BC9" i="20"/>
  <c r="BC18" i="20"/>
  <c r="AW18" i="20"/>
  <c r="AW15" i="20"/>
  <c r="AW9" i="20"/>
  <c r="AL9" i="20"/>
  <c r="AL15" i="20"/>
  <c r="AT9" i="20"/>
  <c r="AT15" i="20"/>
  <c r="AY9" i="20"/>
  <c r="AY18" i="20"/>
  <c r="AY15" i="20"/>
  <c r="R9" i="20"/>
  <c r="J61" i="2"/>
  <c r="AH62" i="2"/>
  <c r="J76" i="2"/>
  <c r="J68" i="2"/>
  <c r="AH56" i="2"/>
  <c r="U56" i="2"/>
  <c r="J78" i="2"/>
  <c r="J79" i="2" s="1"/>
  <c r="Q56" i="2"/>
  <c r="F78" i="2"/>
  <c r="F79" i="2" s="1"/>
  <c r="O78" i="2"/>
  <c r="I56" i="2"/>
  <c r="I78" i="2"/>
  <c r="I79" i="2" s="1"/>
  <c r="Y56" i="2"/>
  <c r="E56" i="2"/>
  <c r="E78" i="2"/>
  <c r="E79" i="2" s="1"/>
  <c r="AV22" i="20"/>
  <c r="AH61" i="2"/>
  <c r="AB3" i="2"/>
  <c r="AH76" i="2"/>
  <c r="F68" i="2"/>
  <c r="AB59" i="2"/>
  <c r="AB76" i="2" s="1"/>
  <c r="AB7" i="2"/>
  <c r="AH74" i="2"/>
  <c r="F76" i="2"/>
  <c r="Z76" i="2"/>
  <c r="AD62" i="2"/>
  <c r="X34" i="99"/>
  <c r="AB13" i="2"/>
  <c r="AB29" i="2"/>
  <c r="AB9" i="2"/>
  <c r="S34" i="99"/>
  <c r="U34" i="99"/>
  <c r="AE34" i="99"/>
  <c r="N34" i="99"/>
  <c r="E65" i="2"/>
  <c r="T34" i="99"/>
  <c r="AD34" i="99"/>
  <c r="O34" i="99"/>
  <c r="F61" i="2"/>
  <c r="N18" i="20"/>
  <c r="N9" i="20"/>
  <c r="N15" i="20"/>
  <c r="D62" i="2"/>
  <c r="D76" i="2"/>
  <c r="D68" i="2"/>
  <c r="D61" i="2"/>
  <c r="D74" i="2"/>
  <c r="D79" i="2"/>
  <c r="K62" i="2"/>
  <c r="K74" i="2"/>
  <c r="K76" i="2"/>
  <c r="K68" i="2"/>
  <c r="K61" i="2"/>
  <c r="AE74" i="2"/>
  <c r="AE76" i="2"/>
  <c r="AE62" i="2"/>
  <c r="AE61" i="2"/>
  <c r="AE68" i="2"/>
  <c r="G79" i="2"/>
  <c r="G74" i="2"/>
  <c r="G62" i="2"/>
  <c r="G76" i="2"/>
  <c r="G68" i="2"/>
  <c r="G61" i="2"/>
  <c r="H62" i="2"/>
  <c r="H76" i="2"/>
  <c r="H68" i="2"/>
  <c r="H61" i="2"/>
  <c r="H79" i="2"/>
  <c r="H74" i="2"/>
  <c r="O74" i="2"/>
  <c r="O62" i="2"/>
  <c r="O76" i="2"/>
  <c r="O68" i="2"/>
  <c r="O61" i="2"/>
  <c r="W18" i="20"/>
  <c r="W9" i="20"/>
  <c r="W15" i="20"/>
  <c r="V22" i="20"/>
  <c r="P62" i="2"/>
  <c r="P76" i="2"/>
  <c r="P68" i="2"/>
  <c r="P61" i="2"/>
  <c r="P74" i="2"/>
  <c r="AB15" i="20"/>
  <c r="AB18" i="20"/>
  <c r="AB9" i="20"/>
  <c r="AA22" i="20"/>
  <c r="AA74" i="2"/>
  <c r="AA68" i="2"/>
  <c r="AA76" i="2"/>
  <c r="AA62" i="2"/>
  <c r="AA61" i="2"/>
  <c r="C62" i="2"/>
  <c r="C76" i="2"/>
  <c r="C68" i="2"/>
  <c r="C61" i="2"/>
  <c r="C74" i="2"/>
  <c r="S55" i="2" l="1"/>
  <c r="T76" i="2"/>
  <c r="W56" i="2"/>
  <c r="H7" i="25"/>
  <c r="H9" i="25" s="1"/>
  <c r="C5" i="25" s="1"/>
  <c r="C7" i="25" s="1"/>
  <c r="AF76" i="2"/>
  <c r="I67" i="2"/>
  <c r="AU18" i="20"/>
  <c r="AU15" i="20"/>
  <c r="L68" i="2"/>
  <c r="AP15" i="20"/>
  <c r="AP18" i="20"/>
  <c r="H34" i="63"/>
  <c r="H33" i="63"/>
  <c r="M34" i="63"/>
  <c r="M33" i="63"/>
  <c r="AG14" i="99"/>
  <c r="BA15" i="20"/>
  <c r="BA17" i="20"/>
  <c r="AG18" i="20"/>
  <c r="U39" i="99"/>
  <c r="U36" i="99"/>
  <c r="AF6" i="99"/>
  <c r="AD36" i="99"/>
  <c r="AD39" i="99"/>
  <c r="AA9" i="21"/>
  <c r="W34" i="99"/>
  <c r="W28" i="99"/>
  <c r="V28" i="99" s="1"/>
  <c r="W42" i="99"/>
  <c r="AF14" i="99"/>
  <c r="AF42" i="99"/>
  <c r="L61" i="2"/>
  <c r="L76" i="2"/>
  <c r="X13" i="2"/>
  <c r="X29" i="2"/>
  <c r="X59" i="2"/>
  <c r="X3" i="2"/>
  <c r="N39" i="99"/>
  <c r="N36" i="99"/>
  <c r="AE39" i="99"/>
  <c r="AE36" i="99"/>
  <c r="S39" i="99"/>
  <c r="S36" i="99"/>
  <c r="M61" i="2"/>
  <c r="L74" i="2"/>
  <c r="W7" i="99"/>
  <c r="AB27" i="99"/>
  <c r="AA27" i="99" s="1"/>
  <c r="R14" i="99"/>
  <c r="X28" i="99"/>
  <c r="O39" i="99"/>
  <c r="O36" i="99"/>
  <c r="O79" i="2"/>
  <c r="AF22" i="20"/>
  <c r="AF18" i="20" s="1"/>
  <c r="AG15" i="20"/>
  <c r="M41" i="99"/>
  <c r="V6" i="99"/>
  <c r="Q18" i="99"/>
  <c r="AF26" i="99"/>
  <c r="AG34" i="99"/>
  <c r="AG28" i="99"/>
  <c r="AG30" i="99" s="1"/>
  <c r="V26" i="99"/>
  <c r="L28" i="99"/>
  <c r="AD28" i="99"/>
  <c r="AC41" i="99"/>
  <c r="J28" i="99"/>
  <c r="AB34" i="99"/>
  <c r="AA26" i="99"/>
  <c r="M26" i="99"/>
  <c r="AB42" i="99"/>
  <c r="Q42" i="99"/>
  <c r="T39" i="99"/>
  <c r="T36" i="99"/>
  <c r="X36" i="99"/>
  <c r="X39" i="99"/>
  <c r="U5" i="63"/>
  <c r="U6" i="63"/>
  <c r="AG7" i="99"/>
  <c r="I28" i="99"/>
  <c r="K28" i="99"/>
  <c r="R34" i="99"/>
  <c r="R28" i="99"/>
  <c r="Q28" i="99" s="1"/>
  <c r="AG42" i="99"/>
  <c r="Y42" i="99"/>
  <c r="AA42" i="99"/>
  <c r="Z28" i="99"/>
  <c r="Y28" i="99"/>
  <c r="T31" i="97"/>
  <c r="T39" i="97"/>
  <c r="AF68" i="2"/>
  <c r="AF74" i="2"/>
  <c r="T56" i="2"/>
  <c r="AF61" i="2"/>
  <c r="S56" i="2"/>
  <c r="AC56" i="2"/>
  <c r="O56" i="2"/>
  <c r="AG56" i="2"/>
  <c r="H70" i="34"/>
  <c r="X7" i="2"/>
  <c r="X9" i="2"/>
  <c r="I17" i="63"/>
  <c r="I29" i="63" s="1"/>
  <c r="I30" i="63" s="1"/>
  <c r="K17" i="63"/>
  <c r="K29" i="63" s="1"/>
  <c r="K30" i="63" s="1"/>
  <c r="O17" i="63"/>
  <c r="O29" i="63" s="1"/>
  <c r="O30" i="63" s="1"/>
  <c r="N17" i="63"/>
  <c r="N29" i="63" s="1"/>
  <c r="N30" i="63" s="1"/>
  <c r="M28" i="63"/>
  <c r="M18" i="63"/>
  <c r="AV17" i="20"/>
  <c r="H66" i="34"/>
  <c r="H69" i="34" s="1"/>
  <c r="H72" i="34"/>
  <c r="H74" i="34" s="1"/>
  <c r="O55" i="2"/>
  <c r="AC55" i="2"/>
  <c r="S59" i="2"/>
  <c r="S9" i="2"/>
  <c r="S13" i="2"/>
  <c r="S29" i="2"/>
  <c r="S7" i="2"/>
  <c r="S3" i="2"/>
  <c r="AO76" i="2"/>
  <c r="AU56" i="2"/>
  <c r="AP56" i="2"/>
  <c r="AQ56" i="2"/>
  <c r="AA7" i="99"/>
  <c r="M62" i="2"/>
  <c r="M79" i="2"/>
  <c r="M76" i="2"/>
  <c r="M68" i="2"/>
  <c r="L12" i="83"/>
  <c r="M8" i="83"/>
  <c r="M11" i="83" s="1"/>
  <c r="M15" i="83" s="1"/>
  <c r="M17" i="83" s="1"/>
  <c r="M6" i="83" s="1"/>
  <c r="L20" i="83"/>
  <c r="L22" i="83" s="1"/>
  <c r="L21" i="83"/>
  <c r="K23" i="83"/>
  <c r="AB61" i="2"/>
  <c r="R68" i="2"/>
  <c r="R74" i="2"/>
  <c r="R62" i="2"/>
  <c r="R61" i="2"/>
  <c r="R76" i="2"/>
  <c r="G75" i="34"/>
  <c r="G74" i="34"/>
  <c r="Q9" i="21"/>
  <c r="U68" i="2"/>
  <c r="U74" i="2"/>
  <c r="U62" i="2"/>
  <c r="U76" i="2"/>
  <c r="AC9" i="21"/>
  <c r="AP76" i="2"/>
  <c r="G106" i="34"/>
  <c r="H28" i="63"/>
  <c r="H18" i="63"/>
  <c r="AR56" i="2"/>
  <c r="AS56" i="2"/>
  <c r="H8" i="25"/>
  <c r="AB74" i="2"/>
  <c r="AB68" i="2"/>
  <c r="AB62" i="2"/>
  <c r="BD22" i="20"/>
  <c r="AV15" i="20"/>
  <c r="AV9" i="20"/>
  <c r="K34" i="99"/>
  <c r="E71" i="2"/>
  <c r="E73" i="2" s="1"/>
  <c r="E67" i="2"/>
  <c r="J34" i="99"/>
  <c r="M34" i="99"/>
  <c r="I34" i="99"/>
  <c r="L34" i="99"/>
  <c r="T61" i="2"/>
  <c r="T60" i="2" s="1"/>
  <c r="U61" i="2" s="1"/>
  <c r="V9" i="20"/>
  <c r="V15" i="20"/>
  <c r="AA18" i="20"/>
  <c r="AA15" i="20"/>
  <c r="I18" i="63" l="1"/>
  <c r="I28" i="63"/>
  <c r="H75" i="34"/>
  <c r="AF15" i="20"/>
  <c r="K33" i="63"/>
  <c r="K34" i="63"/>
  <c r="I34" i="63"/>
  <c r="I33" i="63"/>
  <c r="N34" i="63"/>
  <c r="N33" i="63"/>
  <c r="O33" i="63"/>
  <c r="O34" i="63"/>
  <c r="U7" i="63"/>
  <c r="AB28" i="99"/>
  <c r="AA28" i="99" s="1"/>
  <c r="I36" i="99"/>
  <c r="I39" i="99"/>
  <c r="M28" i="99"/>
  <c r="X76" i="2"/>
  <c r="X61" i="2"/>
  <c r="X74" i="2"/>
  <c r="X68" i="2"/>
  <c r="X62" i="2"/>
  <c r="L36" i="99"/>
  <c r="L39" i="99"/>
  <c r="K39" i="99"/>
  <c r="K36" i="99"/>
  <c r="V7" i="99"/>
  <c r="AF28" i="99"/>
  <c r="Q26" i="99"/>
  <c r="M39" i="99"/>
  <c r="M36" i="99"/>
  <c r="AG39" i="99"/>
  <c r="AG36" i="99"/>
  <c r="AF34" i="99"/>
  <c r="AF7" i="99"/>
  <c r="R36" i="99"/>
  <c r="R39" i="99"/>
  <c r="Q34" i="99"/>
  <c r="AB39" i="99"/>
  <c r="AB36" i="99"/>
  <c r="AA34" i="99"/>
  <c r="AC42" i="99"/>
  <c r="M42" i="99"/>
  <c r="J36" i="99"/>
  <c r="J39" i="99"/>
  <c r="W36" i="99"/>
  <c r="V34" i="99"/>
  <c r="W39" i="99"/>
  <c r="T141" i="97"/>
  <c r="T154" i="97" s="1"/>
  <c r="T158" i="97" s="1"/>
  <c r="T32" i="97"/>
  <c r="K18" i="63"/>
  <c r="K28" i="63"/>
  <c r="O28" i="63"/>
  <c r="V7" i="63" s="1"/>
  <c r="O18" i="63"/>
  <c r="N28" i="63"/>
  <c r="N18" i="63"/>
  <c r="S68" i="2"/>
  <c r="S62" i="2"/>
  <c r="S61" i="2"/>
  <c r="S76" i="2"/>
  <c r="S74" i="2"/>
  <c r="M12" i="83"/>
  <c r="L23" i="83"/>
  <c r="J106" i="34"/>
  <c r="G107" i="34"/>
  <c r="BQ9" i="20"/>
  <c r="BQ18" i="20"/>
  <c r="BD14" i="20"/>
  <c r="BD8" i="20"/>
  <c r="AF39" i="99" l="1"/>
  <c r="AF36" i="99"/>
  <c r="AA39" i="99"/>
  <c r="AA36" i="99"/>
  <c r="Q39" i="99"/>
  <c r="Q36" i="99"/>
  <c r="W6" i="63"/>
  <c r="W5" i="63"/>
  <c r="V36" i="99"/>
  <c r="V39" i="99"/>
  <c r="G108" i="34"/>
  <c r="G113" i="34"/>
  <c r="J107" i="34"/>
  <c r="J112" i="34" s="1"/>
  <c r="BE22" i="20"/>
  <c r="BD17" i="20"/>
  <c r="W7" i="63" l="1"/>
  <c r="L112" i="34"/>
  <c r="J113" i="34"/>
  <c r="J108" i="34"/>
  <c r="J109" i="34" s="1"/>
  <c r="G109" i="34"/>
  <c r="BR9" i="20"/>
  <c r="BR18" i="20"/>
  <c r="BE14" i="20"/>
  <c r="BE8" i="20"/>
  <c r="J117" i="34" l="1"/>
  <c r="J111" i="34"/>
  <c r="J114" i="34" s="1"/>
  <c r="J110" i="34"/>
  <c r="L114" i="34"/>
  <c r="L116" i="34" s="1"/>
  <c r="G110" i="34"/>
  <c r="G117" i="34"/>
  <c r="G111" i="34"/>
  <c r="G114" i="34" s="1"/>
  <c r="G115" i="34"/>
  <c r="J115" i="34"/>
  <c r="BE17" i="20"/>
  <c r="G122" i="34" l="1"/>
  <c r="G119" i="34"/>
  <c r="J119" i="34"/>
  <c r="J122" i="34"/>
  <c r="BF22" i="20"/>
  <c r="BF8" i="20" l="1"/>
  <c r="BS9" i="20"/>
  <c r="BF14" i="20" l="1"/>
  <c r="BF17" i="20" s="1"/>
  <c r="O51" i="57" l="1"/>
  <c r="Q50" i="57" s="1"/>
  <c r="M20" i="83" l="1"/>
  <c r="M22" i="83" s="1"/>
  <c r="M21" i="83"/>
  <c r="M23" i="83" l="1"/>
  <c r="H32" i="95" l="1"/>
  <c r="H17" i="95"/>
  <c r="H19" i="95" l="1"/>
  <c r="H39" i="95"/>
  <c r="H45" i="95"/>
  <c r="H60" i="95" s="1"/>
  <c r="H37" i="95"/>
  <c r="I32" i="95"/>
  <c r="K32" i="95"/>
  <c r="M32" i="95"/>
  <c r="L32" i="95"/>
  <c r="J32" i="95"/>
  <c r="J37" i="95"/>
  <c r="J19" i="95"/>
  <c r="M37" i="95"/>
  <c r="H71" i="95" l="1"/>
  <c r="H254" i="95" s="1"/>
  <c r="K39" i="95"/>
  <c r="K45" i="95"/>
  <c r="K60" i="95" s="1"/>
  <c r="K19" i="95"/>
  <c r="L45" i="95"/>
  <c r="L60" i="95" s="1"/>
  <c r="L19" i="95"/>
  <c r="L39" i="95"/>
  <c r="I19" i="95"/>
  <c r="I45" i="95"/>
  <c r="I39" i="95"/>
  <c r="K37" i="95"/>
  <c r="I37" i="95"/>
  <c r="J39" i="95"/>
  <c r="L37" i="95"/>
  <c r="J45" i="95"/>
  <c r="J60" i="95" s="1"/>
  <c r="I71" i="95" l="1"/>
  <c r="I254" i="95" s="1"/>
  <c r="I60" i="95"/>
  <c r="H91" i="95"/>
  <c r="J71" i="95"/>
  <c r="J254" i="95" s="1"/>
  <c r="K71" i="95"/>
  <c r="K254" i="95" s="1"/>
  <c r="L71" i="95"/>
  <c r="M19" i="95"/>
  <c r="M39" i="95"/>
  <c r="M45" i="95"/>
  <c r="M60" i="95" s="1"/>
  <c r="L254" i="95" l="1"/>
  <c r="L91" i="95"/>
  <c r="I91" i="95"/>
  <c r="K91" i="95"/>
  <c r="J91" i="95"/>
  <c r="M71" i="95"/>
  <c r="M254" i="95" s="1"/>
  <c r="M91" i="95" l="1"/>
  <c r="M95" i="95" s="1"/>
  <c r="M96" i="95" l="1"/>
  <c r="K95" i="95" l="1"/>
  <c r="J95" i="95" l="1"/>
  <c r="K96" i="95"/>
  <c r="I95" i="95" l="1"/>
  <c r="J96" i="95"/>
  <c r="I96" i="95" l="1"/>
  <c r="H95" i="95"/>
  <c r="AL157" i="97"/>
  <c r="AL158" i="97" s="1"/>
  <c r="AI157" i="97"/>
  <c r="AI158" i="97" s="1"/>
  <c r="H96" i="95" l="1"/>
  <c r="G95" i="95"/>
  <c r="AD157" i="97"/>
  <c r="AD158" i="97" s="1"/>
  <c r="G96" i="95" l="1"/>
  <c r="F89" i="95"/>
  <c r="F95" i="95" s="1"/>
  <c r="L95" i="95"/>
  <c r="L96" i="95" s="1"/>
  <c r="F96" i="95" l="1"/>
  <c r="E89" i="95"/>
  <c r="E95" i="95" s="1"/>
  <c r="AS28" i="99"/>
  <c r="AS30" i="99" s="1"/>
  <c r="AS39" i="99" s="1"/>
  <c r="AS43" i="99" s="1"/>
  <c r="AS45" i="99" s="1"/>
  <c r="E96" i="95" l="1"/>
  <c r="D89" i="95"/>
  <c r="D95" i="95" s="1"/>
  <c r="D96" i="95" l="1"/>
  <c r="C89" i="95"/>
  <c r="C95" i="95" s="1"/>
  <c r="C96" i="95" s="1"/>
  <c r="Q96" i="95" s="1"/>
  <c r="BD8" i="99"/>
  <c r="BB6" i="99"/>
  <c r="BB8" i="99" s="1"/>
  <c r="BC8" i="99" l="1"/>
  <c r="BC13" i="99" s="1"/>
  <c r="N18" i="102" s="1"/>
  <c r="BB16" i="99"/>
  <c r="BD16" i="99"/>
  <c r="BD26" i="99" s="1"/>
  <c r="BD13" i="99"/>
  <c r="BB13" i="99"/>
  <c r="BC41" i="99" l="1"/>
  <c r="BB26" i="99"/>
  <c r="BC16" i="99"/>
  <c r="BG16" i="99" s="1"/>
  <c r="M18" i="102"/>
  <c r="BD41" i="99"/>
  <c r="BD35" i="99"/>
  <c r="BD28" i="99"/>
  <c r="BD34" i="99"/>
  <c r="BA60" i="99" l="1"/>
  <c r="BA61" i="99" s="1"/>
  <c r="BB28" i="99"/>
  <c r="BB30" i="99" s="1"/>
  <c r="BC26" i="99"/>
  <c r="BC17" i="99"/>
  <c r="BD48" i="99"/>
  <c r="I26" i="100"/>
  <c r="G11" i="101"/>
  <c r="K18" i="102"/>
  <c r="I18" i="102" s="1"/>
  <c r="BD30" i="99"/>
  <c r="BD39" i="99" s="1"/>
  <c r="BC28" i="99" l="1"/>
  <c r="BG26" i="99"/>
  <c r="BC35" i="99"/>
  <c r="BC34" i="99"/>
  <c r="BD50" i="99"/>
  <c r="G21" i="101"/>
  <c r="J26" i="100"/>
  <c r="BD43" i="99"/>
  <c r="BD45" i="99" s="1"/>
  <c r="AZ60" i="99" l="1"/>
  <c r="AZ61" i="99" s="1"/>
  <c r="BC48" i="99"/>
  <c r="L18" i="102"/>
  <c r="J18" i="102" s="1"/>
  <c r="I25" i="100"/>
  <c r="G10" i="101"/>
  <c r="BB35" i="99"/>
  <c r="BB39" i="99" s="1"/>
  <c r="BB43" i="99" s="1"/>
  <c r="BA30" i="99" l="1"/>
  <c r="BC30" i="99" s="1"/>
  <c r="BC39" i="99" s="1"/>
  <c r="BC29" i="99"/>
  <c r="BC50" i="99" l="1"/>
  <c r="BC43" i="99"/>
  <c r="BC45" i="99" s="1"/>
  <c r="AH57" i="99" s="1"/>
  <c r="AH59" i="99" s="1"/>
  <c r="J25" i="100"/>
  <c r="G20" i="101"/>
  <c r="BA39" i="99"/>
  <c r="BA43" i="99" s="1"/>
  <c r="AZ63" i="99"/>
  <c r="AT49" i="99" l="1"/>
  <c r="BD49" i="99"/>
  <c r="AO49" i="99"/>
  <c r="AM56" i="99"/>
  <c r="BE49" i="99"/>
  <c r="BC49" i="99"/>
  <c r="AY49" i="99"/>
  <c r="AH61" i="99" l="1"/>
  <c r="AZ64" i="99"/>
  <c r="BE56" i="99"/>
  <c r="BD56" i="99"/>
  <c r="AO48" i="99"/>
  <c r="BC56" i="99"/>
  <c r="AM57" i="99"/>
  <c r="BE57" i="99" l="1"/>
  <c r="BC57" i="99"/>
  <c r="BD57" i="99"/>
  <c r="BC51" i="99"/>
  <c r="BE51" i="99"/>
  <c r="AY51" i="99"/>
  <c r="AO51" i="99"/>
  <c r="AH63" i="99"/>
  <c r="AH66" i="99"/>
  <c r="AH68" i="99" s="1"/>
  <c r="BD51" i="99"/>
  <c r="AT51" i="99"/>
  <c r="AH70" i="99" l="1"/>
  <c r="I130" i="99"/>
  <c r="N131" i="99"/>
  <c r="N132" i="99" s="1"/>
  <c r="BE60" i="99"/>
  <c r="I114" i="9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ירון בלומשטין</author>
    <author>Blumshtein</author>
    <author>Administrator</author>
  </authors>
  <commentList>
    <comment ref="BC8" authorId="0" shapeId="0" xr:uid="{103DB2E8-9CC5-4F7C-87CC-88A7E3203DF7}">
      <text>
        <r>
          <rPr>
            <b/>
            <sz val="9"/>
            <color indexed="81"/>
            <rFont val="Tahoma"/>
            <family val="2"/>
          </rPr>
          <t>ירון בלומשטין:</t>
        </r>
        <r>
          <rPr>
            <sz val="9"/>
            <color indexed="81"/>
            <rFont val="Tahoma"/>
            <family val="2"/>
          </rPr>
          <t xml:space="preserve">
תוספת מכירות של כ- 200 מ' $ בגין מכירות מגנזיום כלורי (מגנזיום טהור, סגסוגות מגנזיום וכלור), ובנוסף מוצרי מלח המופקים מאתר האשלג בספרד.</t>
        </r>
      </text>
    </comment>
    <comment ref="AB18" authorId="1" shapeId="0" xr:uid="{00000000-0006-0000-0500-000001000000}">
      <text>
        <r>
          <rPr>
            <b/>
            <sz val="9"/>
            <color indexed="81"/>
            <rFont val="Tahoma"/>
            <family val="2"/>
          </rPr>
          <t xml:space="preserve">Blumshtein
</t>
        </r>
        <r>
          <rPr>
            <sz val="9"/>
            <color indexed="81"/>
            <rFont val="Tahoma"/>
            <family val="2"/>
          </rPr>
          <t>רווח תפעולי ב- 2012 עמד על 162 מ' $, וכלל 33 מיל' $ הוצאות בגין פרישה מוקדמת.</t>
        </r>
      </text>
    </comment>
    <comment ref="AG18" authorId="1" shapeId="0" xr:uid="{00000000-0006-0000-0500-000002000000}">
      <text>
        <r>
          <rPr>
            <b/>
            <sz val="9"/>
            <color indexed="81"/>
            <rFont val="Tahoma"/>
            <family val="2"/>
          </rPr>
          <t xml:space="preserve">Blumshtein
</t>
        </r>
        <r>
          <rPr>
            <sz val="9"/>
            <color indexed="81"/>
            <rFont val="Tahoma"/>
            <family val="2"/>
          </rPr>
          <t>רווח תפעולי ב- 2013 עמד על 81 מ' $, וכלל 60 מיל' $ הוצאות בגין פרישה מוקדמת.</t>
        </r>
      </text>
    </comment>
    <comment ref="AB22" authorId="1" shapeId="0" xr:uid="{00000000-0006-0000-0500-000003000000}">
      <text>
        <r>
          <rPr>
            <b/>
            <sz val="9"/>
            <color indexed="81"/>
            <rFont val="Tahoma"/>
            <family val="2"/>
          </rPr>
          <t xml:space="preserve">Blumshtein:
</t>
        </r>
        <r>
          <rPr>
            <sz val="9"/>
            <color indexed="81"/>
            <rFont val="Tahoma"/>
            <family val="2"/>
          </rPr>
          <t>הרווח התפעולי במגזר מוצרי תכלית כולל הכנסה לד פעמית בגין החזר מע"מ בסך 11 מיל' $ (ב- Q4-12)</t>
        </r>
      </text>
    </comment>
    <comment ref="AB27" authorId="2" shapeId="0" xr:uid="{00000000-0006-0000-0500-000004000000}">
      <text>
        <r>
          <rPr>
            <b/>
            <sz val="8"/>
            <color indexed="81"/>
            <rFont val="Tahoma"/>
            <family val="2"/>
          </rPr>
          <t xml:space="preserve">ירון:
א. </t>
        </r>
        <r>
          <rPr>
            <sz val="8"/>
            <color indexed="81"/>
            <rFont val="Tahoma"/>
            <family val="2"/>
          </rPr>
          <t xml:space="preserve">פחת לשמירה על הקיים ברמות של 250-300 מיל'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Anat</author>
    <author>eXPerience</author>
    <author>ירון בלומשטיין</author>
    <author>Administrator</author>
    <author>omerzorea</author>
    <author>Blumshtein</author>
  </authors>
  <commentList>
    <comment ref="Y6" authorId="0" shapeId="0" xr:uid="{00000000-0006-0000-0300-000001000000}">
      <text>
        <r>
          <rPr>
            <b/>
            <sz val="8"/>
            <color indexed="81"/>
            <rFont val="Tahoma"/>
            <family val="2"/>
          </rPr>
          <t xml:space="preserve">ירון:
</t>
        </r>
        <r>
          <rPr>
            <sz val="8"/>
            <color indexed="81"/>
            <rFont val="Tahoma"/>
            <family val="2"/>
          </rPr>
          <t>עמוד 4 לדו"ח הדירקטוריון של Q2-10: 
הביקוש במערב אירופה, לדשנים בכלל ולאשלג בפרט, שהיה נמוך מאד בעונה הקודמת, חוזר בהדרגה לרמות הצריכה הרגילות בעיקר בשל התאוששות הביקושים בשווקים החקלאיים בצרפת ובגרמניה שהם השווקים החקלאיים הגדולים באירופה.</t>
        </r>
      </text>
    </comment>
    <comment ref="Y10" authorId="0" shapeId="0" xr:uid="{00000000-0006-0000-0300-000002000000}">
      <text>
        <r>
          <rPr>
            <b/>
            <sz val="8"/>
            <color indexed="81"/>
            <rFont val="Tahoma"/>
            <family val="2"/>
          </rPr>
          <t xml:space="preserve">ירון:
</t>
        </r>
        <r>
          <rPr>
            <sz val="8"/>
            <color indexed="81"/>
            <rFont val="Tahoma"/>
            <family val="2"/>
          </rPr>
          <t>עמוד 4 לדו"ח הדירקטוריון של Q2-10: יבוא האשלג לברזיל בתקופת הדוח גדל משמעותית לעומת התקופה המקבילה אשתקד. לקראת הרבעון השלישי ניכרת פעילות רבה ברכש אשלג בברזיל לקראת עונת הדישון הקרובה.
הערכה ע"ב מצגת החברה.
ברבעון הרביעי תוספת של 10% לממוצע הרבעוני ב- 2010 (ע"ב 9 חודשים ראשונים).</t>
        </r>
      </text>
    </comment>
    <comment ref="Y12" authorId="0" shapeId="0" xr:uid="{00000000-0006-0000-0300-000003000000}">
      <text>
        <r>
          <rPr>
            <b/>
            <sz val="8"/>
            <color indexed="81"/>
            <rFont val="Tahoma"/>
            <family val="2"/>
          </rPr>
          <t xml:space="preserve">ירון:
</t>
        </r>
        <r>
          <rPr>
            <sz val="8"/>
            <color indexed="81"/>
            <rFont val="Tahoma"/>
            <family val="2"/>
          </rPr>
          <t>עמוד 4 לדו"ח הדירקטוריון של Q2-10: כיל חתמה בחודש מרץ על הסכם עם מספר לקוחות הודיים למכירת אשלג בהיקף של 1.43 מ' טון (כולל 90 א' טון) לתקופה של שנה במחיר של 370$ לטון CFR.</t>
        </r>
      </text>
    </comment>
    <comment ref="AD12" authorId="0" shapeId="0" xr:uid="{00000000-0006-0000-0300-000004000000}">
      <text>
        <r>
          <rPr>
            <b/>
            <sz val="8"/>
            <color indexed="81"/>
            <rFont val="Tahoma"/>
            <family val="2"/>
          </rPr>
          <t xml:space="preserve">ירון:
</t>
        </r>
        <r>
          <rPr>
            <sz val="8"/>
            <color indexed="81"/>
            <rFont val="Tahoma"/>
            <family val="2"/>
          </rPr>
          <t xml:space="preserve">עמוד 14 לדו"ח הדירקטוריון של Q2-11: כיל חתמה בחודש אוגוסט על הסכם עם מספר לקוחות הודיים למכירת אשלג בהיקף של 1.39 מ' טון ובנוסף אופציה ל- 125 א' טון) לתקופה של 8 חודשים (אוגוסט-11 עד מרץ-12) במחיר של 490$ לטון CFR.
</t>
        </r>
      </text>
    </comment>
    <comment ref="Y14" authorId="0" shapeId="0" xr:uid="{00000000-0006-0000-0300-000005000000}">
      <text>
        <r>
          <rPr>
            <b/>
            <sz val="8"/>
            <color indexed="81"/>
            <rFont val="Tahoma"/>
            <family val="2"/>
          </rPr>
          <t xml:space="preserve">ירון:
</t>
        </r>
        <r>
          <rPr>
            <sz val="8"/>
            <color indexed="81"/>
            <rFont val="Tahoma"/>
            <family val="2"/>
          </rPr>
          <t>עמוד 4 לדו"ח הדירקטוריון של Q2-10: כיל חתמה בחודש ינואר-10 על הסכם עם מספר לקוחות בסין למכירת אשלג בהיקף של 620 א' טון (כולל 100 א' טון) לתקופה של שנה במחיר של 350$ לטון CFR.</t>
        </r>
      </text>
    </comment>
    <comment ref="AD14" authorId="0" shapeId="0" xr:uid="{00000000-0006-0000-0300-000006000000}">
      <text>
        <r>
          <rPr>
            <b/>
            <sz val="8"/>
            <color indexed="81"/>
            <rFont val="Tahoma"/>
            <family val="2"/>
          </rPr>
          <t xml:space="preserve">ירון:
</t>
        </r>
        <r>
          <rPr>
            <sz val="8"/>
            <color indexed="81"/>
            <rFont val="Tahoma"/>
            <family val="2"/>
          </rPr>
          <t>עמוד 14 לדו"ח הדירקטוריון של Q2-11: כיל חתמה בחודש יולי-11 על הסכם עם מספר לקוחות בסין למכירת אשלג בהיקף של 500 א' טון לתקופה של חצי שנה במחיר של 470$ לטון CFR (ואופציה ל- 120 א' טון נוספים).
מחיר החוזה למחצית הראשונה של השנה (500 א' טון ו- 120 א' טון נוספים) עמד על 400$ לטון.</t>
        </r>
      </text>
    </comment>
    <comment ref="Z16" authorId="1" shapeId="0" xr:uid="{00000000-0006-0000-0300-000007000000}">
      <text>
        <r>
          <rPr>
            <b/>
            <sz val="8"/>
            <color indexed="81"/>
            <rFont val="Tahoma"/>
            <family val="2"/>
          </rPr>
          <t xml:space="preserve">ירון:
א. </t>
        </r>
        <r>
          <rPr>
            <sz val="8"/>
            <color indexed="81"/>
            <rFont val="Tahoma"/>
            <family val="2"/>
          </rPr>
          <t xml:space="preserve">במהלך הרבעון הראשון של שנת 2011 הכריזה מועצת העובדים של מפעלי ים המלח על שביתה שהתבטאה בין היתר בהשבתת הייצור במפעלי האשלג ובמערך האחזקה של החברה. 
</t>
        </r>
        <r>
          <rPr>
            <b/>
            <sz val="8"/>
            <color indexed="81"/>
            <rFont val="Tahoma"/>
            <family val="2"/>
          </rPr>
          <t>ב.</t>
        </r>
        <r>
          <rPr>
            <sz val="8"/>
            <color indexed="81"/>
            <rFont val="Tahoma"/>
            <family val="2"/>
          </rPr>
          <t xml:space="preserve"> מצד הייצור שביתה זו גרמה להפסדי ייצור מיידים של כ- 450 אלף טון, אם כי יצויין שתהליך ייצור וצבירת מלאי הקרנליט בבריכות האידוי המשיך בפעילותו הרגילה. 
</t>
        </r>
        <r>
          <rPr>
            <b/>
            <sz val="8"/>
            <color indexed="81"/>
            <rFont val="Tahoma"/>
            <family val="2"/>
          </rPr>
          <t>ג.</t>
        </r>
        <r>
          <rPr>
            <sz val="8"/>
            <color indexed="81"/>
            <rFont val="Tahoma"/>
            <family val="2"/>
          </rPr>
          <t xml:space="preserve"> החברה מעריכה כי תצליח להשיב מלאי זה במסגרת הייצור במהלך השנים הקרובות. 
</t>
        </r>
        <r>
          <rPr>
            <b/>
            <sz val="8"/>
            <color indexed="81"/>
            <rFont val="Tahoma"/>
            <family val="2"/>
          </rPr>
          <t>ד.</t>
        </r>
        <r>
          <rPr>
            <sz val="8"/>
            <color indexed="81"/>
            <rFont val="Tahoma"/>
            <family val="2"/>
          </rPr>
          <t xml:space="preserve"> מצד המכירות, מלאי הפתיחה הגבוה של שנת 2011 הקטין משמעותית את השפעת הפגיעה בייצור בעקבות השביתה על תוכנית המכירות השנתית</t>
        </r>
      </text>
    </comment>
    <comment ref="AE16" authorId="1" shapeId="0" xr:uid="{00000000-0006-0000-0300-000008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החוזים בהודו שהיו אמורים להסתיים לסוף הרבעון הראשון מאוגוסט-11 נדחו ונפרסו ונמכרו שם כמויות מכירה נמוכות יותר (ב- 490$ CFR). 
בנוסף, חל עיכוב בחתימה על החוזה החצי שנתי מול סין.
</t>
        </r>
        <r>
          <rPr>
            <b/>
            <sz val="8"/>
            <color indexed="81"/>
            <rFont val="Tahoma"/>
            <family val="2"/>
          </rPr>
          <t>ג.</t>
        </r>
        <r>
          <rPr>
            <sz val="8"/>
            <color indexed="81"/>
            <rFont val="Tahoma"/>
            <family val="2"/>
          </rPr>
          <t xml:space="preserve"> כתוצאה תמהיל המכירות שנטה לכיוון ישראל (חיפה כימיקלים רוכשת אשלג ב- 300$ לטון) ואירופה (השפעת שערי החליפין אירו-דולר הובילה למחיר מכירה של 450$ לטון בממוצע) גרר שחיקה במחיר האשלג מ- 486$ לטון ב- Q4-11 ל- 460$ לטון ב- Q1-12.</t>
        </r>
      </text>
    </comment>
    <comment ref="AO16" authorId="1" shapeId="0" xr:uid="{00000000-0006-0000-0300-000009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P16" authorId="2" shapeId="0" xr:uid="{00000000-0006-0000-0300-00000A000000}">
      <text>
        <r>
          <rPr>
            <b/>
            <sz val="9"/>
            <color indexed="81"/>
            <rFont val="Tahoma"/>
            <family val="2"/>
          </rPr>
          <t>ירון בלומשטיין:</t>
        </r>
        <r>
          <rPr>
            <sz val="9"/>
            <color indexed="81"/>
            <rFont val="Tahoma"/>
            <family val="2"/>
          </rPr>
          <t xml:space="preserve">
כמות האשלג שנמכרה ללקוחות חיצוניים נמוכה ב- 49 א' טון Y/Y.
גידול בכמויות המכירה לסין ואירופה אשר קוזזה בחלקה כתוצאה מירידה בכמויות המכירה
בהודו ובדרום אמריקה.</t>
        </r>
      </text>
    </comment>
    <comment ref="AT16" authorId="1" shapeId="0" xr:uid="{00000000-0006-0000-0300-00000B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U16" authorId="2" shapeId="0" xr:uid="{00000000-0006-0000-0300-00000C000000}">
      <text>
        <r>
          <rPr>
            <b/>
            <sz val="9"/>
            <color indexed="81"/>
            <rFont val="Tahoma"/>
            <family val="2"/>
          </rPr>
          <t>ירון בלומשטיין:</t>
        </r>
        <r>
          <rPr>
            <sz val="9"/>
            <color indexed="81"/>
            <rFont val="Tahoma"/>
            <family val="2"/>
          </rPr>
          <t xml:space="preserve">
כמות האשלג שנמכרה ללקוחות חיצוניים נמוכה ב- 49 א' טון Y/Y.
גידול בכמויות המכירה לסין ואירופה אשר קוזזה בחלקה כתוצאה מירידה בכמויות המכירה
בהודו ובדרום אמריקה.</t>
        </r>
      </text>
    </comment>
    <comment ref="AY16" authorId="1" shapeId="0" xr:uid="{00000000-0006-0000-0300-00000D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Z16" authorId="1" shapeId="0" xr:uid="{00000000-0006-0000-0300-00000E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A16" authorId="1" shapeId="0" xr:uid="{58861A2E-2905-4680-9410-BE17FBCDB2D1}">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D16" authorId="1" shapeId="0" xr:uid="{9B695CF3-0AA0-4ABF-AA67-75CAFD9F22AD}">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E16" authorId="1" shapeId="0" xr:uid="{16F5B3BA-200B-4F99-9F2E-07FFB07EFF6C}">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F16" authorId="1" shapeId="0" xr:uid="{33052A55-1EE6-4E86-9D2B-B27E29CB4E75}">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I16" authorId="1" shapeId="0" xr:uid="{0A3B985B-E801-44EB-8360-558D411C6F84}">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K16" authorId="1" shapeId="0" xr:uid="{392A6A02-AD04-449C-B96A-4C36CC1375DE}">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L16" authorId="1" shapeId="0" xr:uid="{0B3578B9-0D37-488C-AED9-D2C9E6C593DC}">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M16" authorId="1" shapeId="0" xr:uid="{BF64628D-EF5E-49D1-9C73-082F4043D5E6}">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P16" authorId="1" shapeId="0" xr:uid="{747D5428-1F11-42E3-AD50-8BA3BFCE2D0B}">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Q16" authorId="1" shapeId="0" xr:uid="{21C2AAD8-3FB8-4EBB-A061-44CFAE0398FA}">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R16" authorId="1" shapeId="0" xr:uid="{6D55C725-30FA-48DD-BA0A-29F53CCD57F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S16" authorId="1" shapeId="0" xr:uid="{29C7400B-C4E2-47C3-B4AC-B0019BE5087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U16" authorId="1" shapeId="0" xr:uid="{A1ED49DE-0EE1-47EA-87C2-600463E2EB1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V16" authorId="1" shapeId="0" xr:uid="{EA059463-6E67-4169-B20E-2E7660A2E3B5}">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W16" authorId="1" shapeId="0" xr:uid="{00000000-0006-0000-0300-00000F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C18" authorId="3" shapeId="0" xr:uid="{00000000-0006-0000-0300-000010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2004 היה כ- 5.4 מליון טון  
    (כ- 11% מסך הייצור העולמי). 
ב. בשנת 2004 הסתיימה הרחבת כושר הייצור של מתקני הייצור של כיל   
    דשנים בסדום. כושר הייצור של כיל דשנים בתחום האשלג הינו כ- 6 
    מיל' טון.
</t>
        </r>
      </text>
    </comment>
    <comment ref="E18" authorId="3" shapeId="0" xr:uid="{00000000-0006-0000-0300-000011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כ- 5.1 מליון טון  
    (כ- 10% מסך הייצור העולמי). 
ב. כושר היצור השנתי הפוטנציאלי של כיל דשנים בתחום האשלג הינו כ- 6     מיליון טון.
ג. החברה, משיקולים עסקיים, בוחנת, בתקופה הקרובה, להגדיל את 
    הייצור בישראל על חשבון הקטנת הייצור במפעלים באירופה. 
ד. במהלך שנת 2005 החלה השקעה בבריכת אידוי מספר 3 בים המלח, 
    אשר מטרתה הינה הגדלת כושר ייצור הקרנליט, שווה ערך לכ – 250,000
    טון אשלג, על ידי הסבת חלק משטח הבריכה משיקוע מלח לייצור   
    קרנליט. 
ה. השקעה זו צפויה להסתיים בשנת 2008.
</t>
        </r>
      </text>
    </comment>
    <comment ref="O18" authorId="3" shapeId="0" xr:uid="{00000000-0006-0000-0300-000012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ייצור האשלג השנתי של כיל דשנים בשנת 2006 היה כ- 5 מליון טון  (כ- 9% מסך 
     הייצור העולמי). 
ב. כושר היצור השנתי הפוטנציאלי של כיל דשנים בתחום האשלג הינו כ- 6 מיליון טון 
     (עמוד 41 לדו"ח).
ג. במהלך שנת 2008 הסתיימה הסבת השימוש בחלק משטח בריכת אידוי מספר 3 
    בים המלח משיקוע מלח לשיקוע קרנליט.
ד  כתוצאה מכך יגדל ייצור הקרנליט בשיעור שווה ערך לכ- 250,000 טון אשלג לשנה. 
    להערכת כיל דשנים קציר הקרנליט הראשון צפוי להתבצע באמצע שנת 2009
ה.  כיל דשנים מקדמת תוכנית נוספת להגדלה הדרגתית של ייצור האשלג בסדום
     בהיקף של כ– 250 אלפי טון נוספים שתתבצע עד שנת 2011 , באמצעות שיפורים   
     טכנולוגיים וכן פתיחת ''צווארי בקבוק'' במפעלים הקיימים.
ו.  באירופה בוצעו בשנים 2007 ו- 2008 השקעות ברכישת ציוד כרייה בספרד ובפיתוח
    אזורי כרייה חדשים באנגליה וכן מתוכננת השקעות נוספות אשר כתוצאה מהן 
    צפוי לגדול הייצור באופן הדרגתי עד שנת 2010 בכ– 300 אלפי טון לשנה.
ז.  על בסיס הרחבות צפויות אלו כושר ייצור האשלג בשנת 2012 עשוי להגיע לכ - 6.5
    מליון טון.</t>
        </r>
      </text>
    </comment>
    <comment ref="T18" authorId="3" shapeId="0" xr:uid="{00000000-0006-0000-0300-000013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U18" authorId="3" shapeId="0" xr:uid="{00000000-0006-0000-0300-000014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V18" authorId="3" shapeId="0" xr:uid="{00000000-0006-0000-0300-000015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W18" authorId="3" shapeId="0" xr:uid="{00000000-0006-0000-0300-000016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X18" authorId="3" shapeId="0" xr:uid="{00000000-0006-0000-0300-000017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Y18" authorId="3" shapeId="0" xr:uid="{00000000-0006-0000-0300-000018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AG26" authorId="1" shapeId="0" xr:uid="{00000000-0006-0000-0300-000019000000}">
      <text>
        <r>
          <rPr>
            <b/>
            <sz val="8"/>
            <color indexed="81"/>
            <rFont val="Tahoma"/>
            <family val="2"/>
          </rPr>
          <t xml:space="preserve">ירון:
</t>
        </r>
        <r>
          <rPr>
            <sz val="8"/>
            <color indexed="81"/>
            <rFont val="Tahoma"/>
            <family val="2"/>
          </rPr>
          <t xml:space="preserve">
א. משיחה עם לימור גרובר מה- 25/11/12. ב. שקול ל- 340 אירו (לפי שער אירו-דולר 
    של 1.23).</t>
        </r>
        <r>
          <rPr>
            <sz val="8"/>
            <color indexed="81"/>
            <rFont val="Tahoma"/>
            <family val="2"/>
          </rPr>
          <t xml:space="preserve">
</t>
        </r>
      </text>
    </comment>
    <comment ref="AG27" authorId="1" shapeId="0" xr:uid="{00000000-0006-0000-0300-00001A000000}">
      <text>
        <r>
          <rPr>
            <b/>
            <sz val="8"/>
            <color indexed="81"/>
            <rFont val="Tahoma"/>
            <family val="2"/>
          </rPr>
          <t xml:space="preserve">ירון:
</t>
        </r>
        <r>
          <rPr>
            <sz val="8"/>
            <color indexed="81"/>
            <rFont val="Tahoma"/>
            <family val="2"/>
          </rPr>
          <t xml:space="preserve">
א. משיחה עם לימור גרובר מה- 25/11/12.</t>
        </r>
        <r>
          <rPr>
            <sz val="8"/>
            <color indexed="81"/>
            <rFont val="Tahoma"/>
            <family val="2"/>
          </rPr>
          <t xml:space="preserve">
</t>
        </r>
      </text>
    </comment>
    <comment ref="AI28" authorId="3" shapeId="0" xr:uid="{00000000-0006-0000-0300-00001B000000}">
      <text>
        <r>
          <rPr>
            <sz val="9"/>
            <color indexed="81"/>
            <rFont val="Tahoma"/>
            <family val="2"/>
          </rPr>
          <t xml:space="preserve">ירון:
שאר העולם כולל את ישראל שהמכירות שם הינן ב- 300$ לטון.
</t>
        </r>
      </text>
    </comment>
    <comment ref="AN28" authorId="3" shapeId="0" xr:uid="{00000000-0006-0000-0300-00001C000000}">
      <text>
        <r>
          <rPr>
            <sz val="9"/>
            <color indexed="81"/>
            <rFont val="Tahoma"/>
            <family val="2"/>
          </rPr>
          <t xml:space="preserve">ירון:
שאר העולם כולל את ישראל שהמכירות שם הינן ב- 300$ לטון.
</t>
        </r>
      </text>
    </comment>
    <comment ref="AS28" authorId="3" shapeId="0" xr:uid="{00000000-0006-0000-0300-00001D000000}">
      <text>
        <r>
          <rPr>
            <sz val="9"/>
            <color indexed="81"/>
            <rFont val="Tahoma"/>
            <family val="2"/>
          </rPr>
          <t xml:space="preserve">ירון:
שאר העולם כולל את ישראל שהמכירות שם הינן ב- 300$ לטון.
</t>
        </r>
      </text>
    </comment>
    <comment ref="AX28" authorId="3" shapeId="0" xr:uid="{00000000-0006-0000-0300-00001E000000}">
      <text>
        <r>
          <rPr>
            <sz val="9"/>
            <color indexed="81"/>
            <rFont val="Tahoma"/>
            <family val="2"/>
          </rPr>
          <t xml:space="preserve">ירון:
שאר העולם כולל את ישראל שהמכירות שם הינן ב- 300$ לטון.
</t>
        </r>
      </text>
    </comment>
    <comment ref="BC28" authorId="3" shapeId="0" xr:uid="{5863BFB4-3E24-4135-9406-D05B80878EA1}">
      <text>
        <r>
          <rPr>
            <sz val="9"/>
            <color indexed="81"/>
            <rFont val="Tahoma"/>
            <family val="2"/>
          </rPr>
          <t xml:space="preserve">ירון:
שאר העולם כולל את ישראל שהמכירות שם הינן ב- 300$ לטון.
</t>
        </r>
      </text>
    </comment>
    <comment ref="BH28" authorId="3" shapeId="0" xr:uid="{543F02B4-E7D8-497E-83EB-AB1BD0BC5B3F}">
      <text>
        <r>
          <rPr>
            <sz val="9"/>
            <color indexed="81"/>
            <rFont val="Tahoma"/>
            <family val="2"/>
          </rPr>
          <t xml:space="preserve">ירון:
שאר העולם כולל את ישראל שהמכירות שם הינן ב- 300$ לטון.
</t>
        </r>
      </text>
    </comment>
    <comment ref="BJ28" authorId="3" shapeId="0" xr:uid="{AAF68290-2C80-4E65-ABCE-EE67959BF3F0}">
      <text>
        <r>
          <rPr>
            <sz val="9"/>
            <color indexed="81"/>
            <rFont val="Tahoma"/>
            <family val="2"/>
          </rPr>
          <t xml:space="preserve">ירון:
שאר העולם כולל את ישראל שהמכירות שם הינן ב- 300$ לטון.
</t>
        </r>
      </text>
    </comment>
    <comment ref="BO28" authorId="3" shapeId="0" xr:uid="{6DBB1A14-0AA1-4094-8382-8407BDC05F4B}">
      <text>
        <r>
          <rPr>
            <sz val="9"/>
            <color indexed="81"/>
            <rFont val="Tahoma"/>
            <family val="2"/>
          </rPr>
          <t xml:space="preserve">ירון:
שאר העולם כולל את ישראל שהמכירות שם הינן ב- 300$ לטון.
</t>
        </r>
      </text>
    </comment>
    <comment ref="BT28" authorId="3" shapeId="0" xr:uid="{93796A05-1FE6-47C4-966D-DE2DC2F06CEF}">
      <text>
        <r>
          <rPr>
            <sz val="9"/>
            <color indexed="81"/>
            <rFont val="Tahoma"/>
            <family val="2"/>
          </rPr>
          <t xml:space="preserve">ירון:
שאר העולם כולל את ישראל שהמכירות שם הינן ב- 300$ לטון.
</t>
        </r>
      </text>
    </comment>
    <comment ref="AD29" authorId="0" shapeId="0" xr:uid="{00000000-0006-0000-0300-00001F000000}">
      <text>
        <r>
          <rPr>
            <sz val="8"/>
            <color indexed="81"/>
            <rFont val="Tahoma"/>
            <family val="2"/>
          </rPr>
          <t>ירון:
א. חוזה קודם במחיר של 460$ CFR עד מרץ 2010 ו- 350$ ממרץ ועד מרץ 2011.
ב. הנחתי מחיר של 450$ לטון עד סוף 2011.</t>
        </r>
      </text>
    </comment>
    <comment ref="AI29" authorId="0" shapeId="0" xr:uid="{00000000-0006-0000-0300-000020000000}">
      <text>
        <r>
          <rPr>
            <sz val="8"/>
            <color indexed="81"/>
            <rFont val="Tahoma"/>
            <family val="2"/>
          </rPr>
          <t xml:space="preserve">ירון: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ב.</t>
        </r>
        <r>
          <rPr>
            <sz val="8"/>
            <color indexed="81"/>
            <rFont val="Tahoma"/>
            <family val="2"/>
          </rPr>
          <t xml:space="preserve"> בשנת 2012 לא נחתמו חוזי אספקת אשלג בהודו ויבוא האשלג להודו בשנה זו התבסס על החוזים שנחתמו בחודש אוגוסט 2011.
</t>
        </r>
        <r>
          <rPr>
            <b/>
            <sz val="8"/>
            <color indexed="81"/>
            <rFont val="Tahoma"/>
            <family val="2"/>
          </rPr>
          <t>ג.</t>
        </r>
        <r>
          <rPr>
            <sz val="8"/>
            <color indexed="81"/>
            <rFont val="Tahoma"/>
            <family val="2"/>
          </rPr>
          <t xml:space="preserve"> לקראת סוף שנת 2011 , עקב הצטברות מלאים בנמלים בהודו, ביקשו היבואנים ההודיים לדחות את משלוחי החוזה של שנת 2011/12 שהיה אמור להסתיים בסוף מרץ 2012 . 
</t>
        </r>
        <r>
          <rPr>
            <b/>
            <sz val="8"/>
            <color indexed="81"/>
            <rFont val="Tahoma"/>
            <family val="2"/>
          </rPr>
          <t>ד.</t>
        </r>
        <r>
          <rPr>
            <sz val="8"/>
            <color indexed="81"/>
            <rFont val="Tahoma"/>
            <family val="2"/>
          </rPr>
          <t xml:space="preserve"> המשלוחים האחרונים במסגרת הסכם זה הגיעו להודו בחודש אוקטובר 2012.
</t>
        </r>
        <r>
          <rPr>
            <b/>
            <sz val="8"/>
            <color indexed="81"/>
            <rFont val="Tahoma"/>
            <family val="2"/>
          </rPr>
          <t xml:space="preserve">ה. </t>
        </r>
        <r>
          <rPr>
            <sz val="8"/>
            <color indexed="81"/>
            <rFont val="Tahoma"/>
            <family val="2"/>
          </rPr>
          <t xml:space="preserve">כמויות האשלג שסוכמו בשנת 2011 נמכרו בפועל בשנים 2011 ו 2012 - כך שבשנת 2012 לא נחתמו חוזים למכירת אשלג בהודו.
</t>
        </r>
        <r>
          <rPr>
            <b/>
            <sz val="8"/>
            <color indexed="81"/>
            <rFont val="Tahoma"/>
            <family val="2"/>
          </rPr>
          <t xml:space="preserve">ו. </t>
        </r>
        <r>
          <rPr>
            <sz val="8"/>
            <color indexed="81"/>
            <rFont val="Tahoma"/>
            <family val="2"/>
          </rPr>
          <t xml:space="preserve">כיל חתמה בחודש אוגוסט על הסכם עם מספר לקוחות הודיים למכירת אשלג בהיקף של 1.39 מ' טון ובנוסף אופציה ל- 125 א' טון) לתקופה של 8 חודשים (אוגוסט-11 עד מרץ-12) במחיר של 490$ לטון CFR.
</t>
        </r>
        <r>
          <rPr>
            <b/>
            <sz val="8"/>
            <color indexed="81"/>
            <rFont val="Tahoma"/>
            <family val="2"/>
          </rPr>
          <t xml:space="preserve">ז.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וגבוה ב 27 - דולר לעומת חוזה האשלג בסין.
</t>
        </r>
        <r>
          <rPr>
            <b/>
            <sz val="8"/>
            <color indexed="81"/>
            <rFont val="Tahoma"/>
            <family val="2"/>
          </rPr>
          <t xml:space="preserve">ח. </t>
        </r>
        <r>
          <rPr>
            <sz val="8"/>
            <color indexed="81"/>
            <rFont val="Tahoma"/>
            <family val="2"/>
          </rPr>
          <t xml:space="preserve">עד כה סיכמה החברה עם לקוחותיה בהודו על אספקת אשלג בשנת 2013 בהיקף כולל של 820 אלפי טון (כולל 50 אלפי טון אופציה). 
</t>
        </r>
        <r>
          <rPr>
            <b/>
            <sz val="8"/>
            <color indexed="81"/>
            <rFont val="Tahoma"/>
            <family val="2"/>
          </rPr>
          <t>ט.</t>
        </r>
        <r>
          <rPr>
            <sz val="8"/>
            <color indexed="81"/>
            <rFont val="Tahoma"/>
            <family val="2"/>
          </rPr>
          <t xml:space="preserve">הסכמים נוספים לאספקת אשלג בהודו נמצאים בתהליך
מו"מ. 
</t>
        </r>
        <r>
          <rPr>
            <b/>
            <sz val="8"/>
            <color indexed="81"/>
            <rFont val="Tahoma"/>
            <family val="2"/>
          </rPr>
          <t xml:space="preserve">י. </t>
        </r>
        <r>
          <rPr>
            <sz val="8"/>
            <color indexed="81"/>
            <rFont val="Tahoma"/>
            <family val="2"/>
          </rPr>
          <t>מחיר המכירה שסוכם דומה למחיר שנקבע בעסקאות עם יצרנים אחרים המספקים אשלג לשוק בהודו.</t>
        </r>
      </text>
    </comment>
    <comment ref="AN29" authorId="0" shapeId="0" xr:uid="{00000000-0006-0000-0300-000021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S29" authorId="0" shapeId="0" xr:uid="{00000000-0006-0000-0300-000022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X29" authorId="0" shapeId="0" xr:uid="{00000000-0006-0000-0300-000023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C29" authorId="0" shapeId="0" xr:uid="{AEA4FE81-77DE-4616-BA42-859D39AB8757}">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H29" authorId="0" shapeId="0" xr:uid="{7B313AC7-506F-4E04-823D-6B97715C6002}">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J29" authorId="0" shapeId="0" xr:uid="{AB2ABF17-AFE0-4005-9CF6-E659874F956C}">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O29" authorId="0" shapeId="0" xr:uid="{02BE5E2E-F741-497C-9E06-58B7263EB04B}">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T29" authorId="0" shapeId="0" xr:uid="{F988859A-5624-4D12-953B-EEE199ECFA16}">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D30" authorId="4" shapeId="0" xr:uid="{00000000-0006-0000-0300-000024000000}">
      <text>
        <r>
          <rPr>
            <b/>
            <sz val="8"/>
            <color indexed="81"/>
            <rFont val="Tahoma"/>
            <family val="2"/>
          </rPr>
          <t xml:space="preserve">ירון:
א. </t>
        </r>
        <r>
          <rPr>
            <sz val="8"/>
            <color indexed="81"/>
            <rFont val="Tahoma"/>
            <family val="2"/>
          </rPr>
          <t xml:space="preserve">בחודש פברואר 2011 חתמה כיל על הסכמים עם מספר לקוחות בסין לאספקת אשלג בהיקף כולל של 500 א' טון, במהלך המחצית הראשונה של 2011 במחיר דומה למחיר בו נעשו לאחרונה עסקאות עם יצרנים אחרים בשוק.
</t>
        </r>
        <r>
          <rPr>
            <b/>
            <sz val="8"/>
            <color indexed="81"/>
            <rFont val="Tahoma"/>
            <family val="2"/>
          </rPr>
          <t xml:space="preserve">ב. </t>
        </r>
        <r>
          <rPr>
            <sz val="8"/>
            <color indexed="81"/>
            <rFont val="Tahoma"/>
            <family val="2"/>
          </rPr>
          <t>לקחתי מחיר ממוצע של 400 $ לחצי שנה לטון CFR, ומחיר ממוצע של 470 $ לטון עבור המחצית השנייה.</t>
        </r>
      </text>
    </comment>
    <comment ref="AI30" authorId="4" shapeId="0" xr:uid="{00000000-0006-0000-0300-000025000000}">
      <text>
        <r>
          <rPr>
            <b/>
            <sz val="8"/>
            <color indexed="81"/>
            <rFont val="Tahoma"/>
            <family val="2"/>
          </rPr>
          <t xml:space="preserve">ירון:
א. </t>
        </r>
        <r>
          <rPr>
            <sz val="8"/>
            <color indexed="81"/>
            <rFont val="Tahoma"/>
            <family val="2"/>
          </rPr>
          <t xml:space="preserve">בתחילת שנת 2012, נחתמו חוזים לאספקת אשלג למחצית הראשונה של השנה ביו יבואנים סיניים (Cinofert, CNAMPGC) לבין מספר יצרני אשלג במחיר 470 $ לטון CFR, מחיר זהה למחצית השנייה של 2011. 
</t>
        </r>
        <r>
          <rPr>
            <b/>
            <sz val="8"/>
            <color indexed="81"/>
            <rFont val="Tahoma"/>
            <family val="2"/>
          </rPr>
          <t xml:space="preserve">ב. </t>
        </r>
        <r>
          <rPr>
            <sz val="8"/>
            <color indexed="81"/>
            <rFont val="Tahoma"/>
            <family val="2"/>
          </rPr>
          <t xml:space="preserve">חוזי כיל דשנים למכירת אשלג לסין נסגרו בתנאים דומים, ובכמות של 670 א' טון (כולל 120 א' טון אופציונאליים). 
</t>
        </r>
        <r>
          <rPr>
            <b/>
            <sz val="8"/>
            <color indexed="81"/>
            <rFont val="Tahoma"/>
            <family val="2"/>
          </rPr>
          <t xml:space="preserve">ג. </t>
        </r>
        <r>
          <rPr>
            <sz val="8"/>
            <color indexed="81"/>
            <rFont val="Tahoma"/>
            <family val="2"/>
          </rPr>
          <t xml:space="preserve">לא נחתמו חוזי אספקה למחצית השנייה של 2012. </t>
        </r>
      </text>
    </comment>
    <comment ref="AN30" authorId="4" shapeId="0" xr:uid="{00000000-0006-0000-0300-000026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S30" authorId="4" shapeId="0" xr:uid="{00000000-0006-0000-0300-000027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X30" authorId="4" shapeId="0" xr:uid="{00000000-0006-0000-0300-000028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C30" authorId="4" shapeId="0" xr:uid="{3ABAB12F-F3B1-4B7D-B942-25D10C92A209}">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H30" authorId="4" shapeId="0" xr:uid="{4B94F4C1-29DB-41A7-9F9E-7238ED70D88D}">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J30" authorId="4" shapeId="0" xr:uid="{122DA752-AA87-49FC-AA41-A829130DA6E8}">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O30" authorId="4" shapeId="0" xr:uid="{176FFD94-682E-4A13-BF4C-4CECB62040BC}">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T30" authorId="4" shapeId="0" xr:uid="{CFEEEF60-8D54-4BEF-84C1-C63EB6B19AC6}">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O34" authorId="5" shapeId="0" xr:uid="{00000000-0006-0000-0300-000029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P34" authorId="5" shapeId="0" xr:uid="{00000000-0006-0000-0300-00002A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T34" authorId="5" shapeId="0" xr:uid="{00000000-0006-0000-0300-00002B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U34" authorId="5" shapeId="0" xr:uid="{00000000-0006-0000-0300-00002C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V34" authorId="5" shapeId="0" xr:uid="{00000000-0006-0000-0300-00002D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Y34" authorId="5" shapeId="0" xr:uid="{00000000-0006-0000-0300-00002E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Z34" authorId="5" shapeId="0" xr:uid="{00000000-0006-0000-0300-00002F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A34" authorId="5" shapeId="0" xr:uid="{FF92EBD0-9DF2-4AC1-A1F7-3D6E2D23CE9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D34" authorId="5" shapeId="0" xr:uid="{68FE6C8D-BB61-4B39-A40C-D42FD6C87CAF}">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E34" authorId="5" shapeId="0" xr:uid="{40F06863-F755-4654-A7DD-1104B011A825}">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F34" authorId="5" shapeId="0" xr:uid="{FD8B5249-2378-4D0F-864A-FBC817681C3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I34" authorId="5" shapeId="0" xr:uid="{1C694568-7271-4C21-A3C6-6B73DFE11B9F}">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K34" authorId="5" shapeId="0" xr:uid="{09C5AE33-D897-41F3-A7C7-C74B3FBE9861}">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L34" authorId="5" shapeId="0" xr:uid="{1478B6AF-09E3-442B-8615-C7F9BFEFAEAB}">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M34" authorId="5" shapeId="0" xr:uid="{33B3522B-3138-47D2-920D-FB7B64719FE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P34" authorId="5" shapeId="0" xr:uid="{AED0FB5E-5959-4C84-ABB9-9837373BB74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Q34" authorId="5" shapeId="0" xr:uid="{402A622C-44C7-4FC9-AAC6-FDF8AA0D73B7}">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R34" authorId="5" shapeId="0" xr:uid="{FDEC190D-20ED-4844-AE60-6766ACCCF4A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S34" authorId="5" shapeId="0" xr:uid="{FF75A793-A98C-40E0-8464-90E506EEFA2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U34" authorId="5" shapeId="0" xr:uid="{1D79146A-7A8F-45D3-AF02-90229C9B06B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V34" authorId="5" shapeId="0" xr:uid="{ABD831D7-B206-4B43-8469-F203BD23B4D9}">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W34" authorId="5" shapeId="0" xr:uid="{00000000-0006-0000-0300-000030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O40" authorId="5" shapeId="0" xr:uid="{00000000-0006-0000-0300-000031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P40" authorId="5" shapeId="0" xr:uid="{00000000-0006-0000-0300-000032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להוררות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קקיטון בהוצ' הובלה הנובע מקיטון בכמויות מכירה - 7 מיל' $.</t>
        </r>
      </text>
    </comment>
    <comment ref="AT40" authorId="5" shapeId="0" xr:uid="{00000000-0006-0000-0300-000033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U40" authorId="5" shapeId="0" xr:uid="{00000000-0006-0000-0300-000034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להוררות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קקיטון בהוצ' הובלה הנובע מקיטון בכמויות מכירה - 7 מיל' $.</t>
        </r>
      </text>
    </comment>
    <comment ref="AY40" authorId="5" shapeId="0" xr:uid="{00000000-0006-0000-0300-000035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Z40" authorId="5" shapeId="0" xr:uid="{00000000-0006-0000-0300-000036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A40" authorId="5" shapeId="0" xr:uid="{E0378488-7571-47EA-B5C7-91796C4AE5F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B40" authorId="5" shapeId="0" xr:uid="{CAC271B6-0C07-45CE-A43C-29B2E33E7AF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D40" authorId="5" shapeId="0" xr:uid="{7BD6416B-3A78-48AF-B17A-D9AF3FCFCE11}">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E40" authorId="5" shapeId="0" xr:uid="{6A7A33ED-A4BE-477C-9085-33FAE7519178}">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F40" authorId="5" shapeId="0" xr:uid="{C713C20F-66D9-42E0-A45A-71659D7FA36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G40" authorId="5" shapeId="0" xr:uid="{38C32FA7-E163-44F4-A60A-1AA67E31A17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I40" authorId="5" shapeId="0" xr:uid="{EAEF358E-EF82-4117-88FB-EB1A97795A1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K40" authorId="5" shapeId="0" xr:uid="{2CFE175E-6211-4A0D-B178-F602EF0F9A8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L40" authorId="5" shapeId="0" xr:uid="{691DB27B-E1DA-4664-8F0D-8A69F0819402}">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M40" authorId="5" shapeId="0" xr:uid="{561B15D1-AE6B-493A-8044-58534FC3D0DA}">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N40" authorId="5" shapeId="0" xr:uid="{591E0EB6-D946-4095-A12A-424D77D9D46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P40" authorId="5" shapeId="0" xr:uid="{5C39C8B0-F505-4698-B99F-E96C300F73B9}">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Q40" authorId="5" shapeId="0" xr:uid="{9AA48731-CCDB-47B5-9D5E-03EF16DB7C6B}">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R40" authorId="5" shapeId="0" xr:uid="{8742312A-D2D7-4783-A7C7-7D6425F61A22}">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S40" authorId="5" shapeId="0" xr:uid="{709A326A-D87F-434A-979D-F65E4A6898AC}">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U40" authorId="5" shapeId="0" xr:uid="{F2A718C1-623C-4B40-83F6-93C11199CC5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V40" authorId="5" shapeId="0" xr:uid="{470C5A56-F05E-4364-B7E6-F673A49FF1DA}">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W40" authorId="5" shapeId="0" xr:uid="{00000000-0006-0000-0300-000037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L156" authorId="5" shapeId="0" xr:uid="{00000000-0006-0000-0300-000038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M156" authorId="5" shapeId="0" xr:uid="{00000000-0006-0000-0300-000039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N156" authorId="5" shapeId="0" xr:uid="{00000000-0006-0000-0300-00003A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AQ156" authorId="5" shapeId="0" xr:uid="{00000000-0006-0000-0300-00003B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R156" authorId="5" shapeId="0" xr:uid="{00000000-0006-0000-0300-00003C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S156" authorId="5" shapeId="0" xr:uid="{00000000-0006-0000-0300-00003D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AV156" authorId="5" shapeId="0" xr:uid="{00000000-0006-0000-0300-00003E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W156" authorId="5" shapeId="0" xr:uid="{00000000-0006-0000-0300-00003F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X156" authorId="5" shapeId="0" xr:uid="{00000000-0006-0000-0300-000040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C156" authorId="5" shapeId="0" xr:uid="{F074FF4F-30C2-4B5E-B0BC-04E59BEBA019}">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H156" authorId="5" shapeId="0" xr:uid="{6C06ADE5-F762-4E6A-AD4F-D10D8EF83443}">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J156" authorId="5" shapeId="0" xr:uid="{01C9D07A-58A7-4A4A-BD65-E4F74138B527}">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O156" authorId="5" shapeId="0" xr:uid="{8E95FD30-8924-4084-94DE-AD4AE74C1ACF}">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T156" authorId="5" shapeId="0" xr:uid="{47EA7A7A-A754-431E-AF3F-807326F7E983}">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Blumshtein</author>
  </authors>
  <commentList>
    <comment ref="B18" authorId="0" shapeId="0" xr:uid="{00000000-0006-0000-0200-000001000000}">
      <text>
        <r>
          <rPr>
            <b/>
            <sz val="9"/>
            <color indexed="81"/>
            <rFont val="Tahoma"/>
            <family val="2"/>
          </rPr>
          <t>Blumshtein:</t>
        </r>
        <r>
          <rPr>
            <sz val="9"/>
            <color indexed="81"/>
            <rFont val="Tahoma"/>
            <family val="2"/>
          </rPr>
          <t xml:space="preserve">
פוטאש השביתה ב- 2012 מכרות למשך 36 שבועות. מדובר בהקטנת ייצור של 1.6 מיל' טון.
הקטנת ייצור של מוזאיק - 0.5 מיל' טון.
הקטנת ייצור מדווחת של תאגיד BPC: כ- 0.75 מיל' טון.</t>
        </r>
      </text>
    </comment>
    <comment ref="C31" authorId="0" shapeId="0" xr:uid="{00000000-0006-0000-0200-000002000000}">
      <text>
        <r>
          <rPr>
            <b/>
            <sz val="9"/>
            <color indexed="81"/>
            <rFont val="Tahoma"/>
            <family val="2"/>
          </rPr>
          <t>ירון:</t>
        </r>
        <r>
          <rPr>
            <sz val="9"/>
            <color indexed="81"/>
            <rFont val="Tahoma"/>
            <family val="2"/>
          </rPr>
          <t xml:space="preserve">
פוטאש דיווח על תחזית של 55-57 מיל' טון  בשל לעומת 51 מיל' טון בשנת 2011 בשל מלאים נמוכים אצל מפיצים ורצון להצטייד במלאים חדשים.
הביקושים בסין צפויים לעמוד על 11.5 מיל' טון, ולהיתמך ע"י כמויות גדולות שנצרכו במחצית הראשונה של 2013 בחוזים שנסגרו עם מפיצים סינים לקראת סוף 2012.
ביקושים גדולים גם בהודו בעיקר במחצית השנייה של 2013.
הביקושים בצפון אמריקה צפויים לעלות ב- 1 מיל' טון בשנת 2013 לעומת 2012.
ביקושים לדרום אמריקה ממשיכים להיות חזקים כמו ב- 2012 עם רמה של 10 מיל' טון (בעיקר אשלג גרנולארי).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Anat</author>
  </authors>
  <commentList>
    <comment ref="D25" authorId="0" shapeId="0" xr:uid="{00000000-0006-0000-1D00-000001000000}">
      <text>
        <r>
          <rPr>
            <b/>
            <sz val="8"/>
            <color indexed="81"/>
            <rFont val="Tahoma"/>
            <family val="2"/>
          </rPr>
          <t>ירון:
בעיקר משכורת ונלוות וניסויי שדה</t>
        </r>
        <r>
          <rPr>
            <sz val="8"/>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E6" authorId="0" shapeId="0" xr:uid="{00000000-0006-0000-2300-000001000000}">
      <text>
        <r>
          <rPr>
            <b/>
            <sz val="8"/>
            <color indexed="81"/>
            <rFont val="Tahoma"/>
            <family val="2"/>
          </rPr>
          <t>ירון:
א.</t>
        </r>
        <r>
          <rPr>
            <sz val="8"/>
            <color indexed="81"/>
            <rFont val="Tahoma"/>
            <family val="2"/>
          </rPr>
          <t xml:space="preserve"> גליל ארוך ל- 20 שנה
</t>
        </r>
        <r>
          <rPr>
            <b/>
            <sz val="8"/>
            <color indexed="81"/>
            <rFont val="Tahoma"/>
            <family val="2"/>
          </rPr>
          <t xml:space="preserve">ב. </t>
        </r>
        <r>
          <rPr>
            <sz val="8"/>
            <color indexed="81"/>
            <rFont val="Tahoma"/>
            <family val="2"/>
          </rPr>
          <t xml:space="preserve">פרמית סיכון של 6%.
</t>
        </r>
        <r>
          <rPr>
            <b/>
            <sz val="8"/>
            <color indexed="81"/>
            <rFont val="Tahoma"/>
            <family val="2"/>
          </rPr>
          <t xml:space="preserve">ג. </t>
        </r>
        <r>
          <rPr>
            <sz val="8"/>
            <color indexed="81"/>
            <rFont val="Tahoma"/>
            <family val="2"/>
          </rPr>
          <t>ביטא של 1.25.
(3 שנים - 1.25, 1 שנה - 0.83).</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ירון בלומשטיין</author>
    <author>Blumshtein</author>
  </authors>
  <commentList>
    <comment ref="I112" authorId="0" shapeId="0" xr:uid="{00000000-0006-0000-2400-000001000000}">
      <text>
        <r>
          <rPr>
            <b/>
            <sz val="9"/>
            <color indexed="81"/>
            <rFont val="Tahoma"/>
            <family val="2"/>
          </rPr>
          <t>ירון בלומשטיין:</t>
        </r>
        <r>
          <rPr>
            <sz val="9"/>
            <color indexed="81"/>
            <rFont val="Tahoma"/>
            <family val="2"/>
          </rPr>
          <t xml:space="preserve">
המדינה תרצה ששיעור ה- GT יהיה 55% (לעומת 39% כיום).
ע"מ ששיעור ה- GT יהיה 55%, תוספת התמלוגים צריכה להיות 61 מיל' $.</t>
        </r>
      </text>
    </comment>
    <comment ref="L115" authorId="1" shapeId="0" xr:uid="{00000000-0006-0000-2400-000002000000}">
      <text>
        <r>
          <rPr>
            <b/>
            <sz val="9"/>
            <color indexed="81"/>
            <rFont val="Tahoma"/>
            <family val="2"/>
          </rPr>
          <t>Blumshtein:</t>
        </r>
        <r>
          <rPr>
            <sz val="9"/>
            <color indexed="81"/>
            <rFont val="Tahoma"/>
            <family val="2"/>
          </rPr>
          <t xml:space="preserve">
שיעור מס רווחי יתר של 42% מעבר לתשואה של 11% על הנכסים.</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F29" authorId="0" shapeId="0" xr:uid="{00000000-0006-0000-2F00-000001000000}">
      <text>
        <r>
          <rPr>
            <b/>
            <sz val="9"/>
            <color indexed="81"/>
            <rFont val="Tahoma"/>
            <family val="2"/>
          </rPr>
          <t xml:space="preserve">ירון:
</t>
        </r>
        <r>
          <rPr>
            <sz val="9"/>
            <color indexed="81"/>
            <rFont val="Tahoma"/>
            <family val="2"/>
          </rPr>
          <t xml:space="preserve">
מה שיצטרכו במשרדי הממשלה לבחון הוא אילו אמנות מס קיימות בין ישראל לבין קנדה, שמונעות כפל מס. הרעיון הוא לבדוק האם פוטאש תשלם מסים בקנדה עבור רווחים שיוצרו בישראל, או בישראל? 
בכל מקרה יש לזכור שכיל נהנית מהטבות מס מפליגות במסגרת החוק לעידוד השקעות הון. החוק אמנם שונה לרעתה לפני שנתיים, אבל ככל הידוע טרם הסתיימו הדיונים מול רשות המסים על גובה המס העתידי שהחברה תצטרך לשלם לאחר שמענקי המס שהיא מקבלת ייגמרו. 
</t>
        </r>
        <r>
          <rPr>
            <b/>
            <sz val="9"/>
            <color indexed="81"/>
            <rFont val="Tahoma"/>
            <family val="2"/>
          </rPr>
          <t xml:space="preserve">
</t>
        </r>
        <r>
          <rPr>
            <sz val="9"/>
            <color indexed="81"/>
            <rFont val="Tahoma"/>
            <family val="2"/>
          </rPr>
          <t xml:space="preserve">
</t>
        </r>
      </text>
    </comment>
    <comment ref="F37" authorId="0" shapeId="0" xr:uid="{00000000-0006-0000-2F00-000002000000}">
      <text>
        <r>
          <rPr>
            <b/>
            <sz val="9"/>
            <color indexed="81"/>
            <rFont val="Tahoma"/>
            <family val="2"/>
          </rPr>
          <t xml:space="preserve">ירון:
</t>
        </r>
        <r>
          <rPr>
            <sz val="9"/>
            <color indexed="81"/>
            <rFont val="Tahoma"/>
            <family val="2"/>
          </rPr>
          <t xml:space="preserve">אחת מההתניות של המדינה יכולה להיות בתחום התעסוקה. כיל מעסיקה כ־12 אלף עובדים ברחבי העולם, כ־5,300 מתוכם בישראל, רובם המוחלט עובדים בנגב - במפעלי ים המלח ובמפעלים במישור רותם. מעבודת מחקר שנעשתה בעבר, התברר כי כיל אחראית ל־20% מהתוצר של הנגב, יותר מאשר מפעל אינטל בקריית גת. העובדים של כיל מתוגמלים היטב, ודאי ביחס לשכר הממוצע במשק. עלות השכר הממוצע בכיל, לא כולל בכירי החברה, היא 30 אלף שקל בחודש לעובד.
אבל מלבד כל אלה, מפעלי ים המלח יוצרים עוד מוקד שלם וחשוב של תעסוקה - מלונות ים המלח. בניגוד לדעה הרווחת, המלונות כלל אינם שוכנים לחופו של ים המלח, אלא לחופה של בריכת האשלג הגדולה של מפעלי ים המלח.
אם פוטאש הקנדית תשתלט בסופו של דבר על מפעלי ים המלח הישראלים, היא תחזיק למעשה בים המלח מכל צדדיו, שכן היא שותפה פעילה (25%) במפעלי ים המלח הירדנים, ובעצם זו שמחליטה מה יהיה היקף התפוקה שלהם. בממשלה חוששים מתסריט שבו פוטאש, שמחזיקה כיום ב־20% משוק האשלג העולמי ולמעשה מתנהגת כמונופול עולמי ומכתיבה את המחירים בשוק, תקטין את הייצור הישראלי משיקולי עלות תועלת. 
אם קיים פער משמעותי בין עלות השכר של עובד ירדני לבין עלות השכר של עובד ישראלי, מי יערוב לכך שפוטאש לא תקטין את הייצור בצד הישראלי ורק תשתמש במפעלי ים המלח כמחסן אשלג גדול? 
</t>
        </r>
      </text>
    </comment>
    <comment ref="F38" authorId="0" shapeId="0" xr:uid="{00000000-0006-0000-2F00-000003000000}">
      <text>
        <r>
          <rPr>
            <b/>
            <sz val="9"/>
            <color indexed="81"/>
            <rFont val="Tahoma"/>
            <family val="2"/>
          </rPr>
          <t xml:space="preserve">ירון:
</t>
        </r>
        <r>
          <rPr>
            <sz val="9"/>
            <color indexed="81"/>
            <rFont val="Tahoma"/>
            <family val="2"/>
          </rPr>
          <t>מאז מרץ 2011 ממשלת ישראל מנהלת בוררות עסקית בנושא התמלוגים מול כיל. ממשלת ישראל טוענת שכיל לא שילמה לה תמלוגים על כריית האשלג בין השנים2000 ל־2009, שעל פי המדינה מסתכמים במיליארד שקל. מנגד, כיל טוענת שהיא לא חייבת למדינה ולו שקל אחד, וכי כל התמלוגים ששולמו למדינה שולמו כדין ועל פי הנהלים. 
בלב המחלוקת עומדת שיטת החישוב - על מה בדיוק משלמים את התמלוגים. המדינה טוענת שכיל הפעילה שיטות משוכללות של מכירת חומרי גלם לחברות בנות שלה במחירים שנמוכים ממחירי השוק כדי לחמוק מתשלום תמלוגים מלא. כיל טוענת כי הכל נעשה כחוק.
עתה כשפוטאש מעונינת לרכוש את כיל, האם צריך להתנות את אישור העסקה בכך שתסתיים הבוררות?</t>
        </r>
        <r>
          <rPr>
            <b/>
            <sz val="9"/>
            <color indexed="81"/>
            <rFont val="Tahoma"/>
            <family val="2"/>
          </rPr>
          <t xml:space="preserve">
</t>
        </r>
        <r>
          <rPr>
            <sz val="9"/>
            <color indexed="81"/>
            <rFont val="Tahoma"/>
            <family val="2"/>
          </rPr>
          <t xml:space="preserve">
</t>
        </r>
      </text>
    </comment>
    <comment ref="F39" authorId="0" shapeId="0" xr:uid="{00000000-0006-0000-2F00-000004000000}">
      <text>
        <r>
          <rPr>
            <b/>
            <sz val="9"/>
            <color indexed="81"/>
            <rFont val="Tahoma"/>
            <family val="2"/>
          </rPr>
          <t xml:space="preserve">ירון:
</t>
        </r>
        <r>
          <rPr>
            <sz val="9"/>
            <color indexed="81"/>
            <rFont val="Tahoma"/>
            <family val="2"/>
          </rPr>
          <t xml:space="preserve">ביולי 2012, אחרי משא ומתן ארוך ומתיש בין הממשלה לבין כיל, סוכם על פרויקט קציר המלח. במסגרת הפרויקט, כפי שמעיד שמו, מפעלי ים המלח יקצרו את המלח שהצטבר על קרקעית הבריכה בעזרת דוברות ענק, ישנעו אותו צפונה ויטביעו אותו בים המלח עצמו. 
מדובר בפרויקט לאומי שעלותו מוערכת ב־4 מיליארד שקל, ועל פי ההסכם עם המדינה כיל אמורה לשאת ב־90% מעלותו. 
במסגרת ההסכם סוכם גם כי שיעור התמלוגים שכיל משלמת על 3 מיליון טון של אשלג שהיא מפיקה בישראל לא יהיה 5% אלא 10%. אלא שהמדינה הכניסה להסכם סעיף כי ההסכם נכון לעת עתה. במקרה של מכירת השליטה בכיל לקנדים המדינה תשקול מחדש אם לשנות את ההסכם. 
</t>
        </r>
        <r>
          <rPr>
            <b/>
            <sz val="9"/>
            <color indexed="81"/>
            <rFont val="Tahoma"/>
            <family val="2"/>
          </rPr>
          <t xml:space="preserve">
</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amirf</author>
  </authors>
  <commentList>
    <comment ref="U108" authorId="0" shapeId="0" xr:uid="{00000000-0006-0000-3C00-000001000000}">
      <text>
        <r>
          <rPr>
            <b/>
            <sz val="8"/>
            <color indexed="81"/>
            <rFont val="Tahoma"/>
            <family val="2"/>
          </rPr>
          <t>ירון:</t>
        </r>
        <r>
          <rPr>
            <sz val="8"/>
            <color indexed="81"/>
            <rFont val="Tahoma"/>
            <family val="2"/>
          </rPr>
          <t xml:space="preserve">
מקור נתונים
K+S
04/10
</t>
        </r>
      </text>
    </comment>
    <comment ref="U109" authorId="0" shapeId="0" xr:uid="{00000000-0006-0000-3C00-000002000000}">
      <text>
        <r>
          <rPr>
            <b/>
            <sz val="8"/>
            <color indexed="81"/>
            <rFont val="Tahoma"/>
            <family val="2"/>
          </rPr>
          <t>ירון:</t>
        </r>
        <r>
          <rPr>
            <sz val="8"/>
            <color indexed="81"/>
            <rFont val="Tahoma"/>
            <family val="2"/>
          </rPr>
          <t xml:space="preserve">
מקור נתונים
K+S
04/10
</t>
        </r>
      </text>
    </comment>
    <comment ref="U110" authorId="0" shapeId="0" xr:uid="{00000000-0006-0000-3C00-000003000000}">
      <text>
        <r>
          <rPr>
            <b/>
            <sz val="8"/>
            <color indexed="81"/>
            <rFont val="Tahoma"/>
            <family val="2"/>
          </rPr>
          <t>ירון:</t>
        </r>
        <r>
          <rPr>
            <sz val="8"/>
            <color indexed="81"/>
            <rFont val="Tahoma"/>
            <family val="2"/>
          </rPr>
          <t xml:space="preserve">
מקור נתונים
K+S
04/10
</t>
        </r>
      </text>
    </comment>
    <comment ref="U111" authorId="0" shapeId="0" xr:uid="{00000000-0006-0000-3C00-000004000000}">
      <text>
        <r>
          <rPr>
            <b/>
            <sz val="8"/>
            <color indexed="81"/>
            <rFont val="Tahoma"/>
            <family val="2"/>
          </rPr>
          <t>ירון:</t>
        </r>
        <r>
          <rPr>
            <sz val="8"/>
            <color indexed="81"/>
            <rFont val="Tahoma"/>
            <family val="2"/>
          </rPr>
          <t xml:space="preserve">
מקור נתונים
K+S
04/10
</t>
        </r>
      </text>
    </comment>
    <comment ref="U112" authorId="0" shapeId="0" xr:uid="{00000000-0006-0000-3C00-000005000000}">
      <text>
        <r>
          <rPr>
            <b/>
            <sz val="8"/>
            <color indexed="81"/>
            <rFont val="Tahoma"/>
            <family val="2"/>
          </rPr>
          <t>ירון:</t>
        </r>
        <r>
          <rPr>
            <sz val="8"/>
            <color indexed="81"/>
            <rFont val="Tahoma"/>
            <family val="2"/>
          </rPr>
          <t xml:space="preserve">
מקור נתונים
K+S
04/10
</t>
        </r>
      </text>
    </comment>
    <comment ref="U113" authorId="0" shapeId="0" xr:uid="{00000000-0006-0000-3C00-000006000000}">
      <text>
        <r>
          <rPr>
            <b/>
            <sz val="8"/>
            <color indexed="81"/>
            <rFont val="Tahoma"/>
            <family val="2"/>
          </rPr>
          <t>ירון:</t>
        </r>
        <r>
          <rPr>
            <sz val="8"/>
            <color indexed="81"/>
            <rFont val="Tahoma"/>
            <family val="2"/>
          </rPr>
          <t xml:space="preserve">
מקור נתונים
K+S
04/10
</t>
        </r>
      </text>
    </comment>
    <comment ref="U114" authorId="0" shapeId="0" xr:uid="{00000000-0006-0000-3C00-000007000000}">
      <text>
        <r>
          <rPr>
            <b/>
            <sz val="8"/>
            <color indexed="81"/>
            <rFont val="Tahoma"/>
            <family val="2"/>
          </rPr>
          <t>ירון:</t>
        </r>
        <r>
          <rPr>
            <sz val="8"/>
            <color indexed="81"/>
            <rFont val="Tahoma"/>
            <family val="2"/>
          </rPr>
          <t xml:space="preserve">
מקור נתונים
K+S
04/10
</t>
        </r>
      </text>
    </comment>
    <comment ref="U115" authorId="0" shapeId="0" xr:uid="{00000000-0006-0000-3C00-000008000000}">
      <text>
        <r>
          <rPr>
            <b/>
            <sz val="8"/>
            <color indexed="81"/>
            <rFont val="Tahoma"/>
            <family val="2"/>
          </rPr>
          <t>ירון:</t>
        </r>
        <r>
          <rPr>
            <sz val="8"/>
            <color indexed="81"/>
            <rFont val="Tahoma"/>
            <family val="2"/>
          </rPr>
          <t xml:space="preserve">
מקור נתונים
K+S
04/10
</t>
        </r>
      </text>
    </comment>
    <comment ref="X115" authorId="0" shapeId="0" xr:uid="{00000000-0006-0000-3C00-000009000000}">
      <text>
        <r>
          <rPr>
            <b/>
            <sz val="8"/>
            <color indexed="81"/>
            <rFont val="Tahoma"/>
            <family val="2"/>
          </rPr>
          <t>ירון:</t>
        </r>
        <r>
          <rPr>
            <sz val="8"/>
            <color indexed="81"/>
            <rFont val="Tahoma"/>
            <family val="2"/>
          </rPr>
          <t xml:space="preserve">
average - from graphit</t>
        </r>
      </text>
    </comment>
    <comment ref="G116" authorId="0" shapeId="0" xr:uid="{00000000-0006-0000-3C00-00000A000000}">
      <text>
        <r>
          <rPr>
            <b/>
            <sz val="8"/>
            <color indexed="81"/>
            <rFont val="Tahoma"/>
            <family val="2"/>
          </rPr>
          <t>ירון:</t>
        </r>
        <r>
          <rPr>
            <sz val="8"/>
            <color indexed="81"/>
            <rFont val="Tahoma"/>
            <family val="2"/>
          </rPr>
          <t xml:space="preserve">
ממוצע 2009 של כיל</t>
        </r>
      </text>
    </comment>
    <comment ref="P116" authorId="0" shapeId="0" xr:uid="{00000000-0006-0000-3C00-00000B000000}">
      <text>
        <r>
          <rPr>
            <b/>
            <sz val="8"/>
            <color indexed="81"/>
            <rFont val="Tahoma"/>
            <family val="2"/>
          </rPr>
          <t>ירון:</t>
        </r>
        <r>
          <rPr>
            <sz val="8"/>
            <color indexed="81"/>
            <rFont val="Tahoma"/>
            <family val="2"/>
          </rPr>
          <t xml:space="preserve">
מקור נתונים
K+S
04/10
</t>
        </r>
      </text>
    </comment>
    <comment ref="U116" authorId="0" shapeId="0" xr:uid="{00000000-0006-0000-3C00-00000C000000}">
      <text>
        <r>
          <rPr>
            <b/>
            <sz val="8"/>
            <color indexed="81"/>
            <rFont val="Tahoma"/>
            <family val="2"/>
          </rPr>
          <t>ירון:</t>
        </r>
        <r>
          <rPr>
            <sz val="8"/>
            <color indexed="81"/>
            <rFont val="Tahoma"/>
            <family val="2"/>
          </rPr>
          <t xml:space="preserve">
מקור נתונים
K+S
04/10
</t>
        </r>
      </text>
    </comment>
    <comment ref="X116" authorId="0" shapeId="0" xr:uid="{00000000-0006-0000-3C00-00000D000000}">
      <text>
        <r>
          <rPr>
            <b/>
            <sz val="8"/>
            <color indexed="81"/>
            <rFont val="Tahoma"/>
            <family val="2"/>
          </rPr>
          <t>ירון:</t>
        </r>
        <r>
          <rPr>
            <sz val="8"/>
            <color indexed="81"/>
            <rFont val="Tahoma"/>
            <family val="2"/>
          </rPr>
          <t xml:space="preserve">
average - from graphit</t>
        </r>
      </text>
    </comment>
    <comment ref="G117" authorId="0" shapeId="0" xr:uid="{00000000-0006-0000-3C00-00000E000000}">
      <text>
        <r>
          <rPr>
            <b/>
            <sz val="8"/>
            <color indexed="81"/>
            <rFont val="Tahoma"/>
            <family val="2"/>
          </rPr>
          <t>ירון:</t>
        </r>
        <r>
          <rPr>
            <sz val="8"/>
            <color indexed="81"/>
            <rFont val="Tahoma"/>
            <family val="2"/>
          </rPr>
          <t xml:space="preserve">
לפי תחזית הרבעון הראשון - 350-375</t>
        </r>
      </text>
    </comment>
    <comment ref="H117" authorId="0" shapeId="0" xr:uid="{00000000-0006-0000-3C00-00000F000000}">
      <text>
        <r>
          <rPr>
            <b/>
            <sz val="8"/>
            <color indexed="81"/>
            <rFont val="Tahoma"/>
            <family val="2"/>
          </rPr>
          <t>ירון:</t>
        </r>
        <r>
          <rPr>
            <sz val="8"/>
            <color indexed="81"/>
            <rFont val="Tahoma"/>
            <family val="2"/>
          </rPr>
          <t xml:space="preserve">
ממוצע 2010 מקובת - מציאת רמת מחיר - 13.05.10</t>
        </r>
      </text>
    </comment>
    <comment ref="X117" authorId="0" shapeId="0" xr:uid="{00000000-0006-0000-3C00-000010000000}">
      <text>
        <r>
          <rPr>
            <b/>
            <sz val="8"/>
            <color indexed="81"/>
            <rFont val="Tahoma"/>
            <family val="2"/>
          </rPr>
          <t>ירון:</t>
        </r>
        <r>
          <rPr>
            <sz val="8"/>
            <color indexed="81"/>
            <rFont val="Tahoma"/>
            <family val="2"/>
          </rPr>
          <t xml:space="preserve">
average - from graphit</t>
        </r>
      </text>
    </comment>
  </commentList>
</comments>
</file>

<file path=xl/sharedStrings.xml><?xml version="1.0" encoding="utf-8"?>
<sst xmlns="http://schemas.openxmlformats.org/spreadsheetml/2006/main" count="1645" uniqueCount="1046">
  <si>
    <t>מכירות</t>
  </si>
  <si>
    <t>עלות המכר</t>
  </si>
  <si>
    <t>רווח גולמי</t>
  </si>
  <si>
    <t>הנהלה וכלליות</t>
  </si>
  <si>
    <t>הוצאות אחרות</t>
  </si>
  <si>
    <t>מ' $</t>
  </si>
  <si>
    <t>1999A</t>
  </si>
  <si>
    <t>2000A</t>
  </si>
  <si>
    <t>2001A</t>
  </si>
  <si>
    <t>2002A</t>
  </si>
  <si>
    <t>2003A</t>
  </si>
  <si>
    <t>2004A</t>
  </si>
  <si>
    <t>2005A</t>
  </si>
  <si>
    <t>2006A</t>
  </si>
  <si>
    <t>2007A</t>
  </si>
  <si>
    <t>2008A</t>
  </si>
  <si>
    <t>2009A</t>
  </si>
  <si>
    <t>2013E</t>
  </si>
  <si>
    <t>2014E</t>
  </si>
  <si>
    <t>2015E</t>
  </si>
  <si>
    <t>2016E</t>
  </si>
  <si>
    <t>2017E</t>
  </si>
  <si>
    <t>2018E</t>
  </si>
  <si>
    <t>2019E</t>
  </si>
  <si>
    <t>EBITDA</t>
  </si>
  <si>
    <t>דרום אמריקה</t>
  </si>
  <si>
    <t>YOY</t>
  </si>
  <si>
    <t>Q1-09A</t>
  </si>
  <si>
    <t>Q2-09A</t>
  </si>
  <si>
    <t>Q3-09A</t>
  </si>
  <si>
    <t>Q4-09A</t>
  </si>
  <si>
    <t>Q1-10A</t>
  </si>
  <si>
    <t>Q2-10A</t>
  </si>
  <si>
    <t xml:space="preserve">             שנה
     סעיף</t>
  </si>
  <si>
    <t>רווח לפני מס</t>
  </si>
  <si>
    <t>זכויות המיעוט</t>
  </si>
  <si>
    <t>רווח נקי</t>
  </si>
  <si>
    <t>דיבידנד</t>
  </si>
  <si>
    <t>הון חוזר ממכירות</t>
  </si>
  <si>
    <t>לקוחות</t>
  </si>
  <si>
    <t>% ממכירות</t>
  </si>
  <si>
    <t>חייבים ויתרות חובה</t>
  </si>
  <si>
    <t>מלאי</t>
  </si>
  <si>
    <t>רכוש שוטף:</t>
  </si>
  <si>
    <t>רכוש שאינו שוטף:</t>
  </si>
  <si>
    <t>רכוש קבוע, נטו</t>
  </si>
  <si>
    <t>סה"כ נכסים:</t>
  </si>
  <si>
    <t>התחייבויות שוטפות:</t>
  </si>
  <si>
    <t>ספקים</t>
  </si>
  <si>
    <t>זכאים ויתרות זכות</t>
  </si>
  <si>
    <t>דיב' לשלם</t>
  </si>
  <si>
    <t>התחייבויות לז"א</t>
  </si>
  <si>
    <t>מיסים נדחים, נטו</t>
  </si>
  <si>
    <t>התחייבויות עובד-מעביד</t>
  </si>
  <si>
    <t>סה"כ התחייבויות</t>
  </si>
  <si>
    <t>הון עצמי</t>
  </si>
  <si>
    <t>התחייבויות + הון עצמי:</t>
  </si>
  <si>
    <t>הון חוזר:</t>
  </si>
  <si>
    <t>שינוי בלקוחות</t>
  </si>
  <si>
    <t>שינוי במלאי</t>
  </si>
  <si>
    <t>שינוי בספקים</t>
  </si>
  <si>
    <t>שינוי בהון חוזר:</t>
  </si>
  <si>
    <t>הון חוזר ממכירות:</t>
  </si>
  <si>
    <t>Q1-08A</t>
  </si>
  <si>
    <t>Q2-08A</t>
  </si>
  <si>
    <t>Q3-08A</t>
  </si>
  <si>
    <t>Q4-08A</t>
  </si>
  <si>
    <t>הלוואות מבנקים+אג"ח</t>
  </si>
  <si>
    <t>מזומנים ושווי 
מזומנים</t>
  </si>
  <si>
    <t>ימי לקוחות</t>
  </si>
  <si>
    <t>עלות מכר</t>
  </si>
  <si>
    <t>ימי מלאי</t>
  </si>
  <si>
    <t>ימי ספקים</t>
  </si>
  <si>
    <t>ימי לקוחות:</t>
  </si>
  <si>
    <t>ימי מלאי:</t>
  </si>
  <si>
    <t>ימי ספקים:</t>
  </si>
  <si>
    <t>הון חוזר ממוצע ממכירות</t>
  </si>
  <si>
    <t>הון חוזר ממוצע</t>
  </si>
  <si>
    <t>דולר</t>
  </si>
  <si>
    <t>אירו</t>
  </si>
  <si>
    <t>9/2009</t>
  </si>
  <si>
    <t>12/2008</t>
  </si>
  <si>
    <t>100000</t>
  </si>
  <si>
    <t>אחר</t>
  </si>
  <si>
    <t>עבודות חוץ</t>
  </si>
  <si>
    <t>פחת</t>
  </si>
  <si>
    <t>אחרים</t>
  </si>
  <si>
    <t>שיעור ממכירות</t>
  </si>
  <si>
    <t>לקוחות לפי % ממכירות</t>
  </si>
  <si>
    <t>מלאי לפי % ממכירות</t>
  </si>
  <si>
    <t>ספקים לפי % ממכירות</t>
  </si>
  <si>
    <t xml:space="preserve">                  שנה
        סעיף</t>
  </si>
  <si>
    <t>הוצאות מימון נטו</t>
  </si>
  <si>
    <t>הון חוזר</t>
  </si>
  <si>
    <t>אירו התחזק</t>
  </si>
  <si>
    <t>דולר נחלש</t>
  </si>
  <si>
    <t>אירו התחזק ודולר נחלש</t>
  </si>
  <si>
    <t>אשלג</t>
  </si>
  <si>
    <t>פוספט</t>
  </si>
  <si>
    <t>מוצרים תעשייתיים</t>
  </si>
  <si>
    <t>מחיר ממוצע</t>
  </si>
  <si>
    <t>רווח תפעולי</t>
  </si>
  <si>
    <t>פחת והפחתות</t>
  </si>
  <si>
    <t>סה"כ</t>
  </si>
  <si>
    <t>מערב אירופה</t>
  </si>
  <si>
    <t>מזרח אסיה/
שאר העולם</t>
  </si>
  <si>
    <t>הודו</t>
  </si>
  <si>
    <t>סין</t>
  </si>
  <si>
    <t>ייצור אשלג (מ' טון)</t>
  </si>
  <si>
    <t>מלאי סגירה</t>
  </si>
  <si>
    <t>הנחות מחיר:</t>
  </si>
  <si>
    <t>מכירות פנימיות 
(מ' טון)</t>
  </si>
  <si>
    <t>מכירות ללקוחות חיצוניים (מ' טון)</t>
  </si>
  <si>
    <t>בדיקה</t>
  </si>
  <si>
    <t>הנחות עלות:</t>
  </si>
  <si>
    <t>רווח תפעולי לטון</t>
  </si>
  <si>
    <t>עלות מכר+
עלות תפעולית</t>
  </si>
  <si>
    <t>עלות מכר+עלות תפעולית לטון</t>
  </si>
  <si>
    <r>
      <t>POTASH STATISTICS</t>
    </r>
    <r>
      <rPr>
        <b/>
        <vertAlign val="superscript"/>
        <sz val="10"/>
        <rFont val="Times New Roman"/>
        <family val="1"/>
      </rPr>
      <t>1</t>
    </r>
  </si>
  <si>
    <t>U.S. GEOLOGICAL SURVEY</t>
  </si>
  <si>
    <r>
      <t>[All values are in metric tons (t) K</t>
    </r>
    <r>
      <rPr>
        <b/>
        <vertAlign val="subscript"/>
        <sz val="10"/>
        <rFont val="Times New Roman"/>
        <family val="1"/>
      </rPr>
      <t>2</t>
    </r>
    <r>
      <rPr>
        <b/>
        <sz val="10"/>
        <rFont val="Times New Roman"/>
        <family val="1"/>
      </rPr>
      <t>O unless otherwise noted]</t>
    </r>
  </si>
  <si>
    <t>Last modification: November 10, 2009</t>
  </si>
  <si>
    <t>potash</t>
  </si>
  <si>
    <t>corn</t>
  </si>
  <si>
    <t>soy</t>
  </si>
  <si>
    <t>oil</t>
  </si>
  <si>
    <t>Year</t>
  </si>
  <si>
    <t>Production</t>
  </si>
  <si>
    <t>Imports</t>
  </si>
  <si>
    <t>Exports</t>
  </si>
  <si>
    <t>Stocks</t>
  </si>
  <si>
    <t>Apparent consumption</t>
  </si>
  <si>
    <t>potash value ($/t)</t>
  </si>
  <si>
    <t>CPI</t>
  </si>
  <si>
    <t>real potash value</t>
  </si>
  <si>
    <t>שינוי מ - 1960</t>
  </si>
  <si>
    <t>average sice 1960</t>
  </si>
  <si>
    <t>Max = 390</t>
  </si>
  <si>
    <t>Min = 132</t>
  </si>
  <si>
    <t>potash value (98$/t)</t>
  </si>
  <si>
    <t>World production (K2O)</t>
  </si>
  <si>
    <t>World production (KCL)</t>
  </si>
  <si>
    <t>World production change (KCL)</t>
  </si>
  <si>
    <t>World production change (5 yrs average)</t>
  </si>
  <si>
    <t>World production change (3 yrs average)</t>
  </si>
  <si>
    <t>World Sales (KCL)</t>
  </si>
  <si>
    <t>Available Capacity</t>
  </si>
  <si>
    <t>Corn Price per bushel</t>
  </si>
  <si>
    <t>real corn price</t>
  </si>
  <si>
    <t>Soy Price   per bushel</t>
  </si>
  <si>
    <t>real soy price</t>
  </si>
  <si>
    <t>oil Price</t>
  </si>
  <si>
    <t>real oil price</t>
  </si>
  <si>
    <t>k2o</t>
  </si>
  <si>
    <t>kcl</t>
  </si>
  <si>
    <t>−</t>
  </si>
  <si>
    <t>k+s - 04/2010</t>
  </si>
  <si>
    <t>217.48</t>
  </si>
  <si>
    <r>
      <t>1</t>
    </r>
    <r>
      <rPr>
        <b/>
        <sz val="10"/>
        <rFont val="Times New Roman"/>
        <family val="1"/>
      </rPr>
      <t>Compiled by D.A. Buckingham (retired), J.P. Searls (retired), J.A. Ober, and S.M. Jasinski.</t>
    </r>
  </si>
  <si>
    <t>Data are calculated, estimated, or reported.  See notes for more information.</t>
  </si>
  <si>
    <t>נתונים לגרף</t>
  </si>
  <si>
    <t>World production</t>
  </si>
  <si>
    <t>World Sales</t>
  </si>
  <si>
    <t>מס הכנסה לקבל</t>
  </si>
  <si>
    <t>השקעות בחברות כלולות</t>
  </si>
  <si>
    <t>פיקדונות ויתרות חובה לז"א</t>
  </si>
  <si>
    <t>עודף נכסים על התח' במסגרת תוכניות הטבה לעובדים</t>
  </si>
  <si>
    <t>מכשירים נגזרים לז"א</t>
  </si>
  <si>
    <t>מלאי לז"א</t>
  </si>
  <si>
    <t>הכנסות לקבל מהלוואות למיעוט</t>
  </si>
  <si>
    <t>נכסים בלתי מוחשיים</t>
  </si>
  <si>
    <t>אשראי מבנקים ונותני אשראי אחרים</t>
  </si>
  <si>
    <t>ספקים ונותני שירות</t>
  </si>
  <si>
    <t>הפרשות</t>
  </si>
  <si>
    <t>מס הכנסה לשלם</t>
  </si>
  <si>
    <t>מיסים נדחים נטו</t>
  </si>
  <si>
    <t>אג"ח להמרה</t>
  </si>
  <si>
    <t>מכירות (כמות)</t>
  </si>
  <si>
    <t>סך מכירות חיצוניים</t>
  </si>
  <si>
    <t>סך מכירות פנימי+חיצוני</t>
  </si>
  <si>
    <t>מחיר לטון לחיצוניים</t>
  </si>
  <si>
    <t>כמויות מכירה (מ' טון):</t>
  </si>
  <si>
    <t>כושר ייצור פוטנציאלי</t>
  </si>
  <si>
    <t>כושר הייצור הפוטנציאלי של המפעלים השונים, מבוסס על תפוקה שעתית של המפעלים,</t>
  </si>
  <si>
    <t>מוכפלת בשעות העבודה הפוטנציאליים בשנה, בהנחה של ייצור רציף על פני השנה, 24</t>
  </si>
  <si>
    <t>שעות ביממה, למעט ימים המתוכננים לתחזוקה ושיפוצים.</t>
  </si>
  <si>
    <t>הייצור בפועל נמוך בדרך כלל מכושר הייצור הפוטנציאלי בשל תקלות לא צפויות, פעולות</t>
  </si>
  <si>
    <t>אחזקה מיוחדות ותנאי שוק.</t>
  </si>
  <si>
    <t>להלן כושר הייצור הפוטנציאלי השנתי במפעלים העיקריים:</t>
  </si>
  <si>
    <t>כיל דשנים:</t>
  </si>
  <si>
    <t>אשלג כ – 6 מליון טון.</t>
  </si>
  <si>
    <t>סלע פוספט כ- 4.5 מליון טון.</t>
  </si>
  <si>
    <t>דשני פוספט ודשנים מורכבים כ – 1.9 מליון טון.</t>
  </si>
  <si>
    <t>כיל מוצרים תעשיתיים:</t>
  </si>
  <si>
    <t>ברום אלמנטארי כ – 240 אלפי טון.</t>
  </si>
  <si>
    <t>תרכובות ברום כ – 300 אלפי טון. 14</t>
  </si>
  <si>
    <t>ביוצידים על בסיס כלור כ – 30 אלפי טון.</t>
  </si>
  <si>
    <t>תרכובות זרחן כ- 150 אלפי טון.</t>
  </si>
  <si>
    <t>כיל מוצרי תכלית:</t>
  </si>
  <si>
    <t>. חומצה זרחתית נקייה (במונחי תחמוצת זרחן) כ – 380 אלפי טון 15</t>
  </si>
  <si>
    <t>מלחי פוספט ותוספי מזון כ – 415 אלפי טון.</t>
  </si>
  <si>
    <t>מוצרים אחרים על בסיס פוספט כ – 100 אלפי טון.</t>
  </si>
  <si>
    <t>מוצרים אחרים בכיל מוצרי תכלית כ – 530 אלפי טון.</t>
  </si>
  <si>
    <t>שיעור רווח תפעולי אשלג</t>
  </si>
  <si>
    <t>הכנסות</t>
  </si>
  <si>
    <t>Q4-07A</t>
  </si>
  <si>
    <t>Q3-07A</t>
  </si>
  <si>
    <t>Q2-07A</t>
  </si>
  <si>
    <t>Q1-07A</t>
  </si>
  <si>
    <t>Q3-10A</t>
  </si>
  <si>
    <t>Q1-04A</t>
  </si>
  <si>
    <t>Q2-04A</t>
  </si>
  <si>
    <t>Q3-04A</t>
  </si>
  <si>
    <t>Q4-04A</t>
  </si>
  <si>
    <t>Q1-05A</t>
  </si>
  <si>
    <t>Q2-05A</t>
  </si>
  <si>
    <t>Q3-05A</t>
  </si>
  <si>
    <t>Q4-05A</t>
  </si>
  <si>
    <t>Q1-06A</t>
  </si>
  <si>
    <t>Q2-06A</t>
  </si>
  <si>
    <t>Q3-06A</t>
  </si>
  <si>
    <t>Q4-06A</t>
  </si>
  <si>
    <t>מחיר לטון אשלג</t>
  </si>
  <si>
    <t>ברזיל</t>
  </si>
  <si>
    <t>2003H</t>
  </si>
  <si>
    <t>2004H</t>
  </si>
  <si>
    <t>q3-04</t>
  </si>
  <si>
    <t>Q1-05</t>
  </si>
  <si>
    <t>Q2-05</t>
  </si>
  <si>
    <t>Q3-05</t>
  </si>
  <si>
    <t>Q1-06</t>
  </si>
  <si>
    <t>Q2-06</t>
  </si>
  <si>
    <t>Q3-06</t>
  </si>
  <si>
    <t>Q1-07</t>
  </si>
  <si>
    <t>Q2-07</t>
  </si>
  <si>
    <t>Q3-07</t>
  </si>
  <si>
    <t>Q4-07</t>
  </si>
  <si>
    <t>Q1-08</t>
  </si>
  <si>
    <t>Q2-08</t>
  </si>
  <si>
    <t>Q3-08</t>
  </si>
  <si>
    <t>Q4-08</t>
  </si>
  <si>
    <t>Q1-09</t>
  </si>
  <si>
    <t>Q2-09</t>
  </si>
  <si>
    <t>Q3-09</t>
  </si>
  <si>
    <t>Q4-09</t>
  </si>
  <si>
    <t>Q1-10</t>
  </si>
  <si>
    <t>השקעה ברכוש קבוע</t>
  </si>
  <si>
    <t>מענק שהתקבל</t>
  </si>
  <si>
    <t>רכישת נכסים בלתי מוחשיים</t>
  </si>
  <si>
    <t>תמורה ממכירת רכוש קבוע</t>
  </si>
  <si>
    <t>% מכירות</t>
  </si>
  <si>
    <t>פחת מתקני ייצור</t>
  </si>
  <si>
    <t>עודף השקעה על הפחת</t>
  </si>
  <si>
    <t>ללא מגנזיום</t>
  </si>
  <si>
    <t xml:space="preserve"> </t>
  </si>
  <si>
    <t>Q1-03A</t>
  </si>
  <si>
    <t>Q2-03A</t>
  </si>
  <si>
    <t>Q3-03A</t>
  </si>
  <si>
    <t>Q4-03A</t>
  </si>
  <si>
    <t xml:space="preserve">מחיר מניה </t>
  </si>
  <si>
    <t>מניה</t>
  </si>
  <si>
    <t>מחיר אשלג</t>
  </si>
  <si>
    <t>המניה מקדימה את ביצועי האשלג.</t>
  </si>
  <si>
    <t>Q2-10</t>
  </si>
  <si>
    <t>Q3-10</t>
  </si>
  <si>
    <t xml:space="preserve"> סך השקעה</t>
  </si>
  <si>
    <t>סך פחת</t>
  </si>
  <si>
    <t>% מהשקעה</t>
  </si>
  <si>
    <t>ירידת ערך רכוש קבוע</t>
  </si>
  <si>
    <t>חוב נטו</t>
  </si>
  <si>
    <t xml:space="preserve">% מס </t>
  </si>
  <si>
    <t>Capex</t>
  </si>
  <si>
    <t>הון חוזר 
ממכירות</t>
  </si>
  <si>
    <t>שיעור היוון</t>
  </si>
  <si>
    <t>שיעור צמיחה</t>
  </si>
  <si>
    <t>שווי תפעולי</t>
  </si>
  <si>
    <t>חוב פיננסי</t>
  </si>
  <si>
    <t>חלק המיעוט</t>
  </si>
  <si>
    <t>שווי  כלכלי למניה</t>
  </si>
  <si>
    <t>$</t>
  </si>
  <si>
    <t>ש"ח</t>
  </si>
  <si>
    <t>שווי שוק</t>
  </si>
  <si>
    <t>שוש"כ</t>
  </si>
  <si>
    <t>תקופה</t>
  </si>
  <si>
    <t>עלות המכר לטון</t>
  </si>
  <si>
    <t>מכירות לחיצונים (מ' $)</t>
  </si>
  <si>
    <t>שווי כלכלי חברה</t>
  </si>
  <si>
    <t>שווי שוק חברה</t>
  </si>
  <si>
    <t>מייצג</t>
  </si>
  <si>
    <t>כושר ייצור אפקטיבי</t>
  </si>
  <si>
    <t>שיעור ניצולת</t>
  </si>
  <si>
    <t>D</t>
  </si>
  <si>
    <t>E</t>
  </si>
  <si>
    <t>סעיף</t>
  </si>
  <si>
    <t>Ke</t>
  </si>
  <si>
    <t>V</t>
  </si>
  <si>
    <t>WACC</t>
  </si>
  <si>
    <t>צמיחה ט"א</t>
  </si>
  <si>
    <t>מח"מ</t>
  </si>
  <si>
    <t>תשואה</t>
  </si>
  <si>
    <t>כיל  אג"ח ד'</t>
  </si>
  <si>
    <t>D/V</t>
  </si>
  <si>
    <t>E/V</t>
  </si>
  <si>
    <t>סיכום הערכת שווי:</t>
  </si>
  <si>
    <t>חלק ברווחי כלולות</t>
  </si>
  <si>
    <t>ניתוח רגישות שווי כלכלי למניה - שיעור היוון וצמיחה פרמננטית</t>
  </si>
  <si>
    <t>ניתוח רגישות שווי כלכלי למניה - מחיר אשלג</t>
  </si>
  <si>
    <t>מחיר אשלג בשנה המייצגת</t>
  </si>
  <si>
    <t>שווי למניה</t>
  </si>
  <si>
    <t>שער ה- $</t>
  </si>
  <si>
    <t>Q4-10A</t>
  </si>
  <si>
    <t>2010A</t>
  </si>
  <si>
    <t>Q1-11A</t>
  </si>
  <si>
    <t>Q4-10</t>
  </si>
  <si>
    <t>Q1-11</t>
  </si>
  <si>
    <t>מרווח תפעולי אשלג</t>
  </si>
  <si>
    <t>תשואת דיב' ב- 2010</t>
  </si>
  <si>
    <t>תשואת דיב' ב- 2011 לפי קצב חלוקות דיב' נוכחי (730 מ' $ בשנת 2010)</t>
  </si>
  <si>
    <t>(*) מדיניות חלוקת דיבידנד של עד 70% מהרווח הנקי</t>
  </si>
  <si>
    <r>
      <t xml:space="preserve">      </t>
    </r>
    <r>
      <rPr>
        <b/>
        <u/>
        <sz val="11"/>
        <rFont val="Arial"/>
        <family val="2"/>
      </rPr>
      <t>הכנסות</t>
    </r>
    <r>
      <rPr>
        <b/>
        <sz val="11"/>
        <rFont val="Arial"/>
        <family val="2"/>
      </rPr>
      <t>:</t>
    </r>
  </si>
  <si>
    <r>
      <t xml:space="preserve">     </t>
    </r>
    <r>
      <rPr>
        <b/>
        <u/>
        <sz val="11"/>
        <rFont val="Arial"/>
        <family val="2"/>
      </rPr>
      <t>רווח תפעולי</t>
    </r>
    <r>
      <rPr>
        <b/>
        <sz val="11"/>
        <rFont val="Arial"/>
        <family val="2"/>
      </rPr>
      <t>:</t>
    </r>
  </si>
  <si>
    <r>
      <t xml:space="preserve">      </t>
    </r>
    <r>
      <rPr>
        <b/>
        <u/>
        <sz val="11"/>
        <rFont val="Arial"/>
        <family val="2"/>
      </rPr>
      <t>מכפילים</t>
    </r>
    <r>
      <rPr>
        <b/>
        <sz val="11"/>
        <rFont val="Arial"/>
        <family val="2"/>
      </rPr>
      <t>:</t>
    </r>
  </si>
  <si>
    <t>שיעור
היוון</t>
  </si>
  <si>
    <t>צמיחה פרמ'</t>
  </si>
  <si>
    <t>Q2-11A</t>
  </si>
  <si>
    <t>עלות קציר מלח כוללת</t>
  </si>
  <si>
    <t>מיל' $</t>
  </si>
  <si>
    <t>מיל' ש"ח</t>
  </si>
  <si>
    <t>% מועמס על כיל</t>
  </si>
  <si>
    <t>תשלום שנתי 
(פריסה ל-10 שנים)</t>
  </si>
  <si>
    <t>PV
(פריסה ל- 10 שנים)</t>
  </si>
  <si>
    <t>ניתוח רגישות עלות קציר מלח לשנות פריסה ול- % העמסה על החברה</t>
  </si>
  <si>
    <t>הפחתה בשווי למניה
(פריסה ל- 10 שנים)</t>
  </si>
  <si>
    <t>שיעור היוון ל- PV</t>
  </si>
  <si>
    <t>Q2-11</t>
  </si>
  <si>
    <t>PV
(פריסה ל- 19 שנים)</t>
  </si>
  <si>
    <t>תשלום שנתי 
(פריסה ל-19 שנים)</t>
  </si>
  <si>
    <t>הפחתה בשווי למניה
(פריסה ל- 19 שנים)</t>
  </si>
  <si>
    <t>רווח תפעולי אשלג</t>
  </si>
  <si>
    <t>שנה</t>
  </si>
  <si>
    <t>Q3-11A</t>
  </si>
  <si>
    <t>Q3-11</t>
  </si>
  <si>
    <t>Q4-11A</t>
  </si>
  <si>
    <t>2011A</t>
  </si>
  <si>
    <t>Q4-11</t>
  </si>
  <si>
    <t>Q1-12A</t>
  </si>
  <si>
    <t>שחר</t>
  </si>
  <si>
    <t>שקלי</t>
  </si>
  <si>
    <t>Q2-12A</t>
  </si>
  <si>
    <t>אג"ח של כיל ל- 15 שנה</t>
  </si>
  <si>
    <t>ייצור למלאי 
(מכירות מהמלאי)</t>
  </si>
  <si>
    <t>Q3-12A</t>
  </si>
  <si>
    <t>תשואת דיב' של 6.5% בשנה</t>
  </si>
  <si>
    <t>2012A</t>
  </si>
  <si>
    <t>Q4-12A</t>
  </si>
  <si>
    <t>Q4-12</t>
  </si>
  <si>
    <t>יתרונות</t>
  </si>
  <si>
    <t>שילוח והפצה</t>
  </si>
  <si>
    <t>הוצאות מטה</t>
  </si>
  <si>
    <t>תוכנית התייעלות צפויה, בדגש על מחלקות שיווק ומכירת אשלג</t>
  </si>
  <si>
    <t>החברה הממוזגת תגדיל את נתח השוק בסין, הודו וברזיל</t>
  </si>
  <si>
    <t>פירוט</t>
  </si>
  <si>
    <t>הערות</t>
  </si>
  <si>
    <t>הגדלת נתח שוק</t>
  </si>
  <si>
    <r>
      <t xml:space="preserve">נתח שוק נוכחי Cantopex בסין - </t>
    </r>
    <r>
      <rPr>
        <b/>
        <sz val="10"/>
        <color rgb="FFFF0000"/>
        <rFont val="Arial"/>
        <family val="2"/>
      </rPr>
      <t>15.9%</t>
    </r>
    <r>
      <rPr>
        <sz val="10"/>
        <rFont val="Arial"/>
        <family val="2"/>
      </rPr>
      <t xml:space="preserve">
</t>
    </r>
    <r>
      <rPr>
        <b/>
        <sz val="10"/>
        <rFont val="Arial"/>
        <family val="2"/>
      </rPr>
      <t xml:space="preserve">נתח שוק ממוזג Cantopex בסין - </t>
    </r>
    <r>
      <rPr>
        <b/>
        <sz val="10"/>
        <color rgb="FF006600"/>
        <rFont val="Arial"/>
        <family val="2"/>
      </rPr>
      <t>28.8%</t>
    </r>
    <r>
      <rPr>
        <sz val="10"/>
        <rFont val="Arial"/>
        <family val="2"/>
      </rPr>
      <t xml:space="preserve">
נתח שוק נוכחי Cantopex בהודו - </t>
    </r>
    <r>
      <rPr>
        <b/>
        <sz val="10"/>
        <color rgb="FFFF0000"/>
        <rFont val="Arial"/>
        <family val="2"/>
      </rPr>
      <t>12.8%</t>
    </r>
    <r>
      <rPr>
        <sz val="10"/>
        <rFont val="Arial"/>
        <family val="2"/>
      </rPr>
      <t xml:space="preserve">
</t>
    </r>
    <r>
      <rPr>
        <b/>
        <sz val="10"/>
        <rFont val="Arial"/>
        <family val="2"/>
      </rPr>
      <t xml:space="preserve">נתח שוק ממוזג Cantopex בסין - </t>
    </r>
    <r>
      <rPr>
        <b/>
        <sz val="10"/>
        <color rgb="FF006600"/>
        <rFont val="Arial"/>
        <family val="2"/>
      </rPr>
      <t>34.4%</t>
    </r>
    <r>
      <rPr>
        <sz val="10"/>
        <rFont val="Arial"/>
        <family val="2"/>
      </rPr>
      <t xml:space="preserve">
נתח שוק נוכחי Cantopex בברזיל - </t>
    </r>
    <r>
      <rPr>
        <b/>
        <sz val="10"/>
        <color rgb="FFFF0000"/>
        <rFont val="Arial"/>
        <family val="2"/>
      </rPr>
      <t>25.8%</t>
    </r>
    <r>
      <rPr>
        <sz val="10"/>
        <rFont val="Arial"/>
        <family val="2"/>
      </rPr>
      <t xml:space="preserve">
</t>
    </r>
    <r>
      <rPr>
        <b/>
        <sz val="10"/>
        <rFont val="Arial"/>
        <family val="2"/>
      </rPr>
      <t xml:space="preserve">נתח שוק ממוזג Cantopex בברזיל - </t>
    </r>
    <r>
      <rPr>
        <b/>
        <sz val="10"/>
        <color rgb="FF006600"/>
        <rFont val="Arial"/>
        <family val="2"/>
      </rPr>
      <t>39.8%</t>
    </r>
  </si>
  <si>
    <t>כוח ואנרגיה</t>
  </si>
  <si>
    <t>הובלה וביטוח</t>
  </si>
  <si>
    <t>עמלות לסוכנים</t>
  </si>
  <si>
    <t>אחרות</t>
  </si>
  <si>
    <t>אחזקת מבנים</t>
  </si>
  <si>
    <t>ייעוץ משפטי</t>
  </si>
  <si>
    <t>מרווח תפעולי</t>
  </si>
  <si>
    <t>מוקד חדש של חברה ממוזגת בישראל יאפשר הפצה של מוצרים למזרח אסיה ובייחוד לסין והודו דרך ים סוף, ואילו מכירות לדרום אמריקה ייעשו דרך מוקד קנדי.</t>
  </si>
  <si>
    <t>השפעה על 
המודל</t>
  </si>
  <si>
    <t>פוטאש השביתה ייצור של 1.2 מיל' טון אשלג ב- Q1-12
פוטאש השביתה ייצור של 0.7 מיל' טון אשלג ב- Q4-12</t>
  </si>
  <si>
    <t>העברה של חלק מייצור האשלג לים המלח, יכולת אחסון אשלג ללא בעייה (2.9 מיל' טון בשנת 2009)</t>
  </si>
  <si>
    <t>השבתות ייצור (בשוק יורד)</t>
  </si>
  <si>
    <t>הגדלת מחיר ממוצע אשלג בסין והודו בכ- 15$ לטון (מחיר ממוצע יגדל ב- 10$ לטון)</t>
  </si>
  <si>
    <t>מיזוג כיל-פוטאש (השפעות אפשריות)</t>
  </si>
  <si>
    <t>כיל מייצרת כיום בשיעור ניצולת של 79%</t>
  </si>
  <si>
    <t>חסכון מוערך של כ- 70 מיל' $ (להערכת כיל, לפי מפתח של העברת ייצור בהיקף של 1 מיל' טון שייוצר בים המלח כפול 70$ לטון)</t>
  </si>
  <si>
    <t>חסכון של 10% מסך הוצאות מאוחדות בהנה"כ, שיווק ומכירת אשלג</t>
  </si>
  <si>
    <t>חסכון של 15% מסך עלויות הובלה במאוחד כיל-פוטאש</t>
  </si>
  <si>
    <t>חסכון בהשקעה בפרויקטי Greenfield מצד פוטאש</t>
  </si>
  <si>
    <t>השקעה מתוכננת של Cantopex בהרחבות צפויות בשנים הקרובות שאמורות להגדיל כושר ייצור ב- 11 מיל' טון (פוטאש 6.1 מיל' טון, מוזאיק - 4.4 מיל' טון ואגריום - 0.7 מיל' טון).</t>
  </si>
  <si>
    <t>חסכון של כ- 20 מיל' $ עבור החברה הממוזגת</t>
  </si>
  <si>
    <t>חסכון מוערך של 130 מיל' $ בשנה</t>
  </si>
  <si>
    <r>
      <rPr>
        <b/>
        <sz val="10"/>
        <rFont val="Arial"/>
        <family val="2"/>
      </rPr>
      <t xml:space="preserve">א. הקטנת תחרות: </t>
    </r>
    <r>
      <rPr>
        <sz val="10"/>
        <rFont val="Arial"/>
        <family val="2"/>
      </rPr>
      <t xml:space="preserve"> </t>
    </r>
  </si>
  <si>
    <r>
      <rPr>
        <b/>
        <sz val="10"/>
        <rFont val="Arial"/>
        <family val="2"/>
      </rPr>
      <t>ב. הגברת יעילות בתחום שילוח והפצה</t>
    </r>
    <r>
      <rPr>
        <sz val="10"/>
        <rFont val="Arial"/>
        <family val="2"/>
      </rPr>
      <t xml:space="preserve"> </t>
    </r>
  </si>
  <si>
    <t>ג. תוכנית התייעלות:</t>
  </si>
  <si>
    <t>ד. הגדלת נתחי שוק בשווקים מתעוררים (סין והודו) ונגישות פיזית לשווקי המזרח.</t>
  </si>
  <si>
    <t>ה. יכולת אחסון אשלג בים המלח שתאפשר לשא להשבית ייצור בחברה הממוזגת</t>
  </si>
  <si>
    <t>יתרונות מיזוג פוטאש-כיל:</t>
  </si>
  <si>
    <t>ו. זיכיון כרייה של כיל מסתיים בעוד מספר שנים:</t>
  </si>
  <si>
    <t>מכשולים:</t>
  </si>
  <si>
    <t>א. אישור ממונה על הגבלים עסקיים.</t>
  </si>
  <si>
    <t>ד. דעת קהל.</t>
  </si>
  <si>
    <t>ה. ארגון עובדים כיל - חשש מהעברת חלק מהייצור לירדן, שם עלויות כוח אדם נחשבות לנמוכות יותר.</t>
  </si>
  <si>
    <t>ג. אישור ממשלת ישראל -זכות וטו למדינה שמחזיקה במניית זהב.</t>
  </si>
  <si>
    <t>ד. הרכב ממשלה - כוח משמעותי של יש עתיד שמתנגדת לעסקה.</t>
  </si>
  <si>
    <r>
      <rPr>
        <b/>
        <sz val="10"/>
        <rFont val="Arial"/>
        <family val="2"/>
      </rPr>
      <t>ז. תשלום מס למדינה -</t>
    </r>
    <r>
      <rPr>
        <sz val="10"/>
        <rFont val="Arial"/>
        <family val="2"/>
      </rPr>
      <t xml:space="preserve"> לא ברור המצב אם מדובר בעסקה של העברת מניות בלבד. בעסקה עם רכיב מזומן, מס גבוה שעשוי לכסות חלק מגירעון תקציבי ל- 2013</t>
    </r>
  </si>
  <si>
    <t>עסקאות מיזוג מתחום האגרוכימיה בשנים האחרונות:</t>
  </si>
  <si>
    <t>ב. אוראלקאלי הרוסית מיזגה את סילביניט בפרמיה של 6.3% מעל שווי השוק.</t>
  </si>
  <si>
    <t>א. BHP Biliton דיווחה על הצעת רכש למניית פוטאש באוגוסט-10 בפרמיה של 25% על שווי השוק לפני העסקה. העסקה לא יצאה בסוף אל הפועל.</t>
  </si>
  <si>
    <t>ג. כימצ'ינה רכשה את מכתשים בפרמיה של 50% על שווי השוק. מכתשים עלתה ביום דיווח העסקה ב- 31%.</t>
  </si>
  <si>
    <t>שווי שוק נוכחי כיל</t>
  </si>
  <si>
    <t xml:space="preserve">עליית כיל מאז דיווח המיזוג המתוכנן ביחס לפוטאש - </t>
  </si>
  <si>
    <t xml:space="preserve">שווי שוק (תיאורטי) מנוטרל עסקה - </t>
  </si>
  <si>
    <t>הסתברות למימוש עסקה</t>
  </si>
  <si>
    <t>שווי כלכלי נגזר לכיל מנקודת מבט פוטאש</t>
  </si>
  <si>
    <t>פרמיה מעל שווי שוק נוכחי</t>
  </si>
  <si>
    <t>כיל - שווי שוק</t>
  </si>
  <si>
    <t>פוטאש - שווי שוק</t>
  </si>
  <si>
    <t>החזקת חברה לישראל בכיל</t>
  </si>
  <si>
    <t>החזקת חברה לישראל בפוטאש</t>
  </si>
  <si>
    <t>דיב' צפוי 2013 פוטאש</t>
  </si>
  <si>
    <t>כיל</t>
  </si>
  <si>
    <t>ה- P/E החזוי בעסקה היה 19.5 (42.9/2.2) בזמן שהחברה נסחרה לפני כן ברמות של 13 (לפני העסקה מחיר המנייה עלה והחברה נסחרה מספר ימים לפני במכפיל P/E חזוי של 15), פרמייה של 30%.</t>
  </si>
  <si>
    <t>מחיר ללא</t>
  </si>
  <si>
    <t>מחיר מצד פוטאש</t>
  </si>
  <si>
    <t>הקטנת עלות ייצור 
מצרפית</t>
  </si>
  <si>
    <t xml:space="preserve">  P/E שוק</t>
  </si>
  <si>
    <t>שוק EV/EBITDA</t>
  </si>
  <si>
    <t>לאור הגדלת כושר ייצור מאוחד ל- 34.3 מיל' טון (מ- 28.1 מיל' טון), והגברת ניצולת מים המלח, קיים פוטנציאל לחסוך דרך דחיית/ביטול פרויקטי Brownfield מתוכננים</t>
  </si>
  <si>
    <t xml:space="preserve">הוצאות מיוחסות למגזר אשלג כיל - 98 מיל' $
הוצאות מיוחסות למגזר אשלג פוטאש - 206 מ' $
</t>
  </si>
  <si>
    <t>הוצאות מיוחסות למגזר אשלג כיל - 207 מיל' $
הוצאות מיוחסות למגזר אשלג פוטאש - 390 מ' $</t>
  </si>
  <si>
    <t>עלות ייצור משוערת של פוטאש היא 200$ לטון
עלות ייצור משוערת של כיל היא 130$ לטון</t>
  </si>
  <si>
    <t xml:space="preserve">      שילוב הזרועות אמנם לא ישנה את מפת ההיצע העולמי, אבל יפחית שחקנית אחת מהתחרות, וכתוצאה השליטה של פוטאש בכל הקשור למחירי האשלג העולמיים תתחזק</t>
  </si>
  <si>
    <t xml:space="preserve">     חברה ממוזגת תוכל לפעול באופן יעיל יותר בתחום שילוח והפצה.</t>
  </si>
  <si>
    <t xml:space="preserve">     מוקד חדש של חברה בישראל, יאפשר הפצה של מוצרים למזרח אסיה ובייחוד לסין והודו, דרך ים סוף ואילו מכירות לדרום וצפון אמריקה ייעשו דרך מוקד קנדי.</t>
  </si>
  <si>
    <t xml:space="preserve">    תוכנית התייעלות צפויה בעיקר במטה של כיל, בדגש על מחלקות שיווק ומכירת אשלג, שתהפוכנה לכמעט מיותרות לאחר המיזוג.</t>
  </si>
  <si>
    <t xml:space="preserve">    העובדה שמרבצי האשלג של כיל מצויים בים המלח, שמתאפיין במזג אוויר יבש מאפשרת אחסון מלאי בעלויות נמוכות מאוד.</t>
  </si>
  <si>
    <t xml:space="preserve">    פוטאש מווסתת מחירים כיום בשוק ע"י עצירת ייצור. רכישת כיל תאפשר לה לאחסן אשלג שמייצרת, וכך לא תצטרך להשבית את כל תהליך הייצור בחברה.</t>
  </si>
  <si>
    <t xml:space="preserve">   בהתחשב בכך שזיכיון כרייה של כיל בים המלח מסתיים ב- 2030, הרי שמיזוג בעת הנוכחית נראה שיקול כלכלי, שכן סיום זכיון לא רחוק בזמן.</t>
  </si>
  <si>
    <t>ו. תמלוגים היסטוריים - בוררות עסקית בין המדינה לכיל</t>
  </si>
  <si>
    <t>ז. ארגונים ירוקים - הכנסת שיקולים זרים לניהול משאבי הטבע של ישראל ונזקים פוטנציאליים לסביבה.</t>
  </si>
  <si>
    <t>ז. קציר המלח - הממשלה תרצה לוודא שהפרויקט מתקיים.</t>
  </si>
  <si>
    <t>ב. אישור בעלי מניות - כיל מהווה את פרת המזומנים של החברה לישראל (52.3%) בתהפוך לבעלת עניין בפוטאש (כ- 25.7%)</t>
  </si>
  <si>
    <t>Q1-13A</t>
  </si>
  <si>
    <r>
      <t xml:space="preserve">הטבלה להלן מציגה את שיעור ה- </t>
    </r>
    <r>
      <rPr>
        <sz val="11"/>
        <rFont val="Calibri"/>
        <family val="2"/>
      </rPr>
      <t>Government Take</t>
    </r>
    <r>
      <rPr>
        <sz val="11"/>
        <rFont val="Arial"/>
        <family val="2"/>
      </rPr>
      <t xml:space="preserve"> מתוך הרווח לפני מס ב- 2 מסלולים: מצב נוכחי ולאחר ביטול הטבות המס במסגרת התיקון לחוק עידוד השקעות הון ב- 2017-18 לפי המתווה שסוכם עם המדינה.</t>
    </r>
  </si>
  <si>
    <r>
      <t>DSW Royalties</t>
    </r>
    <r>
      <rPr>
        <b/>
        <sz val="11"/>
        <rFont val="Arial"/>
        <family val="2"/>
      </rPr>
      <t>:</t>
    </r>
    <r>
      <rPr>
        <sz val="11"/>
        <rFont val="Arial"/>
        <family val="2"/>
      </rPr>
      <t xml:space="preserve"> הכוונה לשיעור התמלוגים שנקבע מתוך הרווח לפני מס (</t>
    </r>
    <r>
      <rPr>
        <sz val="11"/>
        <rFont val="Calibri"/>
        <family val="2"/>
      </rPr>
      <t>Dead Sea Works Royalties</t>
    </r>
    <r>
      <rPr>
        <sz val="11"/>
        <rFont val="Arial"/>
        <family val="2"/>
      </rPr>
      <t>).</t>
    </r>
  </si>
  <si>
    <t xml:space="preserve">נזכיר כי מתווה התמלוגים שנחתם עם הממשלה הקודמת לפני שנה קבע תשלום תמלוגים בשיעור של 5% על הכנסות בשער המפעל (לפני עלויות הובלה יבשתית והבלה ימית) ביחס כמות מיוצרת בים המלח של 1.5 מיל' טון ותמלוגים בשיעור של 10% על כמות מיוצרת מעל 1.5 מיל' טון. </t>
  </si>
  <si>
    <t>לצורך התחשיב ניתן לקחת תמלוגים בשיעור של 8% מההכנסות בשער המפעל השקול לשיעור של 16% מהרווח לפני מס של מגזר האשלג (לפי שיעור רווח לפני מס של כ- 50% בממוצע).</t>
  </si>
  <si>
    <r>
      <t>Income Tax</t>
    </r>
    <r>
      <rPr>
        <b/>
        <sz val="11"/>
        <rFont val="Arial"/>
        <family val="2"/>
      </rPr>
      <t xml:space="preserve">: </t>
    </r>
    <r>
      <rPr>
        <sz val="11"/>
        <rFont val="Arial"/>
        <family val="2"/>
      </rPr>
      <t>נכון להיום משלמת החברה 18% מס ברמת כל הקבוצה ו- 22% משוער ל- 2017-18 עם יציאת מתחולת החוק לעידוד השקעות הון.</t>
    </r>
  </si>
  <si>
    <t>הנתון שמופיע בטבלה מתייחס רק למפעלי ים המלח. נכון להיום משלמים מפעלי ים המלח מס בשיעור של 15% מהרווח לפני מס ושיעור המס צפוי לעלות ל- 25% (מס חברות) ב- 2017-2018.</t>
  </si>
  <si>
    <r>
      <t>Total GT W/O Dividend</t>
    </r>
    <r>
      <rPr>
        <b/>
        <sz val="11"/>
        <rFont val="Arial"/>
        <family val="2"/>
      </rPr>
      <t xml:space="preserve">: </t>
    </r>
    <r>
      <rPr>
        <sz val="11"/>
        <rFont val="Arial"/>
        <family val="2"/>
      </rPr>
      <t xml:space="preserve">הוצאה בגין תמלוגים מהווה הוצאה מוכרת במס. לפיכך, ללא חלוקת דיב' שיעור ה- </t>
    </r>
    <r>
      <rPr>
        <sz val="11"/>
        <rFont val="Calibri"/>
        <family val="2"/>
      </rPr>
      <t>Government Take</t>
    </r>
    <r>
      <rPr>
        <sz val="11"/>
        <rFont val="Arial"/>
        <family val="2"/>
      </rPr>
      <t xml:space="preserve"> יעמוד כיום על 16%+15% בניכוי 16%*15% ומהווה בסך הכל 29%.</t>
    </r>
  </si>
  <si>
    <t>לאחר יציאה מתחולת חוק עידוד השקעות הון יעמוד על 16%+25% בניכוי 16%*25% ובסה"כ 37%.</t>
  </si>
  <si>
    <r>
      <rPr>
        <b/>
        <sz val="11"/>
        <rFont val="Arial"/>
        <family val="2"/>
      </rPr>
      <t xml:space="preserve">מס על דיבידנד: </t>
    </r>
    <r>
      <rPr>
        <sz val="11"/>
        <rFont val="Arial"/>
        <family val="2"/>
      </rPr>
      <t>בשיעור של 25% (בתחשיב נוכה חלק המתייחס לאחזקת חברה לישראל בחברה – פטור ממס על דיב' מחברה לחברה).</t>
    </r>
  </si>
  <si>
    <r>
      <t xml:space="preserve">שיעור ה- </t>
    </r>
    <r>
      <rPr>
        <b/>
        <sz val="11"/>
        <rFont val="Calibri"/>
        <family val="2"/>
      </rPr>
      <t>Government Take</t>
    </r>
    <r>
      <rPr>
        <b/>
        <sz val="11"/>
        <rFont val="Arial"/>
        <family val="2"/>
      </rPr>
      <t xml:space="preserve"> בחתך השוואתי לעולם</t>
    </r>
  </si>
  <si>
    <t>הערכה בנוגע לכמות האשלג הנמכרת בישראל</t>
  </si>
  <si>
    <t xml:space="preserve">הערכה בנוגע למחיר האשלג המשוקלל </t>
  </si>
  <si>
    <t>הכנסות מגזר אשלג בישראל</t>
  </si>
  <si>
    <t>רווח מוערך לפני מס בישראל</t>
  </si>
  <si>
    <t>שיעור הרווח לפני מס בישראל</t>
  </si>
  <si>
    <t>רווח מוערך לפני מס וטרם תמלוגים</t>
  </si>
  <si>
    <t>תמלוגים מוערכים בגין מגזר האשלג בלבד בישראל</t>
  </si>
  <si>
    <t>תמלוגים ביחס למכירות</t>
  </si>
  <si>
    <t xml:space="preserve">שיעור התמלוגים ביחס לרווח מוערך לפני מס וטרם תמלוגים </t>
  </si>
  <si>
    <t>שיעור התמלוגים ביחס לרווח מוערך לפני מס ולאחר תמלוגים</t>
  </si>
  <si>
    <t>שיעור מס הכנסה אפקטיבי</t>
  </si>
  <si>
    <t>כאשר התמלוגים מוכרים לצורך מס</t>
  </si>
  <si>
    <t>חיובי מדינה (תמלוגים+מס) בגין אשלג בלבד,</t>
  </si>
  <si>
    <t xml:space="preserve">סה"כ חיובי המדינה ביחס לרווח המוערך לפני מס </t>
  </si>
  <si>
    <t>סה"כ חיובי המדינה ביחס לרווח המוערך לפני מס וטרום מיזוגים</t>
  </si>
  <si>
    <t>מייצג חדש</t>
  </si>
  <si>
    <t>חברות פעילות</t>
  </si>
  <si>
    <t>interpid potash inc.</t>
  </si>
  <si>
    <t>כושר ייצור אשלג בכל שנה- חב' פעילות בלבד</t>
  </si>
  <si>
    <t>סה"כ מיזמים חדשים</t>
  </si>
  <si>
    <t>סה"כ כושר ייצור- כולל מיזמים חדשים</t>
  </si>
  <si>
    <t>חומרים</t>
  </si>
  <si>
    <t>שכר עבודה</t>
  </si>
  <si>
    <t>הוצאות ייצור אחרות</t>
  </si>
  <si>
    <t>הוצאות שינוע ונמל</t>
  </si>
  <si>
    <t>קיטון במלאי תוצרת גמורה</t>
  </si>
  <si>
    <t>הוצאות מכירה, שינוע ושיווק</t>
  </si>
  <si>
    <t>הוצאות מחקר ופיתוח</t>
  </si>
  <si>
    <t>מ' ₪</t>
  </si>
  <si>
    <t>ביאור עלות מכר והנהלה וכלליות במאוחד 2004-2012</t>
  </si>
  <si>
    <t>היצע בפועל</t>
  </si>
  <si>
    <t>K+S Legacy Canada</t>
  </si>
  <si>
    <t xml:space="preserve">העלאת תמלוגים בגין כמות מיוצרת בישראל ל- 15% על כלל הכמות שקולה </t>
  </si>
  <si>
    <t>להגדלת חיוב המדינה ביחס לרווח לפני מס ל- 60%.</t>
  </si>
  <si>
    <t>לעומת 41% כיום.</t>
  </si>
  <si>
    <t>מתבטא בגידול בחיוב ב- 87 מיל' $.</t>
  </si>
  <si>
    <t>Q2-13A</t>
  </si>
  <si>
    <t>Q3-13A</t>
  </si>
  <si>
    <t>תמלוגים - הוצאה מוכרת לצרכי מס</t>
  </si>
  <si>
    <t>עלות לטון (לפני תמלוגים)</t>
  </si>
  <si>
    <t>כלכלי EV/EBITDA</t>
  </si>
  <si>
    <t xml:space="preserve">  P/E כלכלי</t>
  </si>
  <si>
    <r>
      <t xml:space="preserve">בשורה התחתונה: שיעור ה- </t>
    </r>
    <r>
      <rPr>
        <sz val="11"/>
        <rFont val="Calibri"/>
        <family val="2"/>
      </rPr>
      <t>Government Take</t>
    </r>
    <r>
      <rPr>
        <sz val="11"/>
        <rFont val="Arial"/>
        <family val="2"/>
      </rPr>
      <t xml:space="preserve"> בישראל עומד כיום על 39% (מתוך הרווח לפני מס) ועתיד לעלות ל- 56% בעוד מספר שנים.</t>
    </r>
  </si>
  <si>
    <t>כמות מיוצרת בישראל</t>
  </si>
  <si>
    <t>מחיר אשלג משוקלל</t>
  </si>
  <si>
    <t>נוכחי</t>
  </si>
  <si>
    <t>מתווה מוצע</t>
  </si>
  <si>
    <t>השוואת תמלוגי אשלג קיימים ולפי מתווה מוצע</t>
  </si>
  <si>
    <t>תחשיב Government Take צפוי ב- 2017</t>
  </si>
  <si>
    <t>סך חיובי המדינה ביחס לרווח המוערך לפני מס (Government Take)</t>
  </si>
  <si>
    <t>Q4-13A</t>
  </si>
  <si>
    <t>2013A</t>
  </si>
  <si>
    <t>Q1-14A</t>
  </si>
  <si>
    <t>Q2-14A</t>
  </si>
  <si>
    <t>הממוצעת בתקופה זו.</t>
  </si>
  <si>
    <t>כמות גשמים נמוכה בעונת המונסונים עלולה לפגוע בצריכת הדשנים של החקלאים.</t>
  </si>
  <si>
    <t>תמחור ביחס למתחרות</t>
  </si>
  <si>
    <t>משלוחי אשלג בעולם (מ' טון)</t>
  </si>
  <si>
    <t>על מה מתבססת הנחת קצב גידול?</t>
  </si>
  <si>
    <t>א. שיעור גידול שנתי ממוצע בין השנים 1998-2014 (לפי הגרף של Fertecon)</t>
  </si>
  <si>
    <t>ב. הגידול הטבעי באוכלוסייה, ותהליך העיור, הגורמים לצמצום בקרקע ראויה לעיבוד חקלאי לנפש, צפויים לגרום לגידול בביקוש לדשנים לאורך זמן</t>
  </si>
  <si>
    <t>ג. השינוי בהרכב צריכת המזון: הואיל וצריכת הדשנים ליחידת תזונה של בשר גבוהה יותר מזו של יחידת תזונה מן הצומח, גדלה צריכת הדשנים לאורך זמן</t>
  </si>
  <si>
    <t>ד. מחירי האנרגיה הגבוהים והשפעות אקולוגיות של שימוש בדלקים מסוימים, מגבירים כיום את השימוש בדלקים המיוצרים מגידולים חקלאיים.</t>
  </si>
  <si>
    <t xml:space="preserve">    מאידך, בעקבות החלטת הסוכנות להגנת הסביבה האמריקאית שלא להעלות את אחוז האתנול בבנזין מ- 10% ל- 15% אין צפי לצמיחה בביקוש לתירס מצד תעשיות האתנול</t>
  </si>
  <si>
    <t>כמויות אשלג נמכרות כיל 
(מ' טון)</t>
  </si>
  <si>
    <t>שיעור צמיחה שנתי במכירות כיל 2003-2014</t>
  </si>
  <si>
    <t>הנחת קצב גידול עולמי בביקוש</t>
  </si>
  <si>
    <t xml:space="preserve">    ככל שהשטח החקלאי הזמין לעיבוד הולך וקטן, ואוכלוסיית העולם גדלה, יש צורך בייצור כמות גדולה יותר של מזון על שטח קטן יותר.</t>
  </si>
  <si>
    <t>מנגד,</t>
  </si>
  <si>
    <t>א. שנת 2014 מהווה שנת בסיס טובה יחסית (קצב משלוחים של 57-58 מ' טון) והצמיחה משנה זו עשויה להיות נמוכה יותר.</t>
  </si>
  <si>
    <t>ב. מחירי הסחורות ירדו בחדות בחודשים האחרונים וברמות מחיר אלה התמריץ לחקלאים לרכוש דשנים הולך ויורד.</t>
  </si>
  <si>
    <t>ג. הטווח הקצר נראה בכל מקרה טוב בשווקי היעד המרגזיים של החברה (סין, ברזיל, הודו).</t>
  </si>
  <si>
    <t>ד. ממוצע המכירות של החברה בשנים האחרונות (2003-2013) עמד על 4.58 מיל' טון.</t>
  </si>
  <si>
    <t>שיעור צמיחה שנתי צפוי במכירו כמויות כיל מ- 2014.</t>
  </si>
  <si>
    <t xml:space="preserve">    אם ננרמל את שנת 2011 (שביתה במפעלי ים המלח ב- Q1-11), ונתעלם מהשנים 2008-2009 החריגות, ממוצע המכירות עמד על 4.86 מיל' טון.</t>
  </si>
  <si>
    <t>ה. רכישת Alana Potash שמאפשרת ייצור של 1 מיל' טון החל משנת 2017 ומכירה ללקוחות חדשים פוטנציאליים באפריקה.</t>
  </si>
  <si>
    <t>מחיר מכירה ממוצע שנתי</t>
  </si>
  <si>
    <t>Q3-14E</t>
  </si>
  <si>
    <t>Q4-14E</t>
  </si>
  <si>
    <t>מחיר מכירה - אשלג כיל</t>
  </si>
  <si>
    <t>כמויות מכירה - אשלג כיל:</t>
  </si>
  <si>
    <t>רווח תפעולי - אשלג - כיל:</t>
  </si>
  <si>
    <t>מכירות לחיצוניים (מיל' $)</t>
  </si>
  <si>
    <t>מחיר לחיצוניים ($)</t>
  </si>
  <si>
    <t>Q4-13</t>
  </si>
  <si>
    <t>התייעלות</t>
  </si>
  <si>
    <t>תמלוגים מוערכים בגין מגזר אשלג בישראל</t>
  </si>
  <si>
    <r>
      <t>Ñ</t>
    </r>
    <r>
      <rPr>
        <sz val="7"/>
        <color rgb="FF222222"/>
        <rFont val="Times New Roman"/>
        <family val="1"/>
      </rPr>
      <t>       </t>
    </r>
    <r>
      <rPr>
        <b/>
        <sz val="10"/>
        <color rgb="FF222222"/>
        <rFont val="Arial"/>
        <family val="2"/>
      </rPr>
      <t>שינוי אופן חישוב התמלוג:</t>
    </r>
  </si>
  <si>
    <t>ראשית מצוין כי שיעור התמלוגים צפוי לרדת.</t>
  </si>
  <si>
    <t>ההסכם הקיים התייחס לשיעור של 5% על כמות מיוצרת של עד 1.5 מיל' טון בישראל ו- 10% על יתרת הכמות המיוצרת (הכמות המיוצרת בישראל מוערכת ב- 3.5-4 מיל' טון, כך ששיעור התמלוגים המשוקלל עומד על כ- 8%).</t>
  </si>
  <si>
    <t>שיעור התמלוגים יופחת ל- 5% מסכום המכירה של כל הכמות.</t>
  </si>
  <si>
    <t xml:space="preserve">אופן חישוב התמלוגים יהיה כזה שלא יותיר הכרה בחלק מהוצאות, כפי שמחושב היום (חוק זיכיון ים המלח מתיר הפחתה ממחיר המכירה של הוצאות נאותות על אריזה, עמלת מכירות וביטוח והפחתה </t>
  </si>
  <si>
    <t>נוספת של 10% מהסכום לאחר הפחתה).</t>
  </si>
  <si>
    <t>אם נכמת את זה, במצב הנוכחי תשלום התמלוגים לפי 96 מיל' $. במצב המוצע היקף תמלוגים בסך 67 מיל' $. היינו, מדובר בחסכון צפוי של כ- 29.6 מיל' $.</t>
  </si>
  <si>
    <r>
      <t>Ñ</t>
    </r>
    <r>
      <rPr>
        <sz val="7"/>
        <color rgb="FF222222"/>
        <rFont val="Times New Roman"/>
        <family val="1"/>
      </rPr>
      <t>       </t>
    </r>
    <r>
      <rPr>
        <b/>
        <sz val="10"/>
        <color rgb="FF222222"/>
        <rFont val="Arial"/>
        <family val="2"/>
      </rPr>
      <t>שיעור ה-GT יהיה בטווח של 46%-57%.</t>
    </r>
  </si>
  <si>
    <t> מה שיעור ה- Government Take החזוי ב- 2017 ללא המתווה המוצע? שיעור ה- Government Take צפוי לעמוד על 33%.</t>
  </si>
  <si>
    <t>שיעור זה מתבסס על הנחה בדבר שיעור רווח לפני מס בישראל של 37% (מחיר מכירה של 350 $ לטון בניכוי עלות משוקללת של 222 $ לטון בישראל, כפול הכמות בישראל).</t>
  </si>
  <si>
    <t>כמו-כן, מתבסס התחשיב על הנחה של שיעור מס הכנסה אפקטיבי של 21% (עם ביטול ההטבות לפי החוק לעידוד השקעות הון).</t>
  </si>
  <si>
    <t>מה המשמעות של העלאת ה- GT לטווח האמור?</t>
  </si>
  <si>
    <r>
      <t>Ñ</t>
    </r>
    <r>
      <rPr>
        <sz val="7"/>
        <color rgb="FF222222"/>
        <rFont val="Times New Roman"/>
        <family val="1"/>
      </rPr>
      <t>       </t>
    </r>
    <r>
      <rPr>
        <b/>
        <sz val="10"/>
        <color rgb="FF222222"/>
        <rFont val="Arial"/>
        <family val="2"/>
      </rPr>
      <t>שיעור מס רווחי יתר של 42%, מעבר לתשואה של 11% על הנכסים:</t>
    </r>
  </si>
  <si>
    <t>נתון עמום, שגם החברה אינה מספקת בגינו נתונים. מדובר על תחשיב של העלות המופחתת של מגזר האשלג בלבד, וכל רווח מעל 11% שימוסה בשיעור מס שונה.</t>
  </si>
  <si>
    <t>אין לי כלים להעריך עד כמה הסעיף משמעותי.</t>
  </si>
  <si>
    <r>
      <t>Ñ</t>
    </r>
    <r>
      <rPr>
        <sz val="7"/>
        <color rgb="FF222222"/>
        <rFont val="Times New Roman"/>
        <family val="1"/>
      </rPr>
      <t>       </t>
    </r>
    <r>
      <rPr>
        <b/>
        <sz val="10"/>
        <color rgb="FF222222"/>
        <rFont val="Arial"/>
        <family val="2"/>
      </rPr>
      <t>החלת המסקנות החל מ-2017 ואילך.</t>
    </r>
  </si>
  <si>
    <t>הצפי במקור, היה להחלת המסקנות מתחילת 2015. יש כאן חסכון של שנתיים לעומת המצב ההתחלתי.</t>
  </si>
  <si>
    <r>
      <t>Ñ</t>
    </r>
    <r>
      <rPr>
        <sz val="7"/>
        <color rgb="FF222222"/>
        <rFont val="Times New Roman"/>
        <family val="1"/>
      </rPr>
      <t>       </t>
    </r>
    <r>
      <rPr>
        <b/>
        <sz val="10"/>
        <color rgb="FF222222"/>
        <rFont val="Arial"/>
        <family val="2"/>
      </rPr>
      <t>בוררות נוכחית מול המדינה על סכום תמלוגים ששולמו בחסר בסך 290 מיל' $:</t>
    </r>
  </si>
  <si>
    <t>הוועדה המליצה להתמקד בפעילות הפקת המשאבים ולא בפעילות מוצרי ההמשך, כך שדבר זה מחזק את הצפי שכיל לא תאלץ לשלם את הסכום בגינו מתנהלת הבוררות.</t>
  </si>
  <si>
    <t>בפועל ההרעה אינה דרמטית, כ- 3% משווי החברה.</t>
  </si>
  <si>
    <t xml:space="preserve">ההמלצות מעט רעות יותר לחברה לעומת מה שצפיתי. </t>
  </si>
  <si>
    <t>הרעה של 40 מיל' $ ביחס למצב שצפיתי (פגיעה בשווי של 550-600 מיל' $), ומנגד חסכון של 183 מיל' $ (שנתיים של 2015-2016), קצת פחות מהוון להיום.</t>
  </si>
  <si>
    <t>הרעה של 60-112 מיל' $ (46%-57%) לתמלוגים הקיימים היום, ובתוחלת 87 מיל' $.</t>
  </si>
  <si>
    <t>במודל, הנחתי סך תמלוגים של 53 מיל' $ משנת 2015 ואילך. בפועל, יש הרעה נטו של 92מיל' $, (87.2-29.6+35) רק שהיא תוחל החל משנת 2017 ולא 2015 (לטובת החברה).</t>
  </si>
  <si>
    <t>EBITDA 12ME</t>
  </si>
  <si>
    <t>EV נגזר</t>
  </si>
  <si>
    <t>EV שוק</t>
  </si>
  <si>
    <t>EBITDA H1-15</t>
  </si>
  <si>
    <t>EBITDA H2-14</t>
  </si>
  <si>
    <t>שווי שוק נגזר</t>
  </si>
  <si>
    <t>שווי מנייה נגזר</t>
  </si>
  <si>
    <t>EV/
EBITDA שוק</t>
  </si>
  <si>
    <t>EV/
EBITDA רצוי</t>
  </si>
  <si>
    <t>תוספת פרמית סיכון</t>
  </si>
  <si>
    <t>Q3-14A</t>
  </si>
  <si>
    <t>2014A</t>
  </si>
  <si>
    <t>Q4-14A</t>
  </si>
  <si>
    <t>Q1-15A</t>
  </si>
  <si>
    <t>Q2-15A</t>
  </si>
  <si>
    <t>Q3-15A</t>
  </si>
  <si>
    <t>Q4-15A</t>
  </si>
  <si>
    <t>2015A</t>
  </si>
  <si>
    <t>רווח תפעולי מתואם</t>
  </si>
  <si>
    <t>מגזר האשלג - נתונים השוואתיים</t>
  </si>
  <si>
    <t>y/y</t>
  </si>
  <si>
    <t>חוב פיננסי נטו</t>
  </si>
  <si>
    <t>FFO</t>
  </si>
  <si>
    <t>כמות נמכרת</t>
  </si>
  <si>
    <t>עלויות משתנות אשלג</t>
  </si>
  <si>
    <t>עלויות קבועות אשלג</t>
  </si>
  <si>
    <t>מזומן</t>
  </si>
  <si>
    <t>מס תזרימי</t>
  </si>
  <si>
    <t>עלות מכר לאחר התייעלות</t>
  </si>
  <si>
    <t>כלל 
החברה</t>
  </si>
  <si>
    <t>גידול בכמויות נמכרות</t>
  </si>
  <si>
    <t>התייעלות מגזרית</t>
  </si>
  <si>
    <t>גידול בעלות מכר</t>
  </si>
  <si>
    <t>גידול בכמות נמכרת (א' טון)</t>
  </si>
  <si>
    <t>מכירות (מ' $)</t>
  </si>
  <si>
    <t>עלויות משתנות לפני ואחרי</t>
  </si>
  <si>
    <t>עלויות קבועות לפני ואחרי</t>
  </si>
  <si>
    <t>השפעה על עלות המכר נטו:</t>
  </si>
  <si>
    <t>השפעת התייעלות וגידול בכמויות על עלות המכר מגזר האשלג (ורווח תפעולי)</t>
  </si>
  <si>
    <t>מרווח תפעולי פוספט</t>
  </si>
  <si>
    <t>מרווח תפעולי מוצרים תעשייתיים</t>
  </si>
  <si>
    <t>Q1-18</t>
  </si>
  <si>
    <t>Q2-18</t>
  </si>
  <si>
    <t>Q3-18</t>
  </si>
  <si>
    <t>2016A</t>
  </si>
  <si>
    <t>2017A</t>
  </si>
  <si>
    <t>2018A</t>
  </si>
  <si>
    <t>2019A</t>
  </si>
  <si>
    <t>2022E</t>
  </si>
  <si>
    <t>2023E</t>
  </si>
  <si>
    <t>2024E</t>
  </si>
  <si>
    <t>2025E</t>
  </si>
  <si>
    <t>2026E</t>
  </si>
  <si>
    <t>2027E</t>
  </si>
  <si>
    <t>Nutrien (Canpotex)</t>
  </si>
  <si>
    <t>Mosaic (Canpotex)</t>
  </si>
  <si>
    <t>Laos</t>
  </si>
  <si>
    <t>Compass</t>
  </si>
  <si>
    <t>BHP Jansen</t>
  </si>
  <si>
    <t>Eurochem</t>
  </si>
  <si>
    <t>Slavkaliy (Belarus)</t>
  </si>
  <si>
    <t>Garlyk (Turkmenistan)</t>
  </si>
  <si>
    <t>היצע צפוי בפועל</t>
  </si>
  <si>
    <t>סה"כ כושר ייצור כולל 80% מהמיזמים החדשים</t>
  </si>
  <si>
    <t>מפת היצע מול ביקוש שוק האשלג העולמי</t>
  </si>
  <si>
    <t>כושר ייצור תיאורטי חברות פעילות - כולל הרחבות (Brownfields):</t>
  </si>
  <si>
    <t>כושר ייצור תיאורטי - מיזמים חדשים (Greenfields):</t>
  </si>
  <si>
    <t>רוה"ס</t>
  </si>
  <si>
    <t>FY 2019</t>
  </si>
  <si>
    <t>FY 2018</t>
  </si>
  <si>
    <t>FY 2017</t>
  </si>
  <si>
    <t>FY 2016</t>
  </si>
  <si>
    <t>FY 2015</t>
  </si>
  <si>
    <t>FY 2014</t>
  </si>
  <si>
    <t>Q2 2020</t>
  </si>
  <si>
    <t>Q1 2020</t>
  </si>
  <si>
    <t>Q4 2019</t>
  </si>
  <si>
    <t>Q3 2019</t>
  </si>
  <si>
    <t>Q2 2019</t>
  </si>
  <si>
    <t>Q1 2019</t>
  </si>
  <si>
    <t>Q4 2018</t>
  </si>
  <si>
    <t>Q3 2018</t>
  </si>
  <si>
    <t>Q2 2018</t>
  </si>
  <si>
    <t>Q1 2018</t>
  </si>
  <si>
    <t>הכנסות מביצוע עבודות, ממכירות וממתן שירותים</t>
  </si>
  <si>
    <t>עלות העבודות השירותים ומתן המכירות, העבודות</t>
  </si>
  <si>
    <t>הוצאות מכירה ושיווק</t>
  </si>
  <si>
    <t>הוצאות הנהלה וכלליות ואחרות</t>
  </si>
  <si>
    <t>רווח תפעולי לפני הוצאות אחרות</t>
  </si>
  <si>
    <t xml:space="preserve">הוצאות מימון </t>
  </si>
  <si>
    <t>הכנסות מימון</t>
  </si>
  <si>
    <t>הוצאות הכנסות מימון, נטו</t>
  </si>
  <si>
    <t>רווח לפני מיסים</t>
  </si>
  <si>
    <t>מיסים על הכנסה</t>
  </si>
  <si>
    <t>רווח נקי המיוחס לבעלי המניות</t>
  </si>
  <si>
    <t>רווח נקי המיוחס לזכויות שאינם מקנות שליטה</t>
  </si>
  <si>
    <t>צמיחה בהכנסות</t>
  </si>
  <si>
    <t>שיעור מסך הכנסות</t>
  </si>
  <si>
    <t>תזרים מזומנים</t>
  </si>
  <si>
    <t>תזרים מזומנים מפעילות שוטפת לפני תנועות בהון חוזר</t>
  </si>
  <si>
    <t>שינויים בסעיפי רכוש והתחייבויות תפעוליים</t>
  </si>
  <si>
    <t>תנועה בצי כלי הרכב של החברה</t>
  </si>
  <si>
    <t>תזרים מזומנים מפעילות שוטפת</t>
  </si>
  <si>
    <t>מזומנים נטו שנבעו מפעילות השקעה</t>
  </si>
  <si>
    <t>מזומנים שנבעו מפעילות מימון לרבות דיבידנד</t>
  </si>
  <si>
    <t>מזומנים יתרת פתיחה</t>
  </si>
  <si>
    <t>עליה (ירידה) ביתרות המזומנים</t>
  </si>
  <si>
    <t>הפרשי שער</t>
  </si>
  <si>
    <t>מזומנים יתרת סגירה</t>
  </si>
  <si>
    <t>מידע נוסף:</t>
  </si>
  <si>
    <t>מיסי הכנסה ששולמו</t>
  </si>
  <si>
    <t>מאזן</t>
  </si>
  <si>
    <t>מזומנים ושווי מזומנים</t>
  </si>
  <si>
    <t>נכסים מוחזקים למכירה</t>
  </si>
  <si>
    <t>סה"כ נכסים שוטפים</t>
  </si>
  <si>
    <t>מיסים נדחים</t>
  </si>
  <si>
    <t>סה"כ נכסים לא שוטפים</t>
  </si>
  <si>
    <t>סה"כ נכסים</t>
  </si>
  <si>
    <t>אשראי מתאגידים בנקאיים וחלויות שוטפות של הלוואות לזמן ארוך</t>
  </si>
  <si>
    <t>סה"כ התחייבויות שוטפות</t>
  </si>
  <si>
    <t>אגרות חוב</t>
  </si>
  <si>
    <t>התחייבות בשל הטבות לעובדים, נטו</t>
  </si>
  <si>
    <t>סה"כ התחייבויות לא שוטפות</t>
  </si>
  <si>
    <t>הון מניות</t>
  </si>
  <si>
    <t>זכויות שאינם מקנות שליטה</t>
  </si>
  <si>
    <t>סה"כ התחייבויות והון</t>
  </si>
  <si>
    <t>יחס הון עצמי לסך מאזן</t>
  </si>
  <si>
    <t>חוב נטו ל CAP</t>
  </si>
  <si>
    <t>סה"כ אשראי לזמן קצר ולחלויות שוטפות</t>
  </si>
  <si>
    <t>סה"כ חוב פיננסי ברוטו</t>
  </si>
  <si>
    <t>אשראי מבנקים</t>
  </si>
  <si>
    <t>ביאורים</t>
  </si>
  <si>
    <t>עלות העבודות והמכירות</t>
  </si>
  <si>
    <t>חומרי גלם ועבודות חוץ</t>
  </si>
  <si>
    <t xml:space="preserve">שכר עבודה, משכורות ונלוות </t>
  </si>
  <si>
    <t>רכב</t>
  </si>
  <si>
    <t>הוצאות ייצור</t>
  </si>
  <si>
    <t>סה"כ הכנסות</t>
  </si>
  <si>
    <t>קניות תוצרת גמורה</t>
  </si>
  <si>
    <t>שיעור מסך מכירות - עלות העבודות והמכירות</t>
  </si>
  <si>
    <t>פרוייקטים למבנים ותשתיות</t>
  </si>
  <si>
    <t>בקרה ואוטומציה</t>
  </si>
  <si>
    <t>סחר</t>
  </si>
  <si>
    <t>תקשורת</t>
  </si>
  <si>
    <t>בין מגזרי</t>
  </si>
  <si>
    <t>לקוחות והכנסות לקבל מחוזי הקמה</t>
  </si>
  <si>
    <t>חובות פתוחים</t>
  </si>
  <si>
    <t>המחאות לגבייה</t>
  </si>
  <si>
    <t>הכנסות לקבל</t>
  </si>
  <si>
    <t>חלויות שוטפות של חייבים בגין חכירה מימונית</t>
  </si>
  <si>
    <t xml:space="preserve">סה"כ </t>
  </si>
  <si>
    <t>בניכוי הפרשה לחומס</t>
  </si>
  <si>
    <t>התחייבויות לספקים</t>
  </si>
  <si>
    <t>שטרות לפירעון</t>
  </si>
  <si>
    <t>הוצאות לשלם</t>
  </si>
  <si>
    <t>התחייבות לעובדים ומוסדות בגים שכר ומשכורות</t>
  </si>
  <si>
    <t>התחייבות בגין הסכם קיבוצי בשותפות מאוחדת</t>
  </si>
  <si>
    <t>הפרשה לחופשה והבראה</t>
  </si>
  <si>
    <t>מוסדות</t>
  </si>
  <si>
    <t>חברות ושותפויות בליטה משותפת</t>
  </si>
  <si>
    <t>עודף הפסדים על השקעות השותפות המטופלת לפי שיטת השווי המאזני</t>
  </si>
  <si>
    <t>הפרשה לתביעות ותלויות</t>
  </si>
  <si>
    <t>נגזרים פיננסים</t>
  </si>
  <si>
    <t>התחייבויות תמורה מותנית</t>
  </si>
  <si>
    <t>התחייבויות בגין רכישה</t>
  </si>
  <si>
    <t>מקדמות מלקוחות</t>
  </si>
  <si>
    <t>הכנסות מראש</t>
  </si>
  <si>
    <t>הכנסות (הוצאות) אחרות נטו</t>
  </si>
  <si>
    <t>איי.סי.אל (כימיקלים לישראל)</t>
  </si>
  <si>
    <t>(ביטול) הפסד מירידת ערך רכוש קבוע</t>
  </si>
  <si>
    <t>חלק ברווחי חברות מוחזקות (רווחי אקוויטי)</t>
  </si>
  <si>
    <t>רווח ממכירת עסקים</t>
  </si>
  <si>
    <t>רווח הון</t>
  </si>
  <si>
    <t>תשלום מבוסס מניות</t>
  </si>
  <si>
    <t>הוצאות מיסים נדחים</t>
  </si>
  <si>
    <t>שינוי בחייבים אחרים</t>
  </si>
  <si>
    <t>שינוי בזכאים אחרים</t>
  </si>
  <si>
    <t>שינוי בהפרשות לעובדים</t>
  </si>
  <si>
    <t>השקעה בפקדונות נטו</t>
  </si>
  <si>
    <t>רכישת רכוש קבוע ונכסים בלתי מוחשיים</t>
  </si>
  <si>
    <t>תמורה ממכירת עסקים נטו</t>
  </si>
  <si>
    <t>תמורה ממכירת השקעה בחברה מוחזקת לפי אקוויטי</t>
  </si>
  <si>
    <t>דיבידנדים שהתקבלו מחברות מוחזקות לפי אקוויטי</t>
  </si>
  <si>
    <t>דיבידנדים ששולמו לבעלי מניות החברה</t>
  </si>
  <si>
    <t>קבלת הלוואות לז"א</t>
  </si>
  <si>
    <t>פירעון הלוואות לז"א</t>
  </si>
  <si>
    <t>אשראי לז"ק מבנקים ואחרים, נטו</t>
  </si>
  <si>
    <t>מזומנים שנכללו במסגרת נכסים המוחזקים למכירה</t>
  </si>
  <si>
    <t>השקעות ופקדונות לז"ק</t>
  </si>
  <si>
    <t>חייבים אחרים</t>
  </si>
  <si>
    <t>השקעות הנמדדות בשווי הוגן דרך רווח כולל אחר</t>
  </si>
  <si>
    <t>נכסי מיסים נדחים</t>
  </si>
  <si>
    <t>רכוש קבוע</t>
  </si>
  <si>
    <t>נכסים אחרים שאינם שוטפים</t>
  </si>
  <si>
    <t>התחייבויות שוטפות אחרות</t>
  </si>
  <si>
    <t>אג"ח והלוואות לז"א</t>
  </si>
  <si>
    <t>התחייבויות אחרות שאינן שוטפות</t>
  </si>
  <si>
    <t>סה"כ אשראי לז"א</t>
  </si>
  <si>
    <t>נכסים פיננסיים זמינים למכירה</t>
  </si>
  <si>
    <t>התחייבויות המוחזקות למכירה</t>
  </si>
  <si>
    <t>הכנסות מחצוניים לפי מגזרים</t>
  </si>
  <si>
    <t>התאמות</t>
  </si>
  <si>
    <t>צמיחה שנתית</t>
  </si>
  <si>
    <t>רווח (הפסד) מגזרי</t>
  </si>
  <si>
    <t>סה"כ רווח מגזרי כולל חלק החברה ברווח של שותפויות בשליטה משותפת</t>
  </si>
  <si>
    <t>רווח תפעולי לפני אחרות</t>
  </si>
  <si>
    <t>פער מול תזרים</t>
  </si>
  <si>
    <t>פתרונות פוספט</t>
  </si>
  <si>
    <t>פתרונות חדשניים לחקלאות</t>
  </si>
  <si>
    <t>פעילויות אחרות</t>
  </si>
  <si>
    <t>הוצאות לא משוייכות</t>
  </si>
  <si>
    <t>Q2-20A</t>
  </si>
  <si>
    <t>Q1-20A</t>
  </si>
  <si>
    <t>שיעור מגזרי מהרווח התפעולי 2013</t>
  </si>
  <si>
    <t>שיעור מגזרי מהרווח התפעולי 2019</t>
  </si>
  <si>
    <t>רווח מגזרי</t>
  </si>
  <si>
    <t>q/q</t>
  </si>
  <si>
    <t>תוצאות שנתיות מגזריות - מגזר הפוספט</t>
  </si>
  <si>
    <t>תוצאות רבעוניות מגזריות - מגזר הפוספט</t>
  </si>
  <si>
    <t>מעכבי בעירה</t>
  </si>
  <si>
    <t>שימושים תעשייתיים</t>
  </si>
  <si>
    <t>תמיסות צלולות לקידוחי נפט</t>
  </si>
  <si>
    <t>שימושים עיקריים לברום</t>
  </si>
  <si>
    <t>תעשיית הברום ריכוזית מאוד</t>
  </si>
  <si>
    <t>Albemrale</t>
  </si>
  <si>
    <t>יצרניים סיניים</t>
  </si>
  <si>
    <t>Lanxess</t>
  </si>
  <si>
    <t>תוצאות שנתיות מגזריות - מגזר מוצרים תעשייתיים</t>
  </si>
  <si>
    <t>תוצאות רבעוניות מגזריות - מגזר מוצרים תעשייתיים</t>
  </si>
  <si>
    <t>תוצאות שנתיות מגזריות - מגזר פתרונות לחקלאות</t>
  </si>
  <si>
    <t>תוצאות רבעוניות מגזריות - מגזר פתרונות לחקלאות</t>
  </si>
  <si>
    <r>
      <t xml:space="preserve">מכירות חצוניים אשלג </t>
    </r>
    <r>
      <rPr>
        <b/>
        <sz val="9"/>
        <rFont val="Arial"/>
        <family val="2"/>
      </rPr>
      <t>(א' טון)</t>
    </r>
  </si>
  <si>
    <t>פתרונות לחקלאות</t>
  </si>
  <si>
    <r>
      <t xml:space="preserve">מכירות אשלג </t>
    </r>
    <r>
      <rPr>
        <b/>
        <sz val="9"/>
        <rFont val="Arial"/>
        <family val="2"/>
      </rPr>
      <t>(מ' $)</t>
    </r>
  </si>
  <si>
    <t>מרווח תפעולי פתרונות לחקלאות</t>
  </si>
  <si>
    <t xml:space="preserve">תזרים תפעולי נקי </t>
  </si>
  <si>
    <t>פרמטר</t>
  </si>
  <si>
    <t>כמות מניות בדילול מלא</t>
  </si>
  <si>
    <t>ניתוח רגישות לשיעור היוון ולשיעור צמיחה פרמננטית</t>
  </si>
  <si>
    <t>תזרים מהוון</t>
  </si>
  <si>
    <t>התאמות תזרימיות לרווח והפסד</t>
  </si>
  <si>
    <t>התאמות תזרימיות למס</t>
  </si>
  <si>
    <t>מימון תזרימי</t>
  </si>
  <si>
    <t>הוצאות מימון רוה"ס, נטו</t>
  </si>
  <si>
    <t>הוצאות מס רוה"ס</t>
  </si>
  <si>
    <t>הוצאות הכנסות אחרות</t>
  </si>
  <si>
    <t>התאמות תזרימיות ל EBITDA לפני אחרות</t>
  </si>
  <si>
    <t>הוצאות הכנסות אחרות רוה"ס</t>
  </si>
  <si>
    <t>תנועות הון חוזר</t>
  </si>
  <si>
    <t>CAPEX</t>
  </si>
  <si>
    <t>תזרים פעילות אחר</t>
  </si>
  <si>
    <t>תנועה במזומנים</t>
  </si>
  <si>
    <t>Q3 2020</t>
  </si>
  <si>
    <t>Q32020</t>
  </si>
  <si>
    <t>Q4 2020</t>
  </si>
  <si>
    <t>FY 2020</t>
  </si>
  <si>
    <t>Q1 2021</t>
  </si>
  <si>
    <t>שינוי בהפרשות</t>
  </si>
  <si>
    <t>מס הכנסה שהתקבל (שולם), נטו</t>
  </si>
  <si>
    <t>צירופי עסקים</t>
  </si>
  <si>
    <t>ריבית ששולמה</t>
  </si>
  <si>
    <t>Q2 2021</t>
  </si>
  <si>
    <t>Q3 2021</t>
  </si>
  <si>
    <t>FY 2021</t>
  </si>
  <si>
    <t>Q4 2021</t>
  </si>
  <si>
    <t>חלק ברווחי חברות מוחזקות</t>
  </si>
  <si>
    <t>התאמות תזרימיות לחברות מוחזקות</t>
  </si>
  <si>
    <t>תקבולים מחברות בנות</t>
  </si>
  <si>
    <t>תזרים תפעולי</t>
  </si>
  <si>
    <t>התאמות להכנסות/הוצאות אחרות</t>
  </si>
  <si>
    <t>FFO תזרים מזומנים</t>
  </si>
  <si>
    <t>תחשיב FFO</t>
  </si>
  <si>
    <t>רווח תפעולי לפני פחת (EBITDA)</t>
  </si>
  <si>
    <t>Capex לשמירה על הקיים</t>
  </si>
  <si>
    <t>Q42020</t>
  </si>
  <si>
    <t>Q42021</t>
  </si>
  <si>
    <t>Q32021</t>
  </si>
  <si>
    <t>Q22021</t>
  </si>
  <si>
    <t>Q12021</t>
  </si>
  <si>
    <t>השקעה הונית כתוצאה מצירוף עסקיןם</t>
  </si>
  <si>
    <t>שיעור מגזרי מהרווח התפעולי 2021</t>
  </si>
  <si>
    <t>Q12022</t>
  </si>
  <si>
    <t>Q1 2022</t>
  </si>
  <si>
    <t>שיעור מגזרי מהרווח התפעולי Q1-22</t>
  </si>
  <si>
    <t>Q3-20A</t>
  </si>
  <si>
    <t>2020A</t>
  </si>
  <si>
    <t>Q4-20A</t>
  </si>
  <si>
    <t>Q1-21A</t>
  </si>
  <si>
    <t>Q2-21A</t>
  </si>
  <si>
    <t>Q3-21A</t>
  </si>
  <si>
    <t>Q4-21A</t>
  </si>
  <si>
    <t>2021A</t>
  </si>
  <si>
    <t>Q1-22A</t>
  </si>
  <si>
    <t>2028E</t>
  </si>
  <si>
    <t>2029E</t>
  </si>
  <si>
    <t>2030E</t>
  </si>
  <si>
    <t>uralkali/Russia</t>
  </si>
  <si>
    <t>belaruskali/Belarus</t>
  </si>
  <si>
    <t>ICL/Israel</t>
  </si>
  <si>
    <t>APC/Jordan</t>
  </si>
  <si>
    <t>SQM/Chile</t>
  </si>
  <si>
    <t>K+S/Germany</t>
  </si>
  <si>
    <t>quinghai salt lake/China</t>
  </si>
  <si>
    <t>Acron</t>
  </si>
  <si>
    <t>FFO בניכוי Capex</t>
  </si>
  <si>
    <t>שערוך יתרות מוסדות פיננסים והוצאות ריבית נטו</t>
  </si>
  <si>
    <t>אחרים והתאמות</t>
  </si>
  <si>
    <t>תקבולים מבנות</t>
  </si>
  <si>
    <t xml:space="preserve">התאמות תזרימיות ל- EBITDA </t>
  </si>
  <si>
    <t>מיל' ₪</t>
  </si>
  <si>
    <t>שווי  שוק למניה</t>
  </si>
  <si>
    <t>נכסים עודפים</t>
  </si>
  <si>
    <t xml:space="preserve"> שוק EV</t>
  </si>
  <si>
    <t>חוב פיננסי ברוטו</t>
  </si>
  <si>
    <t xml:space="preserve"> כלכלי EV</t>
  </si>
  <si>
    <t xml:space="preserve">FFO </t>
  </si>
  <si>
    <t>תרחיש סופר אופטימי (על גבול הלא ריאלי)</t>
  </si>
  <si>
    <t>2022A</t>
  </si>
  <si>
    <t>Q2 2022</t>
  </si>
  <si>
    <t>Q3 2022</t>
  </si>
  <si>
    <t>Q4 2022</t>
  </si>
  <si>
    <t>FY 2022</t>
  </si>
  <si>
    <t>Q1 2023</t>
  </si>
  <si>
    <t>דיסקאונט</t>
  </si>
  <si>
    <t>הערכת שווי איי.סי.אל</t>
  </si>
  <si>
    <t>Q12023</t>
  </si>
  <si>
    <t>Q1-23A</t>
  </si>
  <si>
    <t>Q2 2023</t>
  </si>
  <si>
    <t>Q3 2023</t>
  </si>
  <si>
    <t>Q22023</t>
  </si>
  <si>
    <t>Q32023</t>
  </si>
  <si>
    <t>205E</t>
  </si>
  <si>
    <t>Q2-23A</t>
  </si>
  <si>
    <t>Q3-23A</t>
  </si>
  <si>
    <t>התאמות והוצאות לא משויכות</t>
  </si>
  <si>
    <t>Q4-23E</t>
  </si>
  <si>
    <t>Mosaic</t>
  </si>
  <si>
    <t>CF</t>
  </si>
  <si>
    <t>K+S</t>
  </si>
  <si>
    <t>NTR</t>
  </si>
  <si>
    <t>ICL</t>
  </si>
  <si>
    <t>חברה לישראל</t>
  </si>
  <si>
    <t>חברה</t>
  </si>
  <si>
    <t>ביצועים ביחס ל- Peer</t>
  </si>
  <si>
    <t>דיב' אחרי תאריך המאזן</t>
  </si>
  <si>
    <t>2023A</t>
  </si>
  <si>
    <t>FY 2023</t>
  </si>
  <si>
    <t>Q4 2023</t>
  </si>
  <si>
    <t>Q1 2024</t>
  </si>
  <si>
    <t>Q42023</t>
  </si>
  <si>
    <t>Q12024</t>
  </si>
  <si>
    <t>Q1-24A</t>
  </si>
  <si>
    <t>Q2 2024</t>
  </si>
  <si>
    <t>Q22024</t>
  </si>
  <si>
    <t>שיעור הרווח התפעולי (מגזרי)</t>
  </si>
  <si>
    <t>Q3 2024</t>
  </si>
  <si>
    <t>Q32024</t>
  </si>
  <si>
    <t>Q2-24A</t>
  </si>
  <si>
    <t>Q3-24A</t>
  </si>
  <si>
    <t>FY 2024</t>
  </si>
  <si>
    <t>Q4 2024</t>
  </si>
  <si>
    <t>Q42024</t>
  </si>
  <si>
    <t>Q4-24A</t>
  </si>
  <si>
    <t>Q4-23A</t>
  </si>
  <si>
    <t>2024A</t>
  </si>
  <si>
    <t>סימול איי.סי.אל</t>
  </si>
  <si>
    <t>סימול $</t>
  </si>
  <si>
    <t>ביקוש - צמיחה של 2.5</t>
  </si>
  <si>
    <t>ביקוש - צמיחה של 3%</t>
  </si>
  <si>
    <t>ניצולת - צמיחה של 2.5%</t>
  </si>
  <si>
    <t>ניצולת - צמיחה של 3%</t>
  </si>
  <si>
    <t>Nutrien Ltd</t>
  </si>
  <si>
    <t>Albemrale Corp</t>
  </si>
  <si>
    <t>CF Industries</t>
  </si>
  <si>
    <t>Shandong Hualu Hengseng</t>
  </si>
  <si>
    <t>Yara International</t>
  </si>
  <si>
    <t>ICL Group</t>
  </si>
  <si>
    <t>MOS</t>
  </si>
  <si>
    <t>ALB</t>
  </si>
  <si>
    <t>SDF GY</t>
  </si>
  <si>
    <t>600426 CH</t>
  </si>
  <si>
    <t>YAE NO</t>
  </si>
  <si>
    <t>MKT Cap</t>
  </si>
  <si>
    <t>Price</t>
  </si>
  <si>
    <t>Co. Name</t>
  </si>
  <si>
    <t>Ticker</t>
  </si>
  <si>
    <t>Div Yield</t>
  </si>
  <si>
    <t>Revenue</t>
  </si>
  <si>
    <t>EBITDA Margin</t>
  </si>
  <si>
    <t>E/V EBITDA</t>
  </si>
  <si>
    <t>7.3x</t>
  </si>
  <si>
    <t>12.1x</t>
  </si>
  <si>
    <t>5.2x</t>
  </si>
  <si>
    <t>7.2x</t>
  </si>
  <si>
    <t>5.8x</t>
  </si>
  <si>
    <t>8.8x</t>
  </si>
  <si>
    <t>4.1x</t>
  </si>
  <si>
    <t>P/E</t>
  </si>
  <si>
    <t>11.8x</t>
  </si>
  <si>
    <t>16.1x</t>
  </si>
  <si>
    <t>9.0x</t>
  </si>
  <si>
    <t>11.1x</t>
  </si>
  <si>
    <t>14.2x</t>
  </si>
  <si>
    <t>12.7x</t>
  </si>
  <si>
    <t>18.1x</t>
  </si>
  <si>
    <t>15.8x</t>
  </si>
  <si>
    <t>Net Debt</t>
  </si>
  <si>
    <t>2.7x</t>
  </si>
  <si>
    <t>1.8x</t>
  </si>
  <si>
    <t>-</t>
  </si>
  <si>
    <t>0.5x</t>
  </si>
  <si>
    <t>0.2x</t>
  </si>
  <si>
    <t>1.4x</t>
  </si>
  <si>
    <t>12.2x</t>
  </si>
  <si>
    <t>Peer Average</t>
  </si>
  <si>
    <t>Peer Median</t>
  </si>
  <si>
    <t>13.5x</t>
  </si>
  <si>
    <t>Peer ICL - Industry Valuation Table</t>
  </si>
  <si>
    <t>Q1 2025</t>
  </si>
  <si>
    <t>Q12025</t>
  </si>
  <si>
    <t>Q1-25A</t>
  </si>
  <si>
    <t>Q2-25A</t>
  </si>
  <si>
    <t>H2-25E</t>
  </si>
  <si>
    <t>מחיר אשלג Q2-25</t>
  </si>
  <si>
    <t>נתח</t>
  </si>
  <si>
    <t>שאר העולם</t>
  </si>
  <si>
    <t>מחיר עד 15/6</t>
  </si>
  <si>
    <t>מחיר 15/6-30/6</t>
  </si>
  <si>
    <t>מחיר משוקלל</t>
  </si>
  <si>
    <t>מחיר אשלג H2-25</t>
  </si>
  <si>
    <t xml:space="preserve">                     שנה
         סעיף</t>
  </si>
  <si>
    <t>Q2-25E</t>
  </si>
  <si>
    <t>מחיר אשלג 2026E</t>
  </si>
  <si>
    <t>מחיר עד 3/26</t>
  </si>
  <si>
    <t>מחיר
 4-12/26</t>
  </si>
  <si>
    <t>מחירי אשלג (מרץ-25)</t>
  </si>
  <si>
    <t>273$ (מיוני-24)</t>
  </si>
  <si>
    <t>281$ (מיוני-24)</t>
  </si>
  <si>
    <t>דרום מזרח אסיה</t>
  </si>
  <si>
    <t>330$</t>
  </si>
  <si>
    <t>חוזה</t>
  </si>
  <si>
    <t>Spot</t>
  </si>
  <si>
    <t>אירופה</t>
  </si>
  <si>
    <t>ארה"ב</t>
  </si>
  <si>
    <t>335$</t>
  </si>
  <si>
    <t>340$</t>
  </si>
  <si>
    <t>349$ (מיוני-24)</t>
  </si>
  <si>
    <t>370$</t>
  </si>
  <si>
    <t>360$</t>
  </si>
  <si>
    <t>365$</t>
  </si>
  <si>
    <t>מחירי אשלג (יוני-25)</t>
  </si>
  <si>
    <t>יום אקס 5/6/2025</t>
  </si>
  <si>
    <t>7.5x</t>
  </si>
  <si>
    <t>5.9x</t>
  </si>
  <si>
    <t>8.9x</t>
  </si>
  <si>
    <t>4.8x</t>
  </si>
  <si>
    <t>5.5x</t>
  </si>
  <si>
    <t>6.7x</t>
  </si>
  <si>
    <t>7.4x</t>
  </si>
  <si>
    <t>11.4x</t>
  </si>
  <si>
    <t>7.0x</t>
  </si>
  <si>
    <t>6.5x</t>
  </si>
  <si>
    <t>11.5x</t>
  </si>
  <si>
    <t>17.5x</t>
  </si>
  <si>
    <t>12.4x</t>
  </si>
  <si>
    <t>8.1x</t>
  </si>
  <si>
    <t>10.7x</t>
  </si>
  <si>
    <t>12.8x</t>
  </si>
  <si>
    <t>ביחס ל- 2023</t>
  </si>
  <si>
    <t>ניתוח רגישות מחיר יעד למחיר אשלג מייצג</t>
  </si>
  <si>
    <t>מחיר יעד</t>
  </si>
  <si>
    <t>11.9x</t>
  </si>
  <si>
    <t>11.7x</t>
  </si>
  <si>
    <t>מרווח מגזרי אשלג</t>
  </si>
  <si>
    <t>מכירות אשלג חיצוניים (א' טון)</t>
  </si>
  <si>
    <t>מכירות אשלג חיצוניים (מ' $)</t>
  </si>
  <si>
    <t>מכירות פוספט חיצוניים (מ' $)</t>
  </si>
  <si>
    <t>מרווח מגזרי פוספט</t>
  </si>
  <si>
    <t>מרווח מגזרי מוצרים תעשייתיים</t>
  </si>
  <si>
    <t>מכירות מוצרים תעשייתיים חיצוניים (מ' $)</t>
  </si>
  <si>
    <t>מכירות פתרונות חדשניים חיצוניים (מ' $)</t>
  </si>
  <si>
    <t>סך הכנסות</t>
  </si>
  <si>
    <t>רווח תפעולי (כולל אחרים והוצ' לא משויכות)</t>
  </si>
  <si>
    <t>תחזית תוצאות איי.סי.אל</t>
  </si>
  <si>
    <t>Q22025</t>
  </si>
  <si>
    <t>Q2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</si>
</sst>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 #,##0;[Red]&quot;₪&quot;\ \-#,##0"/>
    <numFmt numFmtId="43" formatCode="_ * #,##0.00_ ;_ * \-#,##0.00_ ;_ * &quot;-&quot;??_ ;_ @_ "/>
    <numFmt numFmtId="164" formatCode="#,##0_);\(#,##0\);\-\-\-\-"/>
    <numFmt numFmtId="165" formatCode="#,###;\(#,###\);\-\-\-\-"/>
    <numFmt numFmtId="166" formatCode="0.0%"/>
    <numFmt numFmtId="167" formatCode="#,##0.000"/>
    <numFmt numFmtId="168" formatCode="#,##0.0"/>
    <numFmt numFmtId="169" formatCode="&quot;$&quot;#,##0.00"/>
    <numFmt numFmtId="170" formatCode="0.0"/>
    <numFmt numFmtId="171" formatCode="[$-1010000]d/m/yy;@"/>
    <numFmt numFmtId="172" formatCode="0.000"/>
    <numFmt numFmtId="173" formatCode="_ * #,##0_ ;_ * \-#,##0_ ;_ * &quot;-&quot;??_ ;_ @_ "/>
    <numFmt numFmtId="174" formatCode="#,##0;\(#,##0\);&quot;-&quot;"/>
  </numFmts>
  <fonts count="111" x14ac:knownFonts="1">
    <font>
      <sz val="10"/>
      <name val="Arial"/>
      <charset val="177"/>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0"/>
      <name val="Arial"/>
      <family val="2"/>
    </font>
    <font>
      <sz val="1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2"/>
      <name val="Helv"/>
    </font>
    <font>
      <b/>
      <sz val="11"/>
      <color indexed="62"/>
      <name val="Calibri"/>
      <family val="2"/>
    </font>
    <font>
      <b/>
      <sz val="10"/>
      <name val="Helv"/>
    </font>
    <font>
      <sz val="11"/>
      <color indexed="62"/>
      <name val="Calibri"/>
      <family val="2"/>
    </font>
    <font>
      <sz val="11"/>
      <color indexed="52"/>
      <name val="Calibri"/>
      <family val="2"/>
    </font>
    <font>
      <sz val="11"/>
      <color indexed="60"/>
      <name val="Calibri"/>
      <family val="2"/>
    </font>
    <font>
      <sz val="10"/>
      <name val="Arial"/>
      <family val="2"/>
    </font>
    <font>
      <b/>
      <sz val="11"/>
      <color indexed="26"/>
      <name val="Calibri"/>
      <family val="2"/>
    </font>
    <font>
      <b/>
      <sz val="10"/>
      <color indexed="9"/>
      <name val="Arial"/>
      <family val="2"/>
    </font>
    <font>
      <b/>
      <sz val="12"/>
      <color indexed="8"/>
      <name val="Arial"/>
      <family val="2"/>
    </font>
    <font>
      <b/>
      <sz val="9"/>
      <color indexed="8"/>
      <name val="Arial"/>
      <family val="2"/>
    </font>
    <font>
      <b/>
      <sz val="10"/>
      <color indexed="8"/>
      <name val="Arial"/>
      <family val="2"/>
    </font>
    <font>
      <b/>
      <sz val="8"/>
      <color indexed="8"/>
      <name val="Arial"/>
      <family val="2"/>
    </font>
    <font>
      <sz val="8"/>
      <color indexed="8"/>
      <name val="Arial"/>
      <family val="2"/>
    </font>
    <font>
      <sz val="10"/>
      <color indexed="8"/>
      <name val="Arial"/>
      <family val="2"/>
    </font>
    <font>
      <b/>
      <u/>
      <sz val="10"/>
      <color indexed="8"/>
      <name val="Arial"/>
      <family val="2"/>
    </font>
    <font>
      <sz val="10"/>
      <color indexed="56"/>
      <name val="Times New Roman"/>
      <family val="1"/>
    </font>
    <font>
      <sz val="12"/>
      <color indexed="56"/>
      <name val="Times New Roman"/>
      <family val="1"/>
    </font>
    <font>
      <sz val="12"/>
      <color indexed="9"/>
      <name val="Times New Roman"/>
      <family val="1"/>
    </font>
    <font>
      <b/>
      <sz val="10"/>
      <color indexed="39"/>
      <name val="Arial"/>
      <family val="2"/>
    </font>
    <font>
      <b/>
      <sz val="10"/>
      <color indexed="10"/>
      <name val="Arial"/>
      <family val="2"/>
    </font>
    <font>
      <b/>
      <sz val="10"/>
      <color indexed="33"/>
      <name val="Arial"/>
      <family val="2"/>
    </font>
    <font>
      <b/>
      <sz val="18"/>
      <color indexed="62"/>
      <name val="Cambria"/>
      <family val="2"/>
    </font>
    <font>
      <b/>
      <sz val="11"/>
      <color indexed="8"/>
      <name val="Calibri"/>
      <family val="2"/>
    </font>
    <font>
      <sz val="11"/>
      <color indexed="10"/>
      <name val="Calibri"/>
      <family val="2"/>
    </font>
    <font>
      <b/>
      <sz val="11"/>
      <name val="Arial"/>
      <family val="2"/>
    </font>
    <font>
      <sz val="8"/>
      <name val="Arial"/>
      <family val="2"/>
    </font>
    <font>
      <b/>
      <sz val="10"/>
      <name val="Arial"/>
      <family val="2"/>
    </font>
    <font>
      <b/>
      <sz val="9"/>
      <name val="Arial"/>
      <family val="2"/>
    </font>
    <font>
      <b/>
      <sz val="8"/>
      <color indexed="81"/>
      <name val="Tahoma"/>
      <family val="2"/>
    </font>
    <font>
      <sz val="8"/>
      <color indexed="81"/>
      <name val="Tahoma"/>
      <family val="2"/>
    </font>
    <font>
      <sz val="10"/>
      <name val="MS Sans Serif"/>
      <family val="2"/>
      <charset val="177"/>
    </font>
    <font>
      <b/>
      <sz val="10"/>
      <name val="Times New Roman"/>
      <family val="1"/>
    </font>
    <font>
      <b/>
      <vertAlign val="superscript"/>
      <sz val="10"/>
      <name val="Times New Roman"/>
      <family val="1"/>
    </font>
    <font>
      <b/>
      <vertAlign val="subscript"/>
      <sz val="10"/>
      <name val="Times New Roman"/>
      <family val="1"/>
    </font>
    <font>
      <b/>
      <sz val="16"/>
      <name val="Times New Roman"/>
      <family val="1"/>
    </font>
    <font>
      <b/>
      <sz val="16"/>
      <name val="MS Sans Serif"/>
      <family val="2"/>
      <charset val="177"/>
    </font>
    <font>
      <b/>
      <sz val="16"/>
      <color theme="0"/>
      <name val="MS Sans Serif"/>
      <family val="2"/>
      <charset val="177"/>
    </font>
    <font>
      <sz val="10"/>
      <name val="Times New Roman"/>
      <family val="1"/>
    </font>
    <font>
      <b/>
      <sz val="10"/>
      <color rgb="FF00B0F0"/>
      <name val="Times New Roman"/>
      <family val="1"/>
    </font>
    <font>
      <sz val="10"/>
      <color rgb="FF00B0F0"/>
      <name val="Times New Roman"/>
      <family val="1"/>
    </font>
    <font>
      <b/>
      <sz val="12"/>
      <name val="Arial"/>
      <family val="2"/>
    </font>
    <font>
      <b/>
      <sz val="8.5"/>
      <name val="Arial"/>
      <family val="2"/>
    </font>
    <font>
      <b/>
      <sz val="11"/>
      <name val="Calibri"/>
      <family val="2"/>
      <scheme val="minor"/>
    </font>
    <font>
      <sz val="8"/>
      <name val="Arial"/>
      <family val="2"/>
      <charset val="177"/>
    </font>
    <font>
      <sz val="8"/>
      <color indexed="10"/>
      <name val="Arial"/>
      <family val="2"/>
    </font>
    <font>
      <sz val="11"/>
      <color indexed="8"/>
      <name val="Arial"/>
      <family val="2"/>
      <charset val="177"/>
    </font>
    <font>
      <sz val="11"/>
      <color theme="0"/>
      <name val="Arial"/>
      <family val="2"/>
    </font>
    <font>
      <b/>
      <u/>
      <sz val="11"/>
      <name val="Arial"/>
      <family val="2"/>
    </font>
    <font>
      <sz val="10"/>
      <color rgb="FFFFFFFF"/>
      <name val="Arial"/>
      <family val="2"/>
    </font>
    <font>
      <b/>
      <sz val="11"/>
      <color theme="0"/>
      <name val="Arial"/>
      <family val="2"/>
    </font>
    <font>
      <b/>
      <sz val="11"/>
      <color indexed="56"/>
      <name val="Arial"/>
      <family val="2"/>
      <charset val="177"/>
    </font>
    <font>
      <sz val="10"/>
      <color indexed="8"/>
      <name val="Arial"/>
      <family val="2"/>
      <charset val="177"/>
    </font>
    <font>
      <b/>
      <sz val="11"/>
      <color rgb="FFFF0000"/>
      <name val="Arial"/>
      <family val="2"/>
    </font>
    <font>
      <sz val="9"/>
      <color indexed="81"/>
      <name val="Tahoma"/>
      <family val="2"/>
    </font>
    <font>
      <b/>
      <sz val="9"/>
      <color indexed="81"/>
      <name val="Tahoma"/>
      <family val="2"/>
    </font>
    <font>
      <b/>
      <sz val="10"/>
      <color rgb="FF006600"/>
      <name val="Arial"/>
      <family val="2"/>
    </font>
    <font>
      <b/>
      <sz val="10"/>
      <color rgb="FFFF0000"/>
      <name val="Arial"/>
      <family val="2"/>
    </font>
    <font>
      <b/>
      <u/>
      <sz val="10"/>
      <name val="Arial"/>
      <family val="2"/>
    </font>
    <font>
      <sz val="11"/>
      <name val="Calibri"/>
      <family val="2"/>
    </font>
    <font>
      <b/>
      <sz val="11"/>
      <name val="Calibri"/>
      <family val="2"/>
    </font>
    <font>
      <b/>
      <sz val="12"/>
      <color theme="1"/>
      <name val="Calibri"/>
      <family val="2"/>
      <scheme val="minor"/>
    </font>
    <font>
      <sz val="10"/>
      <color rgb="FF222222"/>
      <name val="Symbol"/>
      <family val="1"/>
      <charset val="2"/>
    </font>
    <font>
      <sz val="7"/>
      <color rgb="FF222222"/>
      <name val="Times New Roman"/>
      <family val="1"/>
    </font>
    <font>
      <b/>
      <sz val="10"/>
      <color rgb="FF222222"/>
      <name val="Arial"/>
      <family val="2"/>
    </font>
    <font>
      <sz val="10"/>
      <color rgb="FF222222"/>
      <name val="Arial"/>
      <family val="2"/>
    </font>
    <font>
      <b/>
      <sz val="10"/>
      <color rgb="FF222222"/>
      <name val="Symbol"/>
      <family val="1"/>
      <charset val="2"/>
    </font>
    <font>
      <b/>
      <sz val="11"/>
      <color theme="1"/>
      <name val="Calibri"/>
      <family val="2"/>
      <scheme val="minor"/>
    </font>
    <font>
      <sz val="10"/>
      <color rgb="FF000000"/>
      <name val="Calibri"/>
      <family val="2"/>
      <scheme val="minor"/>
    </font>
    <font>
      <sz val="11"/>
      <color theme="1"/>
      <name val="Calibri"/>
      <family val="2"/>
      <scheme val="minor"/>
    </font>
    <font>
      <b/>
      <sz val="10"/>
      <color rgb="FF000000"/>
      <name val="Calibri"/>
      <family val="2"/>
      <scheme val="minor"/>
    </font>
    <font>
      <sz val="11"/>
      <color rgb="FFFF0000"/>
      <name val="Calibri"/>
      <family val="2"/>
      <scheme val="minor"/>
    </font>
    <font>
      <sz val="10"/>
      <color rgb="FFFF0000"/>
      <name val="Calibri"/>
      <family val="2"/>
      <scheme val="minor"/>
    </font>
    <font>
      <sz val="10"/>
      <color theme="1"/>
      <name val="Calibri"/>
      <family val="2"/>
      <scheme val="minor"/>
    </font>
    <font>
      <b/>
      <sz val="10"/>
      <color theme="1"/>
      <name val="Calibri"/>
      <family val="2"/>
      <scheme val="minor"/>
    </font>
    <font>
      <b/>
      <i/>
      <sz val="9.5"/>
      <name val="Arial"/>
      <family val="2"/>
    </font>
    <font>
      <b/>
      <i/>
      <sz val="9.5"/>
      <color rgb="FF0070C0"/>
      <name val="Arial"/>
      <family val="2"/>
    </font>
    <font>
      <b/>
      <i/>
      <sz val="9.5"/>
      <color rgb="FFC00000"/>
      <name val="Arial"/>
      <family val="2"/>
    </font>
    <font>
      <sz val="11"/>
      <color rgb="FFFF0000"/>
      <name val="Calibri"/>
      <family val="2"/>
      <charset val="177"/>
      <scheme val="minor"/>
    </font>
    <font>
      <sz val="11"/>
      <color theme="0"/>
      <name val="Calibri"/>
      <family val="2"/>
      <charset val="177"/>
      <scheme val="minor"/>
    </font>
    <font>
      <sz val="11"/>
      <name val="Calibri"/>
      <family val="2"/>
      <charset val="177"/>
      <scheme val="minor"/>
    </font>
    <font>
      <b/>
      <u/>
      <sz val="10"/>
      <color rgb="FF000000"/>
      <name val="Calibri"/>
      <family val="2"/>
      <scheme val="minor"/>
    </font>
    <font>
      <u/>
      <sz val="11"/>
      <name val="Calibri"/>
      <family val="2"/>
      <scheme val="minor"/>
    </font>
    <font>
      <b/>
      <u val="double"/>
      <sz val="10"/>
      <color rgb="FF000000"/>
      <name val="Calibri"/>
      <family val="2"/>
      <scheme val="minor"/>
    </font>
    <font>
      <b/>
      <u val="double"/>
      <sz val="11"/>
      <name val="Calibri"/>
      <family val="2"/>
      <scheme val="minor"/>
    </font>
    <font>
      <u val="double"/>
      <sz val="11"/>
      <name val="Calibri"/>
      <family val="2"/>
      <scheme val="minor"/>
    </font>
  </fonts>
  <fills count="55">
    <fill>
      <patternFill patternType="none"/>
    </fill>
    <fill>
      <patternFill patternType="gray125"/>
    </fill>
    <fill>
      <patternFill patternType="solid">
        <fgColor indexed="9"/>
      </patternFill>
    </fill>
    <fill>
      <patternFill patternType="solid">
        <fgColor indexed="47"/>
      </patternFill>
    </fill>
    <fill>
      <patternFill patternType="solid">
        <fgColor indexed="43"/>
      </patternFill>
    </fill>
    <fill>
      <patternFill patternType="solid">
        <fgColor indexed="41"/>
      </patternFill>
    </fill>
    <fill>
      <patternFill patternType="solid">
        <fgColor indexed="31"/>
      </patternFill>
    </fill>
    <fill>
      <patternFill patternType="solid">
        <fgColor indexed="44"/>
      </patternFill>
    </fill>
    <fill>
      <patternFill patternType="solid">
        <fgColor indexed="49"/>
      </patternFill>
    </fill>
    <fill>
      <patternFill patternType="solid">
        <fgColor indexed="2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27"/>
      </patternFill>
    </fill>
    <fill>
      <patternFill patternType="solid">
        <fgColor indexed="42"/>
      </patternFill>
    </fill>
    <fill>
      <patternFill patternType="solid">
        <fgColor indexed="10"/>
        <bgColor indexed="64"/>
      </patternFill>
    </fill>
    <fill>
      <patternFill patternType="solid">
        <fgColor indexed="9"/>
        <bgColor indexed="64"/>
      </patternFill>
    </fill>
    <fill>
      <patternFill patternType="solid">
        <fgColor indexed="63"/>
        <bgColor indexed="64"/>
      </patternFill>
    </fill>
    <fill>
      <patternFill patternType="solid">
        <fgColor indexed="30"/>
        <bgColor indexed="64"/>
      </patternFill>
    </fill>
    <fill>
      <patternFill patternType="solid">
        <fgColor indexed="31"/>
        <bgColor indexed="64"/>
      </patternFill>
    </fill>
    <fill>
      <patternFill patternType="solid">
        <fgColor indexed="43"/>
        <bgColor indexed="64"/>
      </patternFill>
    </fill>
    <fill>
      <patternFill patternType="solid">
        <fgColor indexed="41"/>
        <bgColor indexed="64"/>
      </patternFill>
    </fill>
    <fill>
      <patternFill patternType="solid">
        <fgColor indexed="42"/>
        <bgColor indexed="64"/>
      </patternFill>
    </fill>
    <fill>
      <patternFill patternType="solid">
        <fgColor indexed="13"/>
        <bgColor indexed="64"/>
      </patternFill>
    </fill>
    <fill>
      <patternFill patternType="solid">
        <fgColor indexed="39"/>
        <bgColor indexed="64"/>
      </patternFill>
    </fill>
    <fill>
      <patternFill patternType="solid">
        <fgColor indexed="44"/>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00B0F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1"/>
        <bgColor indexed="64"/>
      </patternFill>
    </fill>
    <fill>
      <patternFill patternType="solid">
        <fgColor rgb="FF92D050"/>
        <bgColor indexed="64"/>
      </patternFill>
    </fill>
    <fill>
      <patternFill patternType="solid">
        <fgColor theme="3" tint="0.59999389629810485"/>
        <bgColor indexed="64"/>
      </patternFill>
    </fill>
    <fill>
      <patternFill patternType="solid">
        <fgColor theme="0"/>
        <bgColor indexed="64"/>
      </patternFill>
    </fill>
    <fill>
      <patternFill patternType="solid">
        <fgColor indexed="22"/>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theme="4" tint="0.59996337778862885"/>
        <bgColor indexed="64"/>
      </patternFill>
    </fill>
    <fill>
      <patternFill patternType="solid">
        <fgColor rgb="FFFFFFCC"/>
        <bgColor indexed="64"/>
      </patternFill>
    </fill>
    <fill>
      <patternFill patternType="solid">
        <fgColor theme="7" tint="0.59996337778862885"/>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C00000"/>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9" tint="0.3999450666829432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6" tint="0.59996337778862885"/>
        <bgColor indexed="64"/>
      </patternFill>
    </fill>
    <fill>
      <patternFill patternType="solid">
        <fgColor theme="4" tint="0.59999389629810485"/>
        <bgColor indexed="64"/>
      </patternFill>
    </fill>
    <fill>
      <patternFill patternType="solid">
        <fgColor theme="6" tint="0.39997558519241921"/>
        <bgColor indexed="64"/>
      </patternFill>
    </fill>
  </fills>
  <borders count="149">
    <border>
      <left/>
      <right/>
      <top/>
      <bottom/>
      <diagonal/>
    </border>
    <border>
      <left style="thin">
        <color indexed="23"/>
      </left>
      <right style="thin">
        <color indexed="23"/>
      </right>
      <top style="thin">
        <color indexed="23"/>
      </top>
      <bottom style="thin">
        <color indexed="23"/>
      </bottom>
      <diagonal/>
    </border>
    <border>
      <left style="double">
        <color indexed="26"/>
      </left>
      <right style="double">
        <color indexed="26"/>
      </right>
      <top style="double">
        <color indexed="26"/>
      </top>
      <bottom style="double">
        <color indexed="26"/>
      </bottom>
      <diagonal/>
    </border>
    <border>
      <left/>
      <right/>
      <top/>
      <bottom style="thick">
        <color indexed="49"/>
      </bottom>
      <diagonal/>
    </border>
    <border>
      <left/>
      <right/>
      <top/>
      <bottom style="thick">
        <color indexed="22"/>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26"/>
      </left>
      <right style="thin">
        <color indexed="26"/>
      </right>
      <top style="thin">
        <color indexed="26"/>
      </top>
      <bottom style="thin">
        <color indexed="26"/>
      </bottom>
      <diagonal/>
    </border>
    <border>
      <left style="thick">
        <color indexed="64"/>
      </left>
      <right/>
      <top/>
      <bottom/>
      <diagonal/>
    </border>
    <border>
      <left/>
      <right/>
      <top style="medium">
        <color indexed="64"/>
      </top>
      <bottom/>
      <diagonal/>
    </border>
    <border>
      <left/>
      <right/>
      <top style="thin">
        <color indexed="49"/>
      </top>
      <bottom style="double">
        <color indexed="49"/>
      </bottom>
      <diagonal/>
    </border>
    <border>
      <left/>
      <right/>
      <top style="double">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diagonalUp="1">
      <left/>
      <right style="double">
        <color indexed="64"/>
      </right>
      <top style="double">
        <color indexed="64"/>
      </top>
      <bottom style="thin">
        <color indexed="64"/>
      </bottom>
      <diagonal style="thin">
        <color indexed="64"/>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uble">
        <color indexed="64"/>
      </right>
      <top/>
      <bottom style="double">
        <color indexed="64"/>
      </bottom>
      <diagonal/>
    </border>
    <border>
      <left/>
      <right/>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double">
        <color indexed="64"/>
      </right>
      <top/>
      <bottom/>
      <diagonal/>
    </border>
    <border>
      <left/>
      <right style="double">
        <color indexed="64"/>
      </right>
      <top/>
      <bottom style="thin">
        <color indexed="64"/>
      </bottom>
      <diagonal/>
    </border>
    <border>
      <left/>
      <right style="thin">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thin">
        <color auto="1"/>
      </left>
      <right/>
      <top/>
      <bottom/>
      <diagonal/>
    </border>
    <border>
      <left style="thin">
        <color indexed="64"/>
      </left>
      <right/>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bottom style="double">
        <color indexed="64"/>
      </bottom>
      <diagonal/>
    </border>
    <border>
      <left/>
      <right/>
      <top style="thin">
        <color auto="1"/>
      </top>
      <bottom style="double">
        <color auto="1"/>
      </bottom>
      <diagonal/>
    </border>
    <border>
      <left/>
      <right style="thin">
        <color indexed="64"/>
      </right>
      <top style="double">
        <color auto="1"/>
      </top>
      <bottom style="thin">
        <color auto="1"/>
      </bottom>
      <diagonal/>
    </border>
    <border>
      <left style="thin">
        <color indexed="23"/>
      </left>
      <right style="thin">
        <color indexed="23"/>
      </right>
      <top style="thin">
        <color indexed="23"/>
      </top>
      <bottom style="thin">
        <color indexed="23"/>
      </bottom>
      <diagonal/>
    </border>
    <border>
      <left style="double">
        <color indexed="26"/>
      </left>
      <right style="double">
        <color indexed="26"/>
      </right>
      <top style="double">
        <color indexed="26"/>
      </top>
      <bottom style="double">
        <color indexed="26"/>
      </bottom>
      <diagonal/>
    </border>
    <border>
      <left style="thin">
        <color indexed="22"/>
      </left>
      <right style="thin">
        <color indexed="22"/>
      </right>
      <top style="thin">
        <color indexed="22"/>
      </top>
      <bottom style="thin">
        <color indexed="22"/>
      </bottom>
      <diagonal/>
    </border>
    <border>
      <left style="thin">
        <color indexed="26"/>
      </left>
      <right style="thin">
        <color indexed="26"/>
      </right>
      <top style="thin">
        <color indexed="26"/>
      </top>
      <bottom style="thin">
        <color indexed="26"/>
      </bottom>
      <diagonal/>
    </border>
    <border>
      <left/>
      <right/>
      <top style="thin">
        <color indexed="49"/>
      </top>
      <bottom style="double">
        <color indexed="49"/>
      </bottom>
      <diagonal/>
    </border>
    <border>
      <left style="thin">
        <color indexed="26"/>
      </left>
      <right style="thin">
        <color indexed="26"/>
      </right>
      <top style="thin">
        <color indexed="26"/>
      </top>
      <bottom style="thin">
        <color indexed="26"/>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49"/>
      </top>
      <bottom style="double">
        <color indexed="49"/>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double">
        <color indexed="64"/>
      </right>
      <top style="thin">
        <color auto="1"/>
      </top>
      <bottom style="thin">
        <color auto="1"/>
      </bottom>
      <diagonal/>
    </border>
    <border>
      <left style="thin">
        <color indexed="64"/>
      </left>
      <right style="double">
        <color indexed="64"/>
      </right>
      <top style="hair">
        <color indexed="64"/>
      </top>
      <bottom/>
      <diagonal/>
    </border>
    <border>
      <left style="thin">
        <color indexed="64"/>
      </left>
      <right style="double">
        <color indexed="64"/>
      </right>
      <top style="thin">
        <color indexed="64"/>
      </top>
      <bottom style="thin">
        <color indexed="64"/>
      </bottom>
      <diagonal/>
    </border>
    <border>
      <left/>
      <right/>
      <top/>
      <bottom style="medium">
        <color indexed="30"/>
      </bottom>
      <diagonal/>
    </border>
    <border>
      <left/>
      <right/>
      <top style="double">
        <color indexed="64"/>
      </top>
      <bottom style="thin">
        <color indexed="64"/>
      </bottom>
      <diagonal/>
    </border>
    <border>
      <left style="thin">
        <color indexed="64"/>
      </left>
      <right/>
      <top style="thin">
        <color indexed="64"/>
      </top>
      <bottom style="double">
        <color indexed="64"/>
      </bottom>
      <diagonal/>
    </border>
    <border>
      <left/>
      <right style="thin">
        <color auto="1"/>
      </right>
      <top style="double">
        <color indexed="64"/>
      </top>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diagonalUp="1">
      <left/>
      <right style="thin">
        <color indexed="64"/>
      </right>
      <top/>
      <bottom style="thin">
        <color indexed="64"/>
      </bottom>
      <diagonal style="thin">
        <color indexed="64"/>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right style="thin">
        <color indexed="64"/>
      </right>
      <top/>
      <bottom style="double">
        <color indexed="64"/>
      </bottom>
      <diagonal/>
    </border>
    <border>
      <left/>
      <right/>
      <top style="double">
        <color auto="1"/>
      </top>
      <bottom style="thin">
        <color auto="1"/>
      </bottom>
      <diagonal/>
    </border>
    <border>
      <left/>
      <right style="double">
        <color indexed="64"/>
      </right>
      <top style="thin">
        <color auto="1"/>
      </top>
      <bottom/>
      <diagonal/>
    </border>
    <border>
      <left/>
      <right style="double">
        <color indexed="64"/>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double">
        <color indexed="64"/>
      </right>
      <top style="thin">
        <color auto="1"/>
      </top>
      <bottom style="double">
        <color auto="1"/>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double">
        <color indexed="64"/>
      </top>
      <bottom/>
      <diagonal/>
    </border>
    <border>
      <left style="thin">
        <color auto="1"/>
      </left>
      <right style="thin">
        <color auto="1"/>
      </right>
      <top style="double">
        <color indexed="64"/>
      </top>
      <bottom/>
      <diagonal/>
    </border>
    <border>
      <left style="thin">
        <color auto="1"/>
      </left>
      <right/>
      <top style="double">
        <color indexed="64"/>
      </top>
      <bottom/>
      <diagonal/>
    </border>
    <border>
      <left/>
      <right/>
      <top style="double">
        <color indexed="64"/>
      </top>
      <bottom/>
      <diagonal/>
    </border>
    <border>
      <left style="thin">
        <color indexed="64"/>
      </left>
      <right style="thin">
        <color indexed="64"/>
      </right>
      <top style="hair">
        <color indexed="64"/>
      </top>
      <bottom style="double">
        <color indexed="64"/>
      </bottom>
      <diagonal/>
    </border>
    <border>
      <left/>
      <right style="double">
        <color indexed="64"/>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double">
        <color indexed="64"/>
      </right>
      <top style="dotted">
        <color indexed="64"/>
      </top>
      <bottom style="dotted">
        <color indexed="64"/>
      </bottom>
      <diagonal/>
    </border>
    <border>
      <left/>
      <right style="double">
        <color indexed="64"/>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style="double">
        <color indexed="64"/>
      </right>
      <top style="double">
        <color auto="1"/>
      </top>
      <bottom style="thin">
        <color auto="1"/>
      </bottom>
      <diagonal/>
    </border>
    <border>
      <left/>
      <right style="thin">
        <color indexed="64"/>
      </right>
      <top/>
      <bottom style="dotted">
        <color indexed="64"/>
      </bottom>
      <diagonal/>
    </border>
    <border>
      <left style="thin">
        <color indexed="64"/>
      </left>
      <right/>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auto="1"/>
      </left>
      <right/>
      <top style="thin">
        <color auto="1"/>
      </top>
      <bottom style="thin">
        <color auto="1"/>
      </bottom>
      <diagonal/>
    </border>
    <border>
      <left style="thin">
        <color auto="1"/>
      </left>
      <right style="double">
        <color auto="1"/>
      </right>
      <top style="thin">
        <color auto="1"/>
      </top>
      <bottom/>
      <diagonal/>
    </border>
    <border>
      <left style="thin">
        <color indexed="64"/>
      </left>
      <right style="double">
        <color auto="1"/>
      </right>
      <top/>
      <bottom style="double">
        <color indexed="64"/>
      </bottom>
      <diagonal/>
    </border>
    <border>
      <left style="thin">
        <color auto="1"/>
      </left>
      <right style="double">
        <color auto="1"/>
      </right>
      <top style="double">
        <color indexed="64"/>
      </top>
      <bottom/>
      <diagonal/>
    </border>
    <border>
      <left style="thin">
        <color auto="1"/>
      </left>
      <right style="double">
        <color indexed="64"/>
      </right>
      <top style="thin">
        <color indexed="64"/>
      </top>
      <bottom style="double">
        <color indexed="64"/>
      </bottom>
      <diagonal/>
    </border>
    <border>
      <left style="double">
        <color auto="1"/>
      </left>
      <right style="thin">
        <color auto="1"/>
      </right>
      <top style="thin">
        <color auto="1"/>
      </top>
      <bottom/>
      <diagonal/>
    </border>
    <border>
      <left/>
      <right/>
      <top style="dashDotDot">
        <color auto="1"/>
      </top>
      <bottom/>
      <diagonal/>
    </border>
    <border>
      <left/>
      <right style="thin">
        <color indexed="64"/>
      </right>
      <top style="dashDotDot">
        <color auto="1"/>
      </top>
      <bottom/>
      <diagonal/>
    </border>
    <border>
      <left style="thin">
        <color indexed="64"/>
      </left>
      <right style="thin">
        <color indexed="64"/>
      </right>
      <top style="dashDotDot">
        <color auto="1"/>
      </top>
      <bottom/>
      <diagonal/>
    </border>
    <border>
      <left style="thin">
        <color indexed="64"/>
      </left>
      <right/>
      <top style="dashDotDot">
        <color auto="1"/>
      </top>
      <bottom/>
      <diagonal/>
    </border>
    <border>
      <left style="thin">
        <color indexed="64"/>
      </left>
      <right style="double">
        <color indexed="64"/>
      </right>
      <top style="dashDotDot">
        <color auto="1"/>
      </top>
      <bottom/>
      <diagonal/>
    </border>
    <border diagonalUp="1">
      <left/>
      <right style="double">
        <color indexed="64"/>
      </right>
      <top style="thin">
        <color auto="1"/>
      </top>
      <bottom style="thin">
        <color indexed="64"/>
      </bottom>
      <diagonal style="thin">
        <color indexed="64"/>
      </diagonal>
    </border>
    <border>
      <left/>
      <right/>
      <top style="hair">
        <color indexed="64"/>
      </top>
      <bottom/>
      <diagonal/>
    </border>
    <border>
      <left style="double">
        <color auto="1"/>
      </left>
      <right/>
      <top style="thin">
        <color indexed="64"/>
      </top>
      <bottom style="thin">
        <color indexed="64"/>
      </bottom>
      <diagonal/>
    </border>
    <border>
      <left style="double">
        <color auto="1"/>
      </left>
      <right style="thin">
        <color indexed="64"/>
      </right>
      <top/>
      <bottom style="double">
        <color indexed="64"/>
      </bottom>
      <diagonal/>
    </border>
    <border>
      <left style="thin">
        <color indexed="64"/>
      </left>
      <right style="double">
        <color auto="1"/>
      </right>
      <top style="thin">
        <color auto="1"/>
      </top>
      <bottom style="thin">
        <color auto="1"/>
      </bottom>
      <diagonal/>
    </border>
    <border>
      <left style="double">
        <color indexed="64"/>
      </left>
      <right style="double">
        <color indexed="64"/>
      </right>
      <top style="thin">
        <color indexed="64"/>
      </top>
      <bottom style="thin">
        <color indexed="64"/>
      </bottom>
      <diagonal/>
    </border>
    <border>
      <left style="double">
        <color indexed="64"/>
      </left>
      <right/>
      <top style="thin">
        <color auto="1"/>
      </top>
      <bottom/>
      <diagonal/>
    </border>
    <border>
      <left style="double">
        <color indexed="64"/>
      </left>
      <right/>
      <top/>
      <bottom/>
      <diagonal/>
    </border>
  </borders>
  <cellStyleXfs count="149">
    <xf numFmtId="0" fontId="0" fillId="0" borderId="0"/>
    <xf numFmtId="0" fontId="16" fillId="2"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2" borderId="0" applyNumberFormat="0" applyBorder="0" applyAlignment="0" applyProtection="0"/>
    <xf numFmtId="0" fontId="16" fillId="5" borderId="0" applyNumberFormat="0" applyBorder="0" applyAlignment="0" applyProtection="0"/>
    <xf numFmtId="0" fontId="16" fillId="3" borderId="0" applyNumberFormat="0" applyBorder="0" applyAlignment="0" applyProtection="0"/>
    <xf numFmtId="0" fontId="16" fillId="6"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3" borderId="0" applyNumberFormat="0" applyBorder="0" applyAlignment="0" applyProtection="0"/>
    <xf numFmtId="0" fontId="17" fillId="8"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9" borderId="0" applyNumberFormat="0" applyBorder="0" applyAlignment="0" applyProtection="0"/>
    <xf numFmtId="0" fontId="17" fillId="8" borderId="0" applyNumberFormat="0" applyBorder="0" applyAlignment="0" applyProtection="0"/>
    <xf numFmtId="0" fontId="17" fillId="3" borderId="0" applyNumberFormat="0" applyBorder="0" applyAlignment="0" applyProtection="0"/>
    <xf numFmtId="0" fontId="17" fillId="8"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8" borderId="0" applyNumberFormat="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9" fillId="2" borderId="1" applyNumberFormat="0" applyAlignment="0" applyProtection="0"/>
    <xf numFmtId="0" fontId="20" fillId="15" borderId="2" applyNumberFormat="0" applyAlignment="0" applyProtection="0"/>
    <xf numFmtId="43" fontId="14" fillId="0" borderId="0" applyFont="0" applyFill="0" applyBorder="0" applyAlignment="0" applyProtection="0"/>
    <xf numFmtId="0" fontId="21" fillId="0" borderId="0" applyNumberFormat="0" applyFill="0" applyBorder="0" applyAlignment="0" applyProtection="0"/>
    <xf numFmtId="0" fontId="22" fillId="16" borderId="0" applyNumberFormat="0" applyBorder="0" applyAlignment="0" applyProtection="0"/>
    <xf numFmtId="0" fontId="23" fillId="0" borderId="3" applyNumberFormat="0" applyFill="0" applyAlignment="0" applyProtection="0"/>
    <xf numFmtId="0" fontId="24" fillId="0" borderId="4" applyNumberFormat="0" applyFill="0" applyAlignment="0" applyProtection="0"/>
    <xf numFmtId="0" fontId="25" fillId="0" borderId="0"/>
    <xf numFmtId="0" fontId="26" fillId="0" borderId="0" applyNumberFormat="0" applyFill="0" applyBorder="0" applyAlignment="0" applyProtection="0"/>
    <xf numFmtId="0" fontId="27" fillId="0" borderId="5"/>
    <xf numFmtId="0" fontId="28" fillId="3" borderId="1" applyNumberFormat="0" applyAlignment="0" applyProtection="0"/>
    <xf numFmtId="0" fontId="29" fillId="0" borderId="6" applyNumberFormat="0" applyFill="0" applyAlignment="0" applyProtection="0"/>
    <xf numFmtId="0" fontId="30" fillId="4" borderId="0" applyNumberFormat="0" applyBorder="0" applyAlignment="0" applyProtection="0"/>
    <xf numFmtId="0" fontId="31" fillId="4" borderId="7" applyNumberFormat="0" applyFont="0" applyAlignment="0" applyProtection="0"/>
    <xf numFmtId="0" fontId="32" fillId="2" borderId="8" applyNumberFormat="0" applyAlignment="0" applyProtection="0"/>
    <xf numFmtId="9" fontId="14" fillId="0" borderId="0" applyFont="0" applyFill="0" applyBorder="0" applyAlignment="0" applyProtection="0"/>
    <xf numFmtId="0" fontId="33" fillId="17" borderId="0" applyNumberFormat="0" applyBorder="0" applyAlignment="0" applyProtection="0"/>
    <xf numFmtId="0" fontId="34" fillId="0" borderId="0" applyNumberFormat="0" applyFill="0" applyBorder="0" applyProtection="0">
      <alignment horizontal="center"/>
    </xf>
    <xf numFmtId="0" fontId="35" fillId="0" borderId="0" applyNumberFormat="0" applyFill="0" applyBorder="0" applyProtection="0">
      <alignment horizontal="center"/>
    </xf>
    <xf numFmtId="0" fontId="35"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right"/>
    </xf>
    <xf numFmtId="0" fontId="31" fillId="0" borderId="0" applyNumberFormat="0" applyFont="0" applyFill="0" applyBorder="0" applyProtection="0">
      <alignment horizontal="left"/>
    </xf>
    <xf numFmtId="0" fontId="37" fillId="0" borderId="0" applyNumberFormat="0" applyFill="0" applyBorder="0" applyAlignment="0" applyProtection="0">
      <alignment horizontal="right"/>
    </xf>
    <xf numFmtId="0" fontId="31" fillId="0" borderId="0" applyNumberFormat="0" applyFont="0" applyFill="0" applyBorder="0" applyProtection="0">
      <alignment horizontal="right" wrapText="1"/>
    </xf>
    <xf numFmtId="0" fontId="31" fillId="0" borderId="9" applyNumberFormat="0" applyFont="0" applyFill="0" applyAlignment="0" applyProtection="0">
      <alignment horizontal="right"/>
    </xf>
    <xf numFmtId="0" fontId="37" fillId="0" borderId="0" applyNumberFormat="0" applyFill="0" applyBorder="0" applyProtection="0">
      <alignment horizontal="left"/>
    </xf>
    <xf numFmtId="0" fontId="38" fillId="0" borderId="0" applyNumberFormat="0" applyFill="0" applyBorder="0" applyProtection="0">
      <alignment horizontal="left"/>
    </xf>
    <xf numFmtId="164" fontId="39" fillId="0" borderId="10" applyFill="0" applyProtection="0">
      <alignment horizontal="right" vertical="top"/>
    </xf>
    <xf numFmtId="10" fontId="39" fillId="0" borderId="0" applyFill="0" applyBorder="0" applyProtection="0">
      <alignment horizontal="right"/>
    </xf>
    <xf numFmtId="10" fontId="40" fillId="0" borderId="0" applyFill="0" applyBorder="0" applyProtection="0">
      <alignment horizontal="left"/>
    </xf>
    <xf numFmtId="0" fontId="41" fillId="18" borderId="0" applyNumberFormat="0" applyProtection="0">
      <alignment horizontal="left" vertical="center"/>
    </xf>
    <xf numFmtId="165" fontId="42" fillId="18" borderId="0" applyProtection="0">
      <alignment horizontal="right" vertical="center"/>
    </xf>
    <xf numFmtId="0" fontId="43" fillId="18" borderId="0" applyNumberFormat="0" applyProtection="0">
      <alignment horizontal="left" vertical="center"/>
    </xf>
    <xf numFmtId="0" fontId="44" fillId="18" borderId="0" applyNumberFormat="0" applyProtection="0">
      <alignment horizontal="center" vertical="center" wrapText="1"/>
    </xf>
    <xf numFmtId="0" fontId="45" fillId="19" borderId="0" applyNumberFormat="0" applyProtection="0">
      <alignment horizontal="center" vertical="center" wrapText="1"/>
    </xf>
    <xf numFmtId="0" fontId="46" fillId="18" borderId="0" applyNumberFormat="0" applyProtection="0">
      <alignment horizontal="center" vertical="center" wrapText="1"/>
    </xf>
    <xf numFmtId="0" fontId="47" fillId="0" borderId="0" applyNumberFormat="0" applyFill="0" applyBorder="0" applyAlignment="0" applyProtection="0"/>
    <xf numFmtId="0" fontId="48" fillId="0" borderId="11" applyNumberFormat="0" applyFill="0" applyAlignment="0" applyProtection="0"/>
    <xf numFmtId="0" fontId="49" fillId="0" borderId="0" applyNumberFormat="0" applyFill="0" applyBorder="0" applyAlignment="0" applyProtection="0"/>
    <xf numFmtId="0" fontId="56" fillId="0" borderId="0"/>
    <xf numFmtId="0" fontId="56" fillId="0" borderId="0"/>
    <xf numFmtId="9" fontId="56" fillId="0" borderId="0" applyFont="0" applyFill="0" applyBorder="0" applyAlignment="0" applyProtection="0"/>
    <xf numFmtId="0" fontId="14" fillId="0" borderId="0"/>
    <xf numFmtId="43" fontId="14" fillId="0" borderId="0" applyFont="0" applyFill="0" applyBorder="0" applyAlignment="0" applyProtection="0"/>
    <xf numFmtId="0" fontId="13" fillId="0" borderId="0"/>
    <xf numFmtId="9" fontId="13" fillId="0" borderId="0" applyFont="0" applyFill="0" applyBorder="0" applyAlignment="0" applyProtection="0"/>
    <xf numFmtId="0" fontId="12" fillId="0" borderId="0"/>
    <xf numFmtId="9" fontId="71" fillId="0" borderId="0" applyFont="0" applyFill="0" applyBorder="0" applyAlignment="0" applyProtection="0"/>
    <xf numFmtId="0" fontId="32" fillId="2" borderId="62" applyNumberFormat="0" applyAlignment="0" applyProtection="0"/>
    <xf numFmtId="0" fontId="19" fillId="2" borderId="64" applyNumberFormat="0" applyAlignment="0" applyProtection="0"/>
    <xf numFmtId="0" fontId="14" fillId="0" borderId="9" applyNumberFormat="0" applyFont="0" applyFill="0" applyAlignment="0" applyProtection="0">
      <alignment horizontal="right"/>
    </xf>
    <xf numFmtId="0" fontId="14" fillId="0" borderId="0" applyNumberFormat="0" applyFont="0" applyFill="0" applyBorder="0" applyProtection="0">
      <alignment horizontal="right" wrapText="1"/>
    </xf>
    <xf numFmtId="0" fontId="20" fillId="15" borderId="58" applyNumberFormat="0" applyAlignment="0" applyProtection="0"/>
    <xf numFmtId="0" fontId="14" fillId="0" borderId="0" applyNumberFormat="0" applyFont="0" applyFill="0" applyBorder="0" applyProtection="0">
      <alignment horizontal="left"/>
    </xf>
    <xf numFmtId="0" fontId="14" fillId="0" borderId="0" applyNumberFormat="0" applyFont="0" applyFill="0" applyBorder="0" applyProtection="0">
      <alignment horizontal="left"/>
    </xf>
    <xf numFmtId="0" fontId="20" fillId="15" borderId="58" applyNumberFormat="0" applyAlignment="0" applyProtection="0"/>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19" fillId="2" borderId="57" applyNumberFormat="0" applyAlignment="0" applyProtection="0"/>
    <xf numFmtId="0" fontId="19" fillId="2" borderId="57" applyNumberFormat="0" applyAlignment="0" applyProtection="0"/>
    <xf numFmtId="0" fontId="20" fillId="15" borderId="58" applyNumberFormat="0" applyAlignment="0" applyProtection="0"/>
    <xf numFmtId="0" fontId="28" fillId="3" borderId="64" applyNumberFormat="0" applyAlignment="0" applyProtection="0"/>
    <xf numFmtId="0" fontId="28" fillId="3" borderId="57" applyNumberFormat="0" applyAlignment="0" applyProtection="0"/>
    <xf numFmtId="0" fontId="32" fillId="2" borderId="62" applyNumberFormat="0" applyAlignment="0" applyProtection="0"/>
    <xf numFmtId="0" fontId="14" fillId="4" borderId="59" applyNumberFormat="0" applyFont="0" applyAlignment="0" applyProtection="0"/>
    <xf numFmtId="0" fontId="32" fillId="2" borderId="60" applyNumberFormat="0" applyAlignment="0" applyProtection="0"/>
    <xf numFmtId="0" fontId="28" fillId="3" borderId="57" applyNumberFormat="0" applyAlignment="0" applyProtection="0"/>
    <xf numFmtId="0" fontId="14" fillId="0" borderId="0" applyNumberFormat="0" applyFont="0" applyFill="0" applyBorder="0" applyProtection="0">
      <alignment horizontal="left"/>
    </xf>
    <xf numFmtId="0" fontId="20" fillId="15" borderId="58" applyNumberFormat="0" applyAlignment="0" applyProtection="0"/>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19" fillId="2" borderId="57" applyNumberFormat="0" applyAlignment="0" applyProtection="0"/>
    <xf numFmtId="0" fontId="14" fillId="0" borderId="9" applyNumberFormat="0" applyFont="0" applyFill="0" applyAlignment="0" applyProtection="0">
      <alignment horizontal="right"/>
    </xf>
    <xf numFmtId="0" fontId="14" fillId="0" borderId="0" applyNumberFormat="0" applyFont="0" applyFill="0" applyBorder="0" applyProtection="0">
      <alignment horizontal="right" wrapText="1"/>
    </xf>
    <xf numFmtId="0" fontId="14" fillId="0" borderId="0" applyNumberFormat="0" applyFont="0" applyFill="0" applyBorder="0" applyProtection="0">
      <alignment horizontal="left"/>
    </xf>
    <xf numFmtId="0" fontId="48" fillId="0" borderId="61" applyNumberFormat="0" applyFill="0" applyAlignment="0" applyProtection="0"/>
    <xf numFmtId="0" fontId="32" fillId="2" borderId="60" applyNumberFormat="0" applyAlignment="0" applyProtection="0"/>
    <xf numFmtId="0" fontId="14" fillId="4" borderId="59" applyNumberFormat="0" applyFont="0" applyAlignment="0" applyProtection="0"/>
    <xf numFmtId="0" fontId="28" fillId="3" borderId="57" applyNumberFormat="0" applyAlignment="0" applyProtection="0"/>
    <xf numFmtId="0" fontId="11" fillId="0" borderId="0"/>
    <xf numFmtId="9" fontId="11" fillId="0" borderId="0" applyFont="0" applyFill="0" applyBorder="0" applyAlignment="0" applyProtection="0"/>
    <xf numFmtId="0" fontId="11" fillId="0" borderId="0"/>
    <xf numFmtId="0" fontId="48" fillId="0" borderId="63" applyNumberFormat="0" applyFill="0" applyAlignment="0" applyProtection="0"/>
    <xf numFmtId="0" fontId="14" fillId="4" borderId="65" applyNumberFormat="0" applyFont="0" applyAlignment="0" applyProtection="0"/>
    <xf numFmtId="0" fontId="11" fillId="0" borderId="0"/>
    <xf numFmtId="9" fontId="11" fillId="0" borderId="0" applyFont="0" applyFill="0" applyBorder="0" applyAlignment="0" applyProtection="0"/>
    <xf numFmtId="0" fontId="11" fillId="0" borderId="0"/>
    <xf numFmtId="0" fontId="48" fillId="0" borderId="66" applyNumberFormat="0" applyFill="0" applyAlignment="0" applyProtection="0"/>
    <xf numFmtId="0" fontId="14" fillId="4" borderId="59" applyNumberFormat="0" applyFont="0" applyAlignment="0" applyProtection="0"/>
    <xf numFmtId="0" fontId="11" fillId="0" borderId="0"/>
    <xf numFmtId="9" fontId="11" fillId="0" borderId="0" applyFont="0" applyFill="0" applyBorder="0" applyAlignment="0" applyProtection="0"/>
    <xf numFmtId="0" fontId="11" fillId="0" borderId="0"/>
    <xf numFmtId="0" fontId="48" fillId="0" borderId="61" applyNumberFormat="0" applyFill="0" applyAlignment="0" applyProtection="0"/>
    <xf numFmtId="0" fontId="11" fillId="0" borderId="0"/>
    <xf numFmtId="9" fontId="11" fillId="0" borderId="0" applyFont="0" applyFill="0" applyBorder="0" applyAlignment="0" applyProtection="0"/>
    <xf numFmtId="0" fontId="11" fillId="0" borderId="0"/>
    <xf numFmtId="0" fontId="19" fillId="2" borderId="64" applyNumberFormat="0" applyAlignment="0" applyProtection="0"/>
    <xf numFmtId="0" fontId="28" fillId="3" borderId="64" applyNumberFormat="0" applyAlignment="0" applyProtection="0"/>
    <xf numFmtId="0" fontId="14" fillId="4" borderId="65" applyNumberFormat="0" applyFont="0" applyAlignment="0" applyProtection="0"/>
    <xf numFmtId="0" fontId="32" fillId="2" borderId="62" applyNumberFormat="0" applyAlignment="0" applyProtection="0"/>
    <xf numFmtId="0" fontId="14" fillId="0" borderId="0" applyNumberFormat="0" applyFont="0" applyFill="0" applyBorder="0" applyProtection="0">
      <alignment horizontal="left"/>
    </xf>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48" fillId="0" borderId="66" applyNumberFormat="0" applyFill="0" applyAlignment="0" applyProtection="0"/>
    <xf numFmtId="0" fontId="10" fillId="0" borderId="0"/>
    <xf numFmtId="9" fontId="10" fillId="0" borderId="0" applyFont="0" applyFill="0" applyBorder="0" applyAlignment="0" applyProtection="0"/>
    <xf numFmtId="0" fontId="10" fillId="0" borderId="0"/>
    <xf numFmtId="0" fontId="76" fillId="0" borderId="78" applyNumberFormat="0" applyFill="0" applyAlignment="0" applyProtection="0"/>
    <xf numFmtId="0" fontId="14" fillId="0" borderId="0"/>
    <xf numFmtId="0" fontId="77" fillId="0" borderId="0"/>
    <xf numFmtId="0" fontId="9" fillId="0" borderId="0"/>
    <xf numFmtId="9" fontId="9" fillId="0" borderId="0" applyFont="0" applyFill="0" applyBorder="0" applyAlignment="0" applyProtection="0"/>
    <xf numFmtId="0" fontId="76" fillId="0" borderId="78" applyNumberFormat="0" applyFill="0" applyAlignment="0" applyProtection="0"/>
    <xf numFmtId="0" fontId="14" fillId="0" borderId="0"/>
    <xf numFmtId="0" fontId="77" fillId="0" borderId="0"/>
    <xf numFmtId="9" fontId="9" fillId="0" borderId="0" applyFont="0" applyFill="0" applyBorder="0" applyAlignment="0" applyProtection="0"/>
    <xf numFmtId="0" fontId="8" fillId="0" borderId="0"/>
    <xf numFmtId="0" fontId="7" fillId="0" borderId="0"/>
    <xf numFmtId="43" fontId="7" fillId="0" borderId="0" applyFont="0" applyFill="0" applyBorder="0" applyAlignment="0" applyProtection="0"/>
    <xf numFmtId="9" fontId="7" fillId="0" borderId="0" applyFont="0" applyFill="0" applyBorder="0" applyAlignment="0" applyProtection="0"/>
    <xf numFmtId="0" fontId="6" fillId="0" borderId="0"/>
    <xf numFmtId="9" fontId="6" fillId="0" borderId="0" applyFont="0" applyFill="0" applyBorder="0" applyAlignment="0" applyProtection="0"/>
  </cellStyleXfs>
  <cellXfs count="1157">
    <xf numFmtId="0" fontId="0" fillId="0" borderId="0" xfId="0"/>
    <xf numFmtId="0" fontId="66" fillId="0" borderId="83" xfId="0" applyFont="1" applyBorder="1" applyAlignment="1">
      <alignment horizontal="center" vertical="center"/>
    </xf>
    <xf numFmtId="0" fontId="52" fillId="0" borderId="0" xfId="0" applyFont="1" applyAlignment="1">
      <alignment horizontal="center" vertical="center"/>
    </xf>
    <xf numFmtId="0" fontId="52" fillId="0" borderId="0" xfId="0" applyFont="1" applyAlignment="1">
      <alignment horizontal="center" vertical="center" wrapText="1"/>
    </xf>
    <xf numFmtId="0" fontId="66" fillId="0" borderId="98" xfId="0" applyFont="1" applyBorder="1" applyAlignment="1">
      <alignment horizontal="center" vertical="center"/>
    </xf>
    <xf numFmtId="0" fontId="52" fillId="31" borderId="0" xfId="0" applyFont="1" applyFill="1" applyAlignment="1">
      <alignment horizontal="center" vertical="center"/>
    </xf>
    <xf numFmtId="0" fontId="52" fillId="53" borderId="44" xfId="0" applyFont="1" applyFill="1" applyBorder="1" applyAlignment="1">
      <alignment horizontal="center" vertical="center"/>
    </xf>
    <xf numFmtId="0" fontId="52" fillId="53" borderId="22" xfId="0" applyFont="1" applyFill="1" applyBorder="1" applyAlignment="1">
      <alignment horizontal="center" vertical="center"/>
    </xf>
    <xf numFmtId="0" fontId="52" fillId="0" borderId="44" xfId="0" applyFont="1" applyBorder="1" applyAlignment="1">
      <alignment horizontal="center" vertical="center"/>
    </xf>
    <xf numFmtId="0" fontId="52" fillId="0" borderId="22" xfId="0" applyFont="1" applyBorder="1" applyAlignment="1">
      <alignment horizontal="center" vertical="center"/>
    </xf>
    <xf numFmtId="0" fontId="52" fillId="0" borderId="45" xfId="0" applyFont="1" applyBorder="1" applyAlignment="1">
      <alignment horizontal="center" vertical="center"/>
    </xf>
    <xf numFmtId="0" fontId="52" fillId="54" borderId="28" xfId="0" applyFont="1" applyFill="1" applyBorder="1" applyAlignment="1">
      <alignment horizontal="center" vertical="center"/>
    </xf>
    <xf numFmtId="0" fontId="52" fillId="54" borderId="91" xfId="0" applyFont="1" applyFill="1" applyBorder="1" applyAlignment="1">
      <alignment horizontal="center" vertical="center"/>
    </xf>
    <xf numFmtId="0" fontId="52" fillId="0" borderId="28" xfId="0" applyFont="1" applyBorder="1" applyAlignment="1">
      <alignment horizontal="center" vertical="center"/>
    </xf>
    <xf numFmtId="0" fontId="52" fillId="0" borderId="92" xfId="0" applyFont="1" applyBorder="1" applyAlignment="1">
      <alignment horizontal="center" vertical="center"/>
    </xf>
    <xf numFmtId="0" fontId="52" fillId="0" borderId="91" xfId="0" applyFont="1" applyBorder="1" applyAlignment="1">
      <alignment horizontal="center" vertical="center"/>
    </xf>
    <xf numFmtId="0" fontId="50" fillId="0" borderId="98" xfId="0" applyFont="1" applyBorder="1" applyAlignment="1">
      <alignment horizontal="center" vertical="center"/>
    </xf>
    <xf numFmtId="0" fontId="52" fillId="35" borderId="98" xfId="0" applyFont="1" applyFill="1" applyBorder="1" applyAlignment="1">
      <alignment horizontal="center" vertical="center"/>
    </xf>
    <xf numFmtId="0" fontId="86" fillId="0" borderId="98" xfId="143" applyFont="1" applyBorder="1" applyAlignment="1">
      <alignment horizontal="center"/>
    </xf>
    <xf numFmtId="0" fontId="86" fillId="0" borderId="98" xfId="143" applyFont="1" applyBorder="1" applyAlignment="1">
      <alignment horizontal="right" vertical="center"/>
    </xf>
    <xf numFmtId="0" fontId="86" fillId="0" borderId="102" xfId="143" applyFont="1" applyBorder="1" applyAlignment="1">
      <alignment horizontal="right" vertical="center"/>
    </xf>
    <xf numFmtId="0" fontId="52" fillId="29" borderId="107" xfId="0" applyFont="1" applyFill="1" applyBorder="1" applyAlignment="1">
      <alignment horizontal="right" vertical="center" wrapText="1"/>
    </xf>
    <xf numFmtId="0" fontId="52" fillId="29" borderId="106" xfId="0" applyFont="1" applyFill="1" applyBorder="1" applyAlignment="1">
      <alignment horizontal="right" vertical="center" wrapText="1"/>
    </xf>
    <xf numFmtId="0" fontId="52" fillId="29" borderId="101" xfId="0" applyFont="1" applyFill="1" applyBorder="1" applyAlignment="1">
      <alignment horizontal="right" vertical="center" wrapText="1"/>
    </xf>
    <xf numFmtId="0" fontId="50" fillId="0" borderId="91" xfId="0" applyFont="1" applyBorder="1" applyAlignment="1">
      <alignment horizontal="center" vertical="center" wrapText="1"/>
    </xf>
    <xf numFmtId="174" fontId="95" fillId="36" borderId="0" xfId="147" applyNumberFormat="1" applyFont="1" applyFill="1" applyAlignment="1">
      <alignment horizontal="center"/>
    </xf>
    <xf numFmtId="0" fontId="52" fillId="29" borderId="69" xfId="0" applyFont="1" applyFill="1" applyBorder="1" applyAlignment="1">
      <alignment horizontal="right" vertical="center" wrapText="1"/>
    </xf>
    <xf numFmtId="3" fontId="68" fillId="36" borderId="98" xfId="147" applyNumberFormat="1" applyFont="1" applyFill="1" applyBorder="1" applyAlignment="1">
      <alignment horizontal="center"/>
    </xf>
    <xf numFmtId="0" fontId="50" fillId="39" borderId="98" xfId="0" applyFont="1" applyFill="1" applyBorder="1" applyAlignment="1">
      <alignment horizontal="center" vertical="center" wrapText="1"/>
    </xf>
    <xf numFmtId="0" fontId="52" fillId="29" borderId="102" xfId="0" applyFont="1" applyFill="1" applyBorder="1" applyAlignment="1">
      <alignment horizontal="right" vertical="center" wrapText="1"/>
    </xf>
    <xf numFmtId="0" fontId="66" fillId="0" borderId="79" xfId="0" applyFont="1" applyBorder="1" applyAlignment="1">
      <alignment horizontal="center" vertical="center" wrapText="1"/>
    </xf>
    <xf numFmtId="9" fontId="50" fillId="31" borderId="0" xfId="41" applyFont="1" applyFill="1" applyBorder="1" applyAlignment="1">
      <alignment horizontal="center" vertical="center" wrapText="1" readingOrder="1"/>
    </xf>
    <xf numFmtId="9" fontId="50" fillId="0" borderId="0" xfId="41" applyFont="1" applyFill="1" applyBorder="1" applyAlignment="1">
      <alignment horizontal="center" vertical="center" wrapText="1"/>
    </xf>
    <xf numFmtId="0" fontId="52" fillId="0" borderId="83" xfId="0" applyFont="1" applyBorder="1" applyAlignment="1">
      <alignment horizontal="center" vertical="center"/>
    </xf>
    <xf numFmtId="3" fontId="105" fillId="36" borderId="0" xfId="147" applyNumberFormat="1" applyFont="1" applyFill="1" applyAlignment="1">
      <alignment horizontal="center"/>
    </xf>
    <xf numFmtId="0" fontId="66" fillId="0" borderId="98" xfId="0" applyFont="1" applyBorder="1" applyAlignment="1">
      <alignment horizontal="center" vertical="center" wrapText="1"/>
    </xf>
    <xf numFmtId="0" fontId="50" fillId="0" borderId="82" xfId="0" applyFont="1" applyBorder="1" applyAlignment="1">
      <alignment horizontal="right" vertical="center" wrapText="1"/>
    </xf>
    <xf numFmtId="0" fontId="52" fillId="0" borderId="84" xfId="0" applyFont="1" applyBorder="1" applyAlignment="1">
      <alignment horizontal="center" vertical="center"/>
    </xf>
    <xf numFmtId="0" fontId="66" fillId="0" borderId="12" xfId="0" applyFont="1" applyBorder="1" applyAlignment="1">
      <alignment horizontal="center" vertical="center" wrapText="1"/>
    </xf>
    <xf numFmtId="0" fontId="52" fillId="0" borderId="85" xfId="0" applyFont="1" applyBorder="1" applyAlignment="1">
      <alignment horizontal="center" vertical="center"/>
    </xf>
    <xf numFmtId="0" fontId="66" fillId="0" borderId="5" xfId="0" applyFont="1" applyBorder="1" applyAlignment="1">
      <alignment horizontal="center" vertical="center" wrapText="1"/>
    </xf>
    <xf numFmtId="3" fontId="15" fillId="0" borderId="13" xfId="0" applyNumberFormat="1" applyFont="1" applyBorder="1" applyAlignment="1">
      <alignment horizontal="center" vertical="center" wrapText="1"/>
    </xf>
    <xf numFmtId="0" fontId="50" fillId="20" borderId="15" xfId="0" applyFont="1" applyFill="1" applyBorder="1" applyAlignment="1">
      <alignment horizontal="right" vertical="center" wrapText="1"/>
    </xf>
    <xf numFmtId="0" fontId="50" fillId="20" borderId="16" xfId="0" applyFont="1" applyFill="1" applyBorder="1" applyAlignment="1">
      <alignment horizontal="center" vertical="center" wrapText="1"/>
    </xf>
    <xf numFmtId="0" fontId="50" fillId="20" borderId="17" xfId="0" applyFont="1" applyFill="1" applyBorder="1" applyAlignment="1">
      <alignment horizontal="center" vertical="center" wrapText="1"/>
    </xf>
    <xf numFmtId="0" fontId="50" fillId="20" borderId="18" xfId="0" applyFont="1" applyFill="1" applyBorder="1" applyAlignment="1">
      <alignment horizontal="center" vertical="center" wrapText="1"/>
    </xf>
    <xf numFmtId="0" fontId="15" fillId="0" borderId="0" xfId="0" applyFont="1" applyAlignment="1">
      <alignment horizontal="center" vertical="center" wrapText="1"/>
    </xf>
    <xf numFmtId="0" fontId="50" fillId="0" borderId="0" xfId="0" applyFont="1" applyAlignment="1">
      <alignment horizontal="center" vertical="center" wrapText="1"/>
    </xf>
    <xf numFmtId="166" fontId="52" fillId="22" borderId="22" xfId="41" applyNumberFormat="1" applyFont="1" applyFill="1" applyBorder="1" applyAlignment="1">
      <alignment horizontal="center"/>
    </xf>
    <xf numFmtId="0" fontId="52" fillId="0" borderId="0" xfId="0" applyFont="1"/>
    <xf numFmtId="166" fontId="52" fillId="0" borderId="0" xfId="41" applyNumberFormat="1" applyFont="1"/>
    <xf numFmtId="3" fontId="0" fillId="0" borderId="0" xfId="0" applyNumberFormat="1"/>
    <xf numFmtId="166" fontId="0" fillId="0" borderId="0" xfId="41" applyNumberFormat="1" applyFont="1"/>
    <xf numFmtId="3" fontId="15" fillId="0" borderId="22" xfId="0" applyNumberFormat="1" applyFont="1" applyBorder="1" applyAlignment="1">
      <alignment horizontal="center" vertical="center" wrapText="1"/>
    </xf>
    <xf numFmtId="3" fontId="15" fillId="0" borderId="20" xfId="0" applyNumberFormat="1" applyFont="1" applyBorder="1" applyAlignment="1">
      <alignment horizontal="center" vertical="center" wrapText="1"/>
    </xf>
    <xf numFmtId="1" fontId="52" fillId="0" borderId="0" xfId="0" applyNumberFormat="1" applyFont="1"/>
    <xf numFmtId="0" fontId="0" fillId="0" borderId="0" xfId="0" applyAlignment="1">
      <alignment horizontal="center"/>
    </xf>
    <xf numFmtId="49" fontId="0" fillId="0" borderId="0" xfId="0" applyNumberFormat="1" applyAlignment="1">
      <alignment horizontal="center"/>
    </xf>
    <xf numFmtId="3" fontId="52" fillId="0" borderId="0" xfId="0" applyNumberFormat="1" applyFont="1"/>
    <xf numFmtId="3" fontId="52" fillId="25" borderId="0" xfId="0" applyNumberFormat="1" applyFont="1" applyFill="1"/>
    <xf numFmtId="3" fontId="52" fillId="27" borderId="24" xfId="0" applyNumberFormat="1" applyFont="1" applyFill="1" applyBorder="1" applyAlignment="1">
      <alignment horizontal="center" vertical="center" wrapText="1"/>
    </xf>
    <xf numFmtId="166" fontId="52" fillId="27" borderId="22" xfId="41" applyNumberFormat="1" applyFont="1" applyFill="1" applyBorder="1" applyAlignment="1">
      <alignment horizontal="center"/>
    </xf>
    <xf numFmtId="3" fontId="15" fillId="0" borderId="0" xfId="0" applyNumberFormat="1" applyFont="1" applyAlignment="1">
      <alignment horizontal="center" vertical="center" wrapText="1"/>
    </xf>
    <xf numFmtId="0" fontId="52" fillId="0" borderId="0" xfId="0" applyFont="1" applyAlignment="1">
      <alignment horizontal="center" vertical="center" wrapText="1"/>
    </xf>
    <xf numFmtId="0" fontId="50" fillId="0" borderId="32" xfId="0" applyFont="1" applyBorder="1" applyAlignment="1">
      <alignment horizontal="center" vertical="center" wrapText="1"/>
    </xf>
    <xf numFmtId="0" fontId="52" fillId="0" borderId="0" xfId="0" applyFont="1" applyAlignment="1">
      <alignment vertical="center" wrapText="1"/>
    </xf>
    <xf numFmtId="3" fontId="52" fillId="0" borderId="0" xfId="0" applyNumberFormat="1" applyFont="1" applyAlignment="1">
      <alignment horizontal="center" vertical="center" wrapText="1"/>
    </xf>
    <xf numFmtId="4" fontId="15" fillId="0" borderId="0" xfId="0" applyNumberFormat="1" applyFont="1" applyAlignment="1">
      <alignment horizontal="center" vertical="center" wrapText="1"/>
    </xf>
    <xf numFmtId="9" fontId="15" fillId="0" borderId="0" xfId="41" applyFont="1" applyFill="1" applyBorder="1" applyAlignment="1">
      <alignment horizontal="center" vertical="center" wrapText="1"/>
    </xf>
    <xf numFmtId="3" fontId="15" fillId="0" borderId="34" xfId="0" applyNumberFormat="1" applyFont="1" applyBorder="1" applyAlignment="1">
      <alignment horizontal="center" vertical="center" wrapText="1"/>
    </xf>
    <xf numFmtId="167" fontId="15" fillId="0" borderId="22" xfId="0" applyNumberFormat="1" applyFont="1" applyBorder="1" applyAlignment="1">
      <alignment horizontal="center" vertical="center" wrapText="1"/>
    </xf>
    <xf numFmtId="3" fontId="15" fillId="0" borderId="28" xfId="0" applyNumberFormat="1" applyFont="1" applyBorder="1" applyAlignment="1">
      <alignment horizontal="center" vertical="center" wrapText="1"/>
    </xf>
    <xf numFmtId="3" fontId="15" fillId="0" borderId="37" xfId="0" applyNumberFormat="1" applyFont="1" applyBorder="1" applyAlignment="1">
      <alignment horizontal="center" vertical="center" wrapText="1"/>
    </xf>
    <xf numFmtId="0" fontId="15" fillId="0" borderId="22" xfId="0" applyFont="1" applyBorder="1" applyAlignment="1">
      <alignment horizontal="center" vertical="center" wrapText="1"/>
    </xf>
    <xf numFmtId="166" fontId="52" fillId="28" borderId="22" xfId="41" applyNumberFormat="1" applyFont="1" applyFill="1" applyBorder="1" applyAlignment="1">
      <alignment horizontal="center" vertical="center" wrapText="1"/>
    </xf>
    <xf numFmtId="4" fontId="15" fillId="0" borderId="22" xfId="0" applyNumberFormat="1" applyFont="1" applyBorder="1" applyAlignment="1">
      <alignment horizontal="center" vertical="center" wrapText="1"/>
    </xf>
    <xf numFmtId="166" fontId="52" fillId="0" borderId="22" xfId="41" applyNumberFormat="1" applyFont="1" applyBorder="1" applyAlignment="1">
      <alignment horizontal="center" vertical="center" wrapText="1"/>
    </xf>
    <xf numFmtId="166" fontId="52" fillId="0" borderId="28" xfId="41" applyNumberFormat="1" applyFont="1" applyBorder="1" applyAlignment="1">
      <alignment horizontal="center" vertical="center" wrapText="1"/>
    </xf>
    <xf numFmtId="9" fontId="52" fillId="0" borderId="28" xfId="41" applyFont="1" applyBorder="1" applyAlignment="1">
      <alignment horizontal="center" vertical="center" wrapText="1"/>
    </xf>
    <xf numFmtId="3" fontId="50" fillId="0" borderId="22" xfId="0" applyNumberFormat="1" applyFont="1" applyBorder="1" applyAlignment="1">
      <alignment horizontal="center" vertical="center" wrapText="1"/>
    </xf>
    <xf numFmtId="49" fontId="56" fillId="0" borderId="0" xfId="67" applyNumberFormat="1" applyAlignment="1">
      <alignment horizontal="center" vertical="center"/>
    </xf>
    <xf numFmtId="0" fontId="56" fillId="0" borderId="0" xfId="67"/>
    <xf numFmtId="49" fontId="57" fillId="0" borderId="0" xfId="66" applyNumberFormat="1" applyFont="1" applyAlignment="1">
      <alignment horizontal="center"/>
    </xf>
    <xf numFmtId="49" fontId="60" fillId="30" borderId="5" xfId="66" applyNumberFormat="1" applyFont="1" applyFill="1" applyBorder="1" applyAlignment="1">
      <alignment horizontal="center" vertical="center"/>
    </xf>
    <xf numFmtId="49" fontId="57" fillId="0" borderId="24" xfId="66" applyNumberFormat="1" applyFont="1" applyBorder="1" applyAlignment="1">
      <alignment horizontal="center" wrapText="1"/>
    </xf>
    <xf numFmtId="49" fontId="57" fillId="0" borderId="0" xfId="66" applyNumberFormat="1" applyFont="1" applyAlignment="1">
      <alignment horizontal="center" wrapText="1"/>
    </xf>
    <xf numFmtId="1" fontId="63" fillId="0" borderId="24" xfId="67" quotePrefix="1" applyNumberFormat="1" applyFont="1" applyBorder="1" applyAlignment="1">
      <alignment horizontal="center" vertical="center"/>
    </xf>
    <xf numFmtId="3" fontId="63" fillId="0" borderId="24" xfId="67" applyNumberFormat="1" applyFont="1" applyBorder="1" applyAlignment="1">
      <alignment horizontal="right" vertical="justify"/>
    </xf>
    <xf numFmtId="4" fontId="63" fillId="0" borderId="24" xfId="67" applyNumberFormat="1" applyFont="1" applyBorder="1"/>
    <xf numFmtId="3" fontId="63" fillId="0" borderId="24" xfId="67" applyNumberFormat="1" applyFont="1" applyBorder="1"/>
    <xf numFmtId="3" fontId="63" fillId="0" borderId="27" xfId="67" applyNumberFormat="1" applyFont="1" applyBorder="1" applyAlignment="1">
      <alignment horizontal="right" vertical="justify"/>
    </xf>
    <xf numFmtId="0" fontId="56" fillId="0" borderId="38" xfId="67" applyBorder="1"/>
    <xf numFmtId="169" fontId="56" fillId="0" borderId="24" xfId="67" applyNumberFormat="1" applyBorder="1"/>
    <xf numFmtId="3" fontId="63" fillId="0" borderId="27" xfId="67" applyNumberFormat="1" applyFont="1" applyBorder="1"/>
    <xf numFmtId="3" fontId="63" fillId="0" borderId="0" xfId="67" applyNumberFormat="1" applyFont="1"/>
    <xf numFmtId="2" fontId="38" fillId="0" borderId="0" xfId="67" applyNumberFormat="1" applyFont="1"/>
    <xf numFmtId="168" fontId="63" fillId="0" borderId="24" xfId="67" applyNumberFormat="1" applyFont="1" applyBorder="1"/>
    <xf numFmtId="170" fontId="56" fillId="0" borderId="0" xfId="67" applyNumberFormat="1"/>
    <xf numFmtId="4" fontId="63" fillId="34" borderId="24" xfId="67" applyNumberFormat="1" applyFont="1" applyFill="1" applyBorder="1" applyAlignment="1">
      <alignment horizontal="right" vertical="justify"/>
    </xf>
    <xf numFmtId="4" fontId="63" fillId="34" borderId="27" xfId="67" applyNumberFormat="1" applyFont="1" applyFill="1" applyBorder="1" applyAlignment="1">
      <alignment horizontal="right" vertical="justify"/>
    </xf>
    <xf numFmtId="168" fontId="63" fillId="0" borderId="0" xfId="67" applyNumberFormat="1" applyFont="1"/>
    <xf numFmtId="166" fontId="63" fillId="0" borderId="27" xfId="68" applyNumberFormat="1" applyFont="1" applyFill="1" applyBorder="1" applyAlignment="1">
      <alignment horizontal="right" vertical="justify"/>
    </xf>
    <xf numFmtId="1" fontId="63" fillId="0" borderId="24" xfId="67" applyNumberFormat="1" applyFont="1" applyBorder="1" applyAlignment="1">
      <alignment horizontal="center" vertical="center"/>
    </xf>
    <xf numFmtId="9" fontId="63" fillId="0" borderId="24" xfId="68" applyFont="1" applyFill="1" applyBorder="1"/>
    <xf numFmtId="166" fontId="63" fillId="0" borderId="24" xfId="68" applyNumberFormat="1" applyFont="1" applyFill="1" applyBorder="1"/>
    <xf numFmtId="166" fontId="63" fillId="0" borderId="27" xfId="68" applyNumberFormat="1" applyFont="1" applyFill="1" applyBorder="1"/>
    <xf numFmtId="2" fontId="51" fillId="0" borderId="0" xfId="67" applyNumberFormat="1" applyFont="1"/>
    <xf numFmtId="1" fontId="63" fillId="0" borderId="24" xfId="66" applyNumberFormat="1" applyFont="1" applyBorder="1" applyAlignment="1">
      <alignment horizontal="center" vertical="center"/>
    </xf>
    <xf numFmtId="3" fontId="63" fillId="0" borderId="24" xfId="66" applyNumberFormat="1" applyFont="1" applyBorder="1" applyAlignment="1">
      <alignment horizontal="right" vertical="justify"/>
    </xf>
    <xf numFmtId="3" fontId="57" fillId="0" borderId="24" xfId="66" applyNumberFormat="1" applyFont="1" applyBorder="1" applyAlignment="1">
      <alignment horizontal="center" vertical="justify"/>
    </xf>
    <xf numFmtId="3" fontId="63" fillId="0" borderId="27" xfId="66" applyNumberFormat="1" applyFont="1" applyBorder="1" applyAlignment="1">
      <alignment horizontal="right" vertical="justify"/>
    </xf>
    <xf numFmtId="3" fontId="64" fillId="0" borderId="24" xfId="66" applyNumberFormat="1" applyFont="1" applyBorder="1" applyAlignment="1">
      <alignment horizontal="right" vertical="justify"/>
    </xf>
    <xf numFmtId="3" fontId="64" fillId="0" borderId="27" xfId="66" applyNumberFormat="1" applyFont="1" applyBorder="1" applyAlignment="1">
      <alignment horizontal="right" vertical="justify"/>
    </xf>
    <xf numFmtId="0" fontId="63" fillId="0" borderId="24" xfId="66" applyFont="1" applyBorder="1" applyAlignment="1">
      <alignment horizontal="center"/>
    </xf>
    <xf numFmtId="3" fontId="64" fillId="0" borderId="31" xfId="66" applyNumberFormat="1" applyFont="1" applyBorder="1" applyAlignment="1">
      <alignment horizontal="right" vertical="justify"/>
    </xf>
    <xf numFmtId="0" fontId="56" fillId="0" borderId="39" xfId="67" applyBorder="1"/>
    <xf numFmtId="169" fontId="56" fillId="0" borderId="40" xfId="67" applyNumberFormat="1" applyBorder="1"/>
    <xf numFmtId="2" fontId="51" fillId="0" borderId="5" xfId="67" applyNumberFormat="1" applyFont="1" applyBorder="1"/>
    <xf numFmtId="1" fontId="63" fillId="0" borderId="29" xfId="66" applyNumberFormat="1" applyFont="1" applyBorder="1" applyAlignment="1">
      <alignment horizontal="center" vertical="center"/>
    </xf>
    <xf numFmtId="3" fontId="63" fillId="0" borderId="29" xfId="67" applyNumberFormat="1" applyFont="1" applyBorder="1" applyAlignment="1">
      <alignment horizontal="right" vertical="justify"/>
    </xf>
    <xf numFmtId="3" fontId="65" fillId="0" borderId="29" xfId="67" applyNumberFormat="1" applyFont="1" applyBorder="1" applyAlignment="1">
      <alignment horizontal="right" vertical="justify"/>
    </xf>
    <xf numFmtId="9" fontId="63" fillId="0" borderId="29" xfId="68" applyFont="1" applyFill="1" applyBorder="1"/>
    <xf numFmtId="3" fontId="63" fillId="0" borderId="29" xfId="67" applyNumberFormat="1" applyFont="1" applyBorder="1"/>
    <xf numFmtId="3" fontId="64" fillId="0" borderId="0" xfId="66" applyNumberFormat="1" applyFont="1" applyAlignment="1">
      <alignment horizontal="right" vertical="justify"/>
    </xf>
    <xf numFmtId="169" fontId="56" fillId="0" borderId="0" xfId="67" applyNumberFormat="1"/>
    <xf numFmtId="9" fontId="63" fillId="0" borderId="0" xfId="68" applyFont="1" applyFill="1" applyBorder="1"/>
    <xf numFmtId="49" fontId="57" fillId="35" borderId="41" xfId="67" applyNumberFormat="1" applyFont="1" applyFill="1" applyBorder="1" applyAlignment="1">
      <alignment horizontal="left"/>
    </xf>
    <xf numFmtId="3" fontId="64" fillId="0" borderId="22" xfId="66" applyNumberFormat="1" applyFont="1" applyBorder="1" applyAlignment="1">
      <alignment horizontal="right" vertical="justify"/>
    </xf>
    <xf numFmtId="166" fontId="56" fillId="0" borderId="0" xfId="67" applyNumberFormat="1"/>
    <xf numFmtId="10" fontId="63" fillId="0" borderId="22" xfId="68" applyNumberFormat="1" applyFont="1" applyFill="1" applyBorder="1" applyAlignment="1">
      <alignment horizontal="right" vertical="justify"/>
    </xf>
    <xf numFmtId="10" fontId="63" fillId="0" borderId="0" xfId="68" applyNumberFormat="1" applyFont="1" applyFill="1" applyBorder="1" applyAlignment="1">
      <alignment horizontal="right" vertical="justify"/>
    </xf>
    <xf numFmtId="49" fontId="57" fillId="0" borderId="0" xfId="67" applyNumberFormat="1" applyFont="1" applyAlignment="1">
      <alignment horizontal="left"/>
    </xf>
    <xf numFmtId="49" fontId="57" fillId="0" borderId="24" xfId="66" applyNumberFormat="1" applyFont="1" applyBorder="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0" fontId="14" fillId="0" borderId="0" xfId="0" applyFont="1" applyAlignment="1">
      <alignment vertical="center" wrapText="1"/>
    </xf>
    <xf numFmtId="0" fontId="15" fillId="0" borderId="34" xfId="0" applyFont="1" applyBorder="1" applyAlignment="1">
      <alignment horizontal="center" vertical="center" wrapText="1"/>
    </xf>
    <xf numFmtId="166" fontId="52" fillId="0" borderId="45" xfId="41" applyNumberFormat="1" applyFont="1" applyBorder="1" applyAlignment="1">
      <alignment horizontal="center" vertical="center" wrapText="1"/>
    </xf>
    <xf numFmtId="4" fontId="15" fillId="0" borderId="44" xfId="0" applyNumberFormat="1" applyFont="1" applyBorder="1" applyAlignment="1">
      <alignment horizontal="center" vertical="center" wrapText="1"/>
    </xf>
    <xf numFmtId="166" fontId="52" fillId="0" borderId="44" xfId="41" applyNumberFormat="1" applyFont="1" applyBorder="1" applyAlignment="1">
      <alignment horizontal="center" vertical="center" wrapText="1"/>
    </xf>
    <xf numFmtId="3" fontId="15" fillId="0" borderId="44" xfId="0" applyNumberFormat="1" applyFont="1" applyBorder="1" applyAlignment="1">
      <alignment horizontal="center" vertical="center" wrapText="1"/>
    </xf>
    <xf numFmtId="3" fontId="15" fillId="0" borderId="45" xfId="0" applyNumberFormat="1" applyFont="1" applyBorder="1" applyAlignment="1">
      <alignment horizontal="center" vertical="center" wrapText="1"/>
    </xf>
    <xf numFmtId="3" fontId="50" fillId="0" borderId="44" xfId="0" applyNumberFormat="1" applyFont="1" applyBorder="1" applyAlignment="1">
      <alignment horizontal="center" vertical="center" wrapText="1"/>
    </xf>
    <xf numFmtId="166" fontId="52" fillId="28" borderId="44" xfId="41" applyNumberFormat="1" applyFont="1" applyFill="1" applyBorder="1" applyAlignment="1">
      <alignment horizontal="center" vertical="center" wrapText="1"/>
    </xf>
    <xf numFmtId="0" fontId="52" fillId="24" borderId="29" xfId="0" applyFont="1" applyFill="1" applyBorder="1" applyAlignment="1">
      <alignment horizontal="center" vertical="center" wrapText="1"/>
    </xf>
    <xf numFmtId="3" fontId="52" fillId="24" borderId="30" xfId="0" applyNumberFormat="1" applyFont="1" applyFill="1" applyBorder="1" applyAlignment="1">
      <alignment horizontal="center" vertical="center" wrapText="1"/>
    </xf>
    <xf numFmtId="0" fontId="52" fillId="21" borderId="32" xfId="0" applyFont="1" applyFill="1" applyBorder="1" applyAlignment="1">
      <alignment horizontal="center" vertical="center" wrapText="1"/>
    </xf>
    <xf numFmtId="0" fontId="53" fillId="22" borderId="32" xfId="0" applyFont="1" applyFill="1" applyBorder="1" applyAlignment="1">
      <alignment horizontal="center" vertical="center" wrapText="1" readingOrder="2"/>
    </xf>
    <xf numFmtId="0" fontId="52" fillId="24" borderId="0" xfId="0" applyFont="1" applyFill="1" applyAlignment="1">
      <alignment horizontal="center" vertical="center" wrapText="1"/>
    </xf>
    <xf numFmtId="3" fontId="52" fillId="24" borderId="22" xfId="0" applyNumberFormat="1" applyFont="1" applyFill="1" applyBorder="1" applyAlignment="1">
      <alignment horizontal="center" vertical="center" wrapText="1"/>
    </xf>
    <xf numFmtId="166" fontId="0" fillId="0" borderId="0" xfId="41" applyNumberFormat="1" applyFont="1" applyBorder="1"/>
    <xf numFmtId="166" fontId="52" fillId="0" borderId="0" xfId="41" applyNumberFormat="1" applyFont="1" applyBorder="1"/>
    <xf numFmtId="3" fontId="52" fillId="0" borderId="0" xfId="0" applyNumberFormat="1" applyFont="1" applyAlignment="1">
      <alignment horizontal="center"/>
    </xf>
    <xf numFmtId="166" fontId="52" fillId="0" borderId="0" xfId="41" applyNumberFormat="1" applyFont="1" applyBorder="1" applyAlignment="1">
      <alignment horizontal="center"/>
    </xf>
    <xf numFmtId="0" fontId="53" fillId="0" borderId="32" xfId="0" applyFont="1" applyBorder="1" applyAlignment="1">
      <alignment horizontal="center" vertical="center" wrapText="1" readingOrder="2"/>
    </xf>
    <xf numFmtId="0" fontId="50" fillId="26" borderId="42" xfId="0" applyFont="1" applyFill="1" applyBorder="1" applyAlignment="1">
      <alignment horizontal="center" vertical="center" wrapText="1"/>
    </xf>
    <xf numFmtId="0" fontId="50" fillId="26" borderId="43" xfId="0" applyFont="1" applyFill="1" applyBorder="1" applyAlignment="1">
      <alignment horizontal="center" vertical="center" wrapText="1"/>
    </xf>
    <xf numFmtId="0" fontId="15" fillId="0" borderId="44" xfId="0" applyFont="1" applyBorder="1" applyAlignment="1">
      <alignment horizontal="center" vertical="center" wrapText="1"/>
    </xf>
    <xf numFmtId="0" fontId="50" fillId="0" borderId="34" xfId="0" applyFont="1" applyBorder="1" applyAlignment="1">
      <alignment horizontal="center" vertical="center" wrapText="1"/>
    </xf>
    <xf numFmtId="0" fontId="14" fillId="0" borderId="0" xfId="0" applyFont="1"/>
    <xf numFmtId="0" fontId="0" fillId="0" borderId="0" xfId="0" applyAlignment="1">
      <alignment horizontal="right"/>
    </xf>
    <xf numFmtId="0" fontId="52" fillId="0" borderId="0" xfId="0" applyFont="1" applyAlignment="1">
      <alignment horizontal="right"/>
    </xf>
    <xf numFmtId="170" fontId="0" fillId="0" borderId="0" xfId="0" applyNumberFormat="1" applyAlignment="1">
      <alignment horizontal="center" vertical="center"/>
    </xf>
    <xf numFmtId="166" fontId="0" fillId="0" borderId="0" xfId="41" applyNumberFormat="1" applyFont="1" applyAlignment="1">
      <alignment horizontal="center"/>
    </xf>
    <xf numFmtId="166" fontId="50" fillId="28" borderId="21" xfId="41" applyNumberFormat="1" applyFont="1" applyFill="1" applyBorder="1" applyAlignment="1">
      <alignment horizontal="center" vertical="center" wrapText="1"/>
    </xf>
    <xf numFmtId="4" fontId="50" fillId="0" borderId="22" xfId="0" applyNumberFormat="1" applyFont="1" applyBorder="1" applyAlignment="1">
      <alignment horizontal="center" vertical="center" wrapText="1"/>
    </xf>
    <xf numFmtId="4" fontId="50" fillId="0" borderId="44" xfId="0" applyNumberFormat="1" applyFont="1" applyBorder="1" applyAlignment="1">
      <alignment horizontal="center" vertical="center" wrapText="1"/>
    </xf>
    <xf numFmtId="0" fontId="14" fillId="0" borderId="0" xfId="69"/>
    <xf numFmtId="0" fontId="14" fillId="0" borderId="0" xfId="69" applyAlignment="1">
      <alignment horizontal="center"/>
    </xf>
    <xf numFmtId="3" fontId="14" fillId="0" borderId="0" xfId="69" applyNumberFormat="1"/>
    <xf numFmtId="9" fontId="0" fillId="0" borderId="0" xfId="41" applyFont="1"/>
    <xf numFmtId="1" fontId="14" fillId="0" borderId="0" xfId="69" applyNumberFormat="1" applyAlignment="1">
      <alignment horizontal="center"/>
    </xf>
    <xf numFmtId="2" fontId="14" fillId="0" borderId="0" xfId="69" applyNumberFormat="1" applyAlignment="1">
      <alignment horizontal="center"/>
    </xf>
    <xf numFmtId="167" fontId="14" fillId="0" borderId="24" xfId="69" applyNumberFormat="1" applyBorder="1" applyAlignment="1">
      <alignment horizontal="center"/>
    </xf>
    <xf numFmtId="2" fontId="14" fillId="0" borderId="0" xfId="69" applyNumberFormat="1"/>
    <xf numFmtId="9" fontId="0" fillId="37" borderId="0" xfId="41" applyFont="1" applyFill="1"/>
    <xf numFmtId="9" fontId="0" fillId="23" borderId="0" xfId="41" applyFont="1" applyFill="1"/>
    <xf numFmtId="0" fontId="14" fillId="23" borderId="0" xfId="69" applyFill="1"/>
    <xf numFmtId="0" fontId="14" fillId="23" borderId="0" xfId="69" applyFill="1" applyAlignment="1">
      <alignment horizontal="center"/>
    </xf>
    <xf numFmtId="3" fontId="14" fillId="23" borderId="24" xfId="69" applyNumberFormat="1" applyFill="1" applyBorder="1" applyAlignment="1">
      <alignment horizontal="center"/>
    </xf>
    <xf numFmtId="170" fontId="14" fillId="0" borderId="0" xfId="69" applyNumberFormat="1"/>
    <xf numFmtId="170" fontId="0" fillId="0" borderId="0" xfId="0" applyNumberFormat="1"/>
    <xf numFmtId="170" fontId="52" fillId="0" borderId="0" xfId="0" applyNumberFormat="1" applyFont="1" applyAlignment="1">
      <alignment horizontal="center"/>
    </xf>
    <xf numFmtId="167" fontId="0" fillId="0" borderId="0" xfId="0" applyNumberFormat="1"/>
    <xf numFmtId="0" fontId="67" fillId="20" borderId="43" xfId="0" applyFont="1" applyFill="1" applyBorder="1" applyAlignment="1">
      <alignment horizontal="center" vertical="center" wrapText="1"/>
    </xf>
    <xf numFmtId="171" fontId="0" fillId="0" borderId="0" xfId="0" applyNumberFormat="1" applyAlignment="1">
      <alignment vertical="center"/>
    </xf>
    <xf numFmtId="166" fontId="15" fillId="0" borderId="0" xfId="0" applyNumberFormat="1" applyFont="1" applyAlignment="1">
      <alignment horizontal="center" vertical="center" wrapText="1"/>
    </xf>
    <xf numFmtId="0" fontId="50" fillId="20" borderId="0" xfId="0" applyFont="1" applyFill="1" applyAlignment="1">
      <alignment horizontal="right"/>
    </xf>
    <xf numFmtId="3" fontId="15" fillId="0" borderId="52" xfId="0" applyNumberFormat="1" applyFont="1" applyBorder="1" applyAlignment="1">
      <alignment horizontal="center" vertical="center" wrapText="1"/>
    </xf>
    <xf numFmtId="0" fontId="52" fillId="0" borderId="0" xfId="69" applyFont="1" applyAlignment="1">
      <alignment horizontal="center"/>
    </xf>
    <xf numFmtId="2" fontId="52" fillId="0" borderId="0" xfId="69" applyNumberFormat="1" applyFont="1" applyAlignment="1">
      <alignment horizontal="center"/>
    </xf>
    <xf numFmtId="1" fontId="52" fillId="0" borderId="0" xfId="69" applyNumberFormat="1" applyFont="1" applyAlignment="1">
      <alignment horizontal="center"/>
    </xf>
    <xf numFmtId="0" fontId="52" fillId="0" borderId="0" xfId="69" applyFont="1" applyAlignment="1">
      <alignment horizontal="center" readingOrder="2"/>
    </xf>
    <xf numFmtId="10" fontId="14" fillId="0" borderId="0" xfId="69" applyNumberFormat="1"/>
    <xf numFmtId="3" fontId="15" fillId="0" borderId="19" xfId="0" applyNumberFormat="1" applyFont="1" applyBorder="1" applyAlignment="1">
      <alignment horizontal="center" vertical="center" wrapText="1"/>
    </xf>
    <xf numFmtId="171" fontId="15" fillId="0" borderId="0" xfId="0" applyNumberFormat="1" applyFont="1" applyAlignment="1">
      <alignment horizontal="center" vertical="center" wrapText="1"/>
    </xf>
    <xf numFmtId="172" fontId="15" fillId="0" borderId="0" xfId="0" applyNumberFormat="1" applyFont="1" applyAlignment="1">
      <alignment horizontal="center" vertical="center" wrapText="1"/>
    </xf>
    <xf numFmtId="0" fontId="50" fillId="0" borderId="0" xfId="0" applyFont="1" applyAlignment="1">
      <alignment horizontal="right" vertical="center" wrapText="1"/>
    </xf>
    <xf numFmtId="170" fontId="50" fillId="0" borderId="0" xfId="0" applyNumberFormat="1" applyFont="1" applyAlignment="1">
      <alignment horizontal="center" vertical="center" wrapText="1"/>
    </xf>
    <xf numFmtId="0" fontId="50" fillId="0" borderId="23" xfId="0" applyFont="1" applyBorder="1" applyAlignment="1">
      <alignment horizontal="right" vertical="center" wrapText="1"/>
    </xf>
    <xf numFmtId="170" fontId="50" fillId="0" borderId="23" xfId="0" applyNumberFormat="1" applyFont="1" applyBorder="1" applyAlignment="1">
      <alignment horizontal="center" vertical="center" wrapText="1"/>
    </xf>
    <xf numFmtId="167" fontId="50" fillId="0" borderId="22" xfId="0" applyNumberFormat="1" applyFont="1" applyBorder="1" applyAlignment="1">
      <alignment horizontal="center" vertical="center" wrapText="1"/>
    </xf>
    <xf numFmtId="0" fontId="15" fillId="0" borderId="29" xfId="0" applyFont="1" applyBorder="1" applyAlignment="1">
      <alignment horizontal="center" vertical="center" wrapText="1"/>
    </xf>
    <xf numFmtId="167" fontId="50" fillId="0" borderId="44" xfId="0" applyNumberFormat="1" applyFont="1" applyBorder="1" applyAlignment="1">
      <alignment horizontal="center" vertical="center" wrapText="1"/>
    </xf>
    <xf numFmtId="168" fontId="50" fillId="0" borderId="22" xfId="0" applyNumberFormat="1" applyFont="1" applyBorder="1" applyAlignment="1">
      <alignment horizontal="center" vertical="center" wrapText="1"/>
    </xf>
    <xf numFmtId="166" fontId="52" fillId="28" borderId="54" xfId="41" applyNumberFormat="1" applyFont="1" applyFill="1" applyBorder="1" applyAlignment="1">
      <alignment horizontal="center" vertical="center" wrapText="1"/>
    </xf>
    <xf numFmtId="166" fontId="50" fillId="0" borderId="22" xfId="41" applyNumberFormat="1" applyFont="1" applyBorder="1" applyAlignment="1">
      <alignment horizontal="center" vertical="center" wrapText="1"/>
    </xf>
    <xf numFmtId="166" fontId="50" fillId="0" borderId="44" xfId="41" applyNumberFormat="1" applyFont="1" applyBorder="1" applyAlignment="1">
      <alignment horizontal="center" vertical="center" wrapText="1"/>
    </xf>
    <xf numFmtId="166" fontId="15" fillId="0" borderId="22" xfId="41" applyNumberFormat="1" applyFont="1" applyBorder="1" applyAlignment="1">
      <alignment horizontal="center" vertical="center" wrapText="1"/>
    </xf>
    <xf numFmtId="166" fontId="15" fillId="0" borderId="0" xfId="41" applyNumberFormat="1" applyFont="1" applyAlignment="1">
      <alignment horizontal="center" vertical="center" wrapText="1"/>
    </xf>
    <xf numFmtId="166" fontId="15" fillId="0" borderId="29" xfId="41" applyNumberFormat="1" applyFont="1" applyBorder="1" applyAlignment="1">
      <alignment horizontal="center" vertical="center" wrapText="1"/>
    </xf>
    <xf numFmtId="167" fontId="15" fillId="0" borderId="0" xfId="0" applyNumberFormat="1" applyFont="1" applyAlignment="1">
      <alignment horizontal="center" vertical="center" wrapText="1"/>
    </xf>
    <xf numFmtId="2" fontId="15" fillId="0" borderId="0" xfId="0" applyNumberFormat="1" applyFont="1" applyAlignment="1">
      <alignment horizontal="center" vertical="center" wrapText="1"/>
    </xf>
    <xf numFmtId="0" fontId="51" fillId="18" borderId="0" xfId="69" applyFont="1" applyFill="1"/>
    <xf numFmtId="166" fontId="51" fillId="18" borderId="0" xfId="41" applyNumberFormat="1" applyFont="1" applyFill="1" applyBorder="1"/>
    <xf numFmtId="173" fontId="51" fillId="18" borderId="0" xfId="28" applyNumberFormat="1" applyFont="1" applyFill="1" applyBorder="1"/>
    <xf numFmtId="166" fontId="51" fillId="18" borderId="0" xfId="41" applyNumberFormat="1" applyFont="1" applyFill="1" applyBorder="1" applyAlignment="1">
      <alignment horizontal="center"/>
    </xf>
    <xf numFmtId="0" fontId="51" fillId="18" borderId="38" xfId="69" applyFont="1" applyFill="1" applyBorder="1" applyAlignment="1">
      <alignment horizontal="right"/>
    </xf>
    <xf numFmtId="166" fontId="51" fillId="18" borderId="0" xfId="41" applyNumberFormat="1" applyFont="1" applyFill="1" applyAlignment="1">
      <alignment horizontal="center"/>
    </xf>
    <xf numFmtId="9" fontId="51" fillId="18" borderId="0" xfId="41" applyFont="1" applyFill="1"/>
    <xf numFmtId="0" fontId="51" fillId="0" borderId="38" xfId="69" applyFont="1" applyBorder="1" applyAlignment="1">
      <alignment horizontal="right"/>
    </xf>
    <xf numFmtId="9" fontId="51" fillId="18" borderId="0" xfId="41" applyFont="1" applyFill="1" applyBorder="1"/>
    <xf numFmtId="10" fontId="51" fillId="18" borderId="0" xfId="41" applyNumberFormat="1" applyFont="1" applyFill="1"/>
    <xf numFmtId="0" fontId="70" fillId="18" borderId="0" xfId="69" applyFont="1" applyFill="1"/>
    <xf numFmtId="10" fontId="51" fillId="18" borderId="0" xfId="69" applyNumberFormat="1" applyFont="1" applyFill="1"/>
    <xf numFmtId="0" fontId="50" fillId="0" borderId="29" xfId="0" applyFont="1" applyBorder="1" applyAlignment="1">
      <alignment horizontal="right" vertical="center" wrapText="1"/>
    </xf>
    <xf numFmtId="0" fontId="52" fillId="0" borderId="34" xfId="0" applyFont="1" applyBorder="1" applyAlignment="1">
      <alignment horizontal="center" vertical="center" wrapText="1"/>
    </xf>
    <xf numFmtId="3" fontId="0" fillId="0" borderId="22" xfId="0" applyNumberFormat="1" applyBorder="1" applyAlignment="1">
      <alignment horizontal="center" vertical="center" wrapText="1"/>
    </xf>
    <xf numFmtId="0" fontId="15" fillId="0" borderId="0" xfId="0" applyFont="1" applyAlignment="1">
      <alignment horizontal="right" vertical="center"/>
    </xf>
    <xf numFmtId="0" fontId="15" fillId="0" borderId="0" xfId="0" applyFont="1" applyAlignment="1">
      <alignment horizontal="left" vertical="center"/>
    </xf>
    <xf numFmtId="9" fontId="15" fillId="0" borderId="0" xfId="0" applyNumberFormat="1" applyFont="1" applyAlignment="1">
      <alignment horizontal="center" vertical="center" wrapText="1"/>
    </xf>
    <xf numFmtId="0" fontId="15" fillId="0" borderId="55" xfId="0" applyFont="1" applyBorder="1" applyAlignment="1">
      <alignment horizontal="center" vertical="center" wrapText="1"/>
    </xf>
    <xf numFmtId="166" fontId="52" fillId="0" borderId="22" xfId="41" applyNumberFormat="1" applyFont="1" applyFill="1" applyBorder="1" applyAlignment="1">
      <alignment horizontal="center" vertical="center" wrapText="1"/>
    </xf>
    <xf numFmtId="0" fontId="15" fillId="0" borderId="0" xfId="0" applyFont="1" applyAlignment="1">
      <alignment vertical="center" wrapText="1"/>
    </xf>
    <xf numFmtId="166" fontId="15" fillId="0" borderId="0" xfId="0" applyNumberFormat="1" applyFont="1" applyAlignment="1">
      <alignment horizontal="center" vertical="center"/>
    </xf>
    <xf numFmtId="170" fontId="15" fillId="0" borderId="22" xfId="0" applyNumberFormat="1" applyFont="1" applyBorder="1" applyAlignment="1">
      <alignment horizontal="center"/>
    </xf>
    <xf numFmtId="170" fontId="50" fillId="40" borderId="22" xfId="0" applyNumberFormat="1" applyFont="1" applyFill="1" applyBorder="1" applyAlignment="1">
      <alignment horizontal="center"/>
    </xf>
    <xf numFmtId="170" fontId="15" fillId="0" borderId="44" xfId="0" applyNumberFormat="1" applyFont="1" applyBorder="1" applyAlignment="1">
      <alignment horizontal="center"/>
    </xf>
    <xf numFmtId="9" fontId="50" fillId="39" borderId="34" xfId="0" applyNumberFormat="1" applyFont="1" applyFill="1" applyBorder="1" applyAlignment="1">
      <alignment horizontal="center"/>
    </xf>
    <xf numFmtId="10" fontId="50" fillId="39" borderId="34" xfId="0" applyNumberFormat="1" applyFont="1" applyFill="1" applyBorder="1" applyAlignment="1">
      <alignment horizontal="center"/>
    </xf>
    <xf numFmtId="166" fontId="50" fillId="39" borderId="34" xfId="0" applyNumberFormat="1" applyFont="1" applyFill="1" applyBorder="1" applyAlignment="1">
      <alignment horizontal="center"/>
    </xf>
    <xf numFmtId="1" fontId="50" fillId="0" borderId="0" xfId="0" applyNumberFormat="1" applyFont="1" applyAlignment="1">
      <alignment horizontal="center" vertical="center"/>
    </xf>
    <xf numFmtId="170" fontId="72" fillId="0" borderId="23" xfId="0" applyNumberFormat="1" applyFont="1" applyBorder="1" applyAlignment="1">
      <alignment horizontal="center"/>
    </xf>
    <xf numFmtId="1" fontId="50" fillId="39" borderId="24" xfId="0" applyNumberFormat="1" applyFont="1" applyFill="1" applyBorder="1" applyAlignment="1">
      <alignment horizontal="center"/>
    </xf>
    <xf numFmtId="1" fontId="50" fillId="40" borderId="24" xfId="0" applyNumberFormat="1" applyFont="1" applyFill="1" applyBorder="1" applyAlignment="1">
      <alignment horizontal="center"/>
    </xf>
    <xf numFmtId="1" fontId="50" fillId="39" borderId="49" xfId="0" applyNumberFormat="1" applyFont="1" applyFill="1" applyBorder="1" applyAlignment="1">
      <alignment horizontal="center"/>
    </xf>
    <xf numFmtId="170" fontId="50" fillId="0" borderId="30" xfId="0" applyNumberFormat="1" applyFont="1" applyBorder="1" applyAlignment="1">
      <alignment horizontal="center" vertical="center" wrapText="1"/>
    </xf>
    <xf numFmtId="170" fontId="50" fillId="40" borderId="30" xfId="0" applyNumberFormat="1" applyFont="1" applyFill="1" applyBorder="1" applyAlignment="1">
      <alignment horizontal="center" vertical="center"/>
    </xf>
    <xf numFmtId="170" fontId="50" fillId="0" borderId="48" xfId="0" applyNumberFormat="1" applyFont="1" applyBorder="1" applyAlignment="1">
      <alignment horizontal="center" vertical="center" wrapText="1"/>
    </xf>
    <xf numFmtId="166" fontId="50" fillId="0" borderId="22" xfId="0" applyNumberFormat="1" applyFont="1" applyBorder="1" applyAlignment="1">
      <alignment horizontal="center" vertical="center" wrapText="1"/>
    </xf>
    <xf numFmtId="166" fontId="50" fillId="0" borderId="44" xfId="0" applyNumberFormat="1" applyFont="1" applyBorder="1" applyAlignment="1">
      <alignment horizontal="center" vertical="center" wrapText="1"/>
    </xf>
    <xf numFmtId="166" fontId="50" fillId="40" borderId="22" xfId="0" applyNumberFormat="1" applyFont="1" applyFill="1" applyBorder="1" applyAlignment="1">
      <alignment horizontal="center" vertical="center" wrapText="1"/>
    </xf>
    <xf numFmtId="166" fontId="52" fillId="0" borderId="34" xfId="41" applyNumberFormat="1" applyFont="1" applyBorder="1" applyAlignment="1">
      <alignment horizontal="center" vertical="center" wrapText="1"/>
    </xf>
    <xf numFmtId="166" fontId="52" fillId="28" borderId="34" xfId="41" applyNumberFormat="1" applyFont="1" applyFill="1" applyBorder="1" applyAlignment="1">
      <alignment horizontal="center" vertical="center" wrapText="1"/>
    </xf>
    <xf numFmtId="166" fontId="52" fillId="0" borderId="34" xfId="41" applyNumberFormat="1" applyFont="1" applyFill="1" applyBorder="1" applyAlignment="1">
      <alignment horizontal="center" vertical="center" wrapText="1"/>
    </xf>
    <xf numFmtId="0" fontId="50" fillId="29" borderId="32" xfId="0" applyFont="1" applyFill="1" applyBorder="1" applyAlignment="1">
      <alignment horizontal="center" vertical="center" wrapText="1"/>
    </xf>
    <xf numFmtId="0" fontId="53" fillId="41" borderId="32" xfId="0" applyFont="1" applyFill="1" applyBorder="1" applyAlignment="1">
      <alignment horizontal="center" vertical="center" wrapText="1"/>
    </xf>
    <xf numFmtId="0" fontId="50" fillId="41" borderId="0" xfId="0" applyFont="1" applyFill="1" applyAlignment="1">
      <alignment horizontal="center" vertical="center" wrapText="1"/>
    </xf>
    <xf numFmtId="166" fontId="52" fillId="41" borderId="0" xfId="41" applyNumberFormat="1" applyFont="1" applyFill="1" applyBorder="1" applyAlignment="1">
      <alignment horizontal="center" vertical="center" wrapText="1"/>
    </xf>
    <xf numFmtId="0" fontId="50" fillId="28" borderId="34" xfId="0" applyFont="1" applyFill="1" applyBorder="1" applyAlignment="1">
      <alignment horizontal="center" vertical="center" wrapText="1"/>
    </xf>
    <xf numFmtId="0" fontId="53" fillId="28" borderId="32" xfId="0" applyFont="1" applyFill="1" applyBorder="1" applyAlignment="1">
      <alignment horizontal="center" vertical="center" wrapText="1" readingOrder="2"/>
    </xf>
    <xf numFmtId="1" fontId="15" fillId="0" borderId="0" xfId="0" applyNumberFormat="1" applyFont="1" applyAlignment="1">
      <alignment horizontal="center" vertical="center" wrapText="1"/>
    </xf>
    <xf numFmtId="168" fontId="15" fillId="0" borderId="22" xfId="0" applyNumberFormat="1" applyFont="1" applyBorder="1" applyAlignment="1">
      <alignment horizontal="center" vertical="center" wrapText="1"/>
    </xf>
    <xf numFmtId="3" fontId="52" fillId="0" borderId="0" xfId="69" applyNumberFormat="1" applyFont="1" applyAlignment="1">
      <alignment horizontal="center"/>
    </xf>
    <xf numFmtId="172" fontId="14" fillId="0" borderId="0" xfId="69" applyNumberFormat="1" applyAlignment="1">
      <alignment horizontal="center"/>
    </xf>
    <xf numFmtId="170" fontId="52" fillId="0" borderId="0" xfId="69" applyNumberFormat="1" applyFont="1" applyAlignment="1">
      <alignment horizontal="center"/>
    </xf>
    <xf numFmtId="0" fontId="15" fillId="0" borderId="0" xfId="0" applyFont="1" applyAlignment="1">
      <alignment horizontal="right" vertical="center" readingOrder="2"/>
    </xf>
    <xf numFmtId="9" fontId="50" fillId="0" borderId="22" xfId="41" applyFont="1" applyBorder="1" applyAlignment="1">
      <alignment horizontal="center" vertical="center" wrapText="1"/>
    </xf>
    <xf numFmtId="9" fontId="50" fillId="0" borderId="44" xfId="41" applyFont="1" applyBorder="1" applyAlignment="1">
      <alignment horizontal="center" vertical="center" wrapText="1"/>
    </xf>
    <xf numFmtId="9" fontId="50" fillId="40" borderId="22" xfId="41" applyFont="1" applyFill="1" applyBorder="1" applyAlignment="1">
      <alignment horizontal="center" vertical="center"/>
    </xf>
    <xf numFmtId="9" fontId="15" fillId="0" borderId="0" xfId="41" applyFont="1" applyAlignment="1">
      <alignment horizontal="center" vertical="center" wrapText="1"/>
    </xf>
    <xf numFmtId="17" fontId="15" fillId="0" borderId="0" xfId="0" applyNumberFormat="1" applyFont="1" applyAlignment="1">
      <alignment horizontal="center" vertical="center" wrapText="1"/>
    </xf>
    <xf numFmtId="3" fontId="15" fillId="28" borderId="45" xfId="0" applyNumberFormat="1" applyFont="1" applyFill="1" applyBorder="1" applyAlignment="1">
      <alignment horizontal="center" vertical="center" wrapText="1"/>
    </xf>
    <xf numFmtId="3" fontId="15" fillId="28" borderId="28" xfId="0" applyNumberFormat="1" applyFont="1" applyFill="1" applyBorder="1" applyAlignment="1">
      <alignment horizontal="center" vertical="center" wrapText="1"/>
    </xf>
    <xf numFmtId="0" fontId="14" fillId="0" borderId="0" xfId="0" applyFont="1" applyAlignment="1">
      <alignment horizontal="center" vertical="center" wrapText="1"/>
    </xf>
    <xf numFmtId="0" fontId="0" fillId="0" borderId="0" xfId="0" applyAlignment="1">
      <alignment horizontal="center" vertical="center"/>
    </xf>
    <xf numFmtId="2" fontId="14" fillId="0" borderId="0" xfId="0" applyNumberFormat="1" applyFont="1" applyAlignment="1">
      <alignment horizontal="center" vertical="center" wrapText="1"/>
    </xf>
    <xf numFmtId="0" fontId="14" fillId="0" borderId="0" xfId="0" applyFont="1" applyAlignment="1">
      <alignment horizontal="center" vertical="center"/>
    </xf>
    <xf numFmtId="0" fontId="52" fillId="0" borderId="0" xfId="0" applyFont="1" applyAlignment="1">
      <alignment horizontal="center" vertical="center" readingOrder="1"/>
    </xf>
    <xf numFmtId="0" fontId="52" fillId="0" borderId="34" xfId="0" applyFont="1" applyBorder="1" applyAlignment="1">
      <alignment horizontal="center" vertical="center" readingOrder="2"/>
    </xf>
    <xf numFmtId="9" fontId="0" fillId="0" borderId="22" xfId="0" applyNumberFormat="1" applyBorder="1" applyAlignment="1">
      <alignment horizontal="center" vertical="center"/>
    </xf>
    <xf numFmtId="0" fontId="0" fillId="0" borderId="34" xfId="0" applyBorder="1" applyAlignment="1">
      <alignment horizontal="center" vertical="center"/>
    </xf>
    <xf numFmtId="1" fontId="0" fillId="0" borderId="22" xfId="0" applyNumberFormat="1" applyBorder="1" applyAlignment="1">
      <alignment horizontal="center" vertical="center"/>
    </xf>
    <xf numFmtId="1" fontId="0" fillId="0" borderId="44" xfId="0" applyNumberFormat="1" applyBorder="1" applyAlignment="1">
      <alignment horizontal="center" vertical="center"/>
    </xf>
    <xf numFmtId="0" fontId="52" fillId="0" borderId="34" xfId="0" applyFont="1" applyBorder="1" applyAlignment="1">
      <alignment horizontal="center" vertical="center" readingOrder="1"/>
    </xf>
    <xf numFmtId="0" fontId="0" fillId="0" borderId="37" xfId="0" applyBorder="1" applyAlignment="1">
      <alignment horizontal="center" vertical="center"/>
    </xf>
    <xf numFmtId="9" fontId="0" fillId="0" borderId="28" xfId="0" applyNumberFormat="1" applyBorder="1" applyAlignment="1">
      <alignment horizontal="center" vertical="center"/>
    </xf>
    <xf numFmtId="1" fontId="0" fillId="0" borderId="28" xfId="0" applyNumberFormat="1" applyBorder="1" applyAlignment="1">
      <alignment horizontal="center" vertical="center"/>
    </xf>
    <xf numFmtId="1" fontId="0" fillId="0" borderId="45" xfId="0" applyNumberFormat="1" applyBorder="1" applyAlignment="1">
      <alignment horizontal="center" vertical="center"/>
    </xf>
    <xf numFmtId="0" fontId="52" fillId="0" borderId="37" xfId="0" applyFont="1" applyBorder="1" applyAlignment="1">
      <alignment horizontal="center" vertical="center" readingOrder="1"/>
    </xf>
    <xf numFmtId="0" fontId="52" fillId="0" borderId="13" xfId="0" applyFont="1" applyBorder="1" applyAlignment="1">
      <alignment horizontal="center" vertical="center" wrapText="1"/>
    </xf>
    <xf numFmtId="3" fontId="52" fillId="0" borderId="13" xfId="0" applyNumberFormat="1" applyFont="1" applyBorder="1" applyAlignment="1">
      <alignment horizontal="center" vertical="center"/>
    </xf>
    <xf numFmtId="3" fontId="52" fillId="0" borderId="14" xfId="0" applyNumberFormat="1" applyFont="1" applyBorder="1" applyAlignment="1">
      <alignment horizontal="center" vertical="center"/>
    </xf>
    <xf numFmtId="0" fontId="74" fillId="0" borderId="34" xfId="0" applyFont="1" applyBorder="1" applyAlignment="1">
      <alignment horizontal="center" vertical="center"/>
    </xf>
    <xf numFmtId="170" fontId="0" fillId="0" borderId="22" xfId="0" applyNumberFormat="1" applyBorder="1" applyAlignment="1">
      <alignment horizontal="center" vertical="center"/>
    </xf>
    <xf numFmtId="170" fontId="0" fillId="0" borderId="44" xfId="0" applyNumberFormat="1" applyBorder="1" applyAlignment="1">
      <alignment horizontal="center" vertical="center"/>
    </xf>
    <xf numFmtId="3" fontId="52" fillId="28" borderId="13" xfId="0" applyNumberFormat="1" applyFont="1" applyFill="1" applyBorder="1" applyAlignment="1">
      <alignment horizontal="center" vertical="center"/>
    </xf>
    <xf numFmtId="1" fontId="0" fillId="28" borderId="22" xfId="0" applyNumberFormat="1" applyFill="1" applyBorder="1" applyAlignment="1">
      <alignment horizontal="center" vertical="center"/>
    </xf>
    <xf numFmtId="1" fontId="0" fillId="28" borderId="28" xfId="0" applyNumberFormat="1" applyFill="1" applyBorder="1" applyAlignment="1">
      <alignment horizontal="center" vertical="center"/>
    </xf>
    <xf numFmtId="0" fontId="52" fillId="39" borderId="28" xfId="0" applyFont="1" applyFill="1" applyBorder="1" applyAlignment="1">
      <alignment horizontal="center" vertical="center" wrapText="1"/>
    </xf>
    <xf numFmtId="3" fontId="52" fillId="39" borderId="28" xfId="0" applyNumberFormat="1" applyFont="1" applyFill="1" applyBorder="1" applyAlignment="1">
      <alignment horizontal="center" vertical="center"/>
    </xf>
    <xf numFmtId="3" fontId="52" fillId="39" borderId="45" xfId="0" applyNumberFormat="1" applyFont="1" applyFill="1" applyBorder="1" applyAlignment="1">
      <alignment horizontal="center" vertical="center"/>
    </xf>
    <xf numFmtId="0" fontId="52" fillId="0" borderId="34" xfId="0" applyFont="1" applyBorder="1" applyAlignment="1">
      <alignment horizontal="center" vertical="center" wrapText="1" readingOrder="1"/>
    </xf>
    <xf numFmtId="9" fontId="0" fillId="29" borderId="28" xfId="0" applyNumberFormat="1" applyFill="1" applyBorder="1" applyAlignment="1">
      <alignment horizontal="center" vertical="center"/>
    </xf>
    <xf numFmtId="1" fontId="52" fillId="29" borderId="28" xfId="0" applyNumberFormat="1" applyFont="1" applyFill="1" applyBorder="1" applyAlignment="1">
      <alignment horizontal="center" vertical="center"/>
    </xf>
    <xf numFmtId="170" fontId="15" fillId="0" borderId="0" xfId="0" applyNumberFormat="1" applyFont="1" applyAlignment="1">
      <alignment horizontal="center" vertical="center" wrapText="1"/>
    </xf>
    <xf numFmtId="170" fontId="0" fillId="28" borderId="22" xfId="0" applyNumberFormat="1" applyFill="1" applyBorder="1" applyAlignment="1">
      <alignment horizontal="center" vertical="center"/>
    </xf>
    <xf numFmtId="166" fontId="0" fillId="0" borderId="0" xfId="0" applyNumberFormat="1" applyAlignment="1">
      <alignment horizontal="center" vertical="center"/>
    </xf>
    <xf numFmtId="1" fontId="0" fillId="0" borderId="68" xfId="0" applyNumberFormat="1" applyBorder="1" applyAlignment="1">
      <alignment horizontal="center" vertical="center"/>
    </xf>
    <xf numFmtId="1" fontId="52" fillId="29" borderId="45" xfId="0" applyNumberFormat="1" applyFont="1" applyFill="1" applyBorder="1" applyAlignment="1">
      <alignment horizontal="center" vertical="center"/>
    </xf>
    <xf numFmtId="0" fontId="0" fillId="0" borderId="22" xfId="0" applyBorder="1" applyAlignment="1">
      <alignment horizontal="center" vertical="center"/>
    </xf>
    <xf numFmtId="0" fontId="0" fillId="0" borderId="44" xfId="0" applyBorder="1" applyAlignment="1">
      <alignment horizontal="center" vertical="center"/>
    </xf>
    <xf numFmtId="3" fontId="0" fillId="0" borderId="22" xfId="0" applyNumberFormat="1" applyBorder="1" applyAlignment="1">
      <alignment horizontal="center" vertical="center"/>
    </xf>
    <xf numFmtId="9" fontId="0" fillId="0" borderId="44" xfId="0" applyNumberFormat="1" applyBorder="1" applyAlignment="1">
      <alignment horizontal="center" vertical="center"/>
    </xf>
    <xf numFmtId="0" fontId="52" fillId="39" borderId="70" xfId="0" applyFont="1" applyFill="1" applyBorder="1" applyAlignment="1">
      <alignment horizontal="center" vertical="center"/>
    </xf>
    <xf numFmtId="0" fontId="52" fillId="39" borderId="71" xfId="0" applyFont="1" applyFill="1" applyBorder="1" applyAlignment="1">
      <alignment horizontal="center" vertical="center"/>
    </xf>
    <xf numFmtId="0" fontId="52" fillId="39" borderId="72" xfId="0" applyFont="1" applyFill="1" applyBorder="1" applyAlignment="1">
      <alignment horizontal="center" vertical="center"/>
    </xf>
    <xf numFmtId="0" fontId="52" fillId="0" borderId="34" xfId="0" applyFont="1" applyBorder="1" applyAlignment="1">
      <alignment horizontal="center" vertical="center"/>
    </xf>
    <xf numFmtId="0" fontId="52" fillId="0" borderId="0" xfId="0" applyFont="1" applyAlignment="1">
      <alignment horizontal="center" vertical="center"/>
    </xf>
    <xf numFmtId="10" fontId="0" fillId="0" borderId="0" xfId="0" applyNumberFormat="1" applyAlignment="1">
      <alignment horizontal="center" vertical="center"/>
    </xf>
    <xf numFmtId="9" fontId="52" fillId="0" borderId="0" xfId="0" applyNumberFormat="1" applyFont="1" applyAlignment="1">
      <alignment horizontal="center" vertical="center"/>
    </xf>
    <xf numFmtId="1" fontId="0" fillId="0" borderId="74" xfId="0" applyNumberFormat="1" applyBorder="1" applyAlignment="1">
      <alignment horizontal="center" vertical="center"/>
    </xf>
    <xf numFmtId="9" fontId="0" fillId="0" borderId="74" xfId="0" applyNumberFormat="1" applyBorder="1" applyAlignment="1">
      <alignment horizontal="center" vertical="center"/>
    </xf>
    <xf numFmtId="170" fontId="0" fillId="28" borderId="28" xfId="0" applyNumberFormat="1" applyFill="1" applyBorder="1" applyAlignment="1">
      <alignment horizontal="center" vertical="center"/>
    </xf>
    <xf numFmtId="170" fontId="0" fillId="0" borderId="28" xfId="0" applyNumberFormat="1" applyBorder="1" applyAlignment="1">
      <alignment horizontal="center" vertical="center"/>
    </xf>
    <xf numFmtId="170" fontId="0" fillId="0" borderId="45" xfId="0" applyNumberFormat="1" applyBorder="1" applyAlignment="1">
      <alignment horizontal="center" vertical="center"/>
    </xf>
    <xf numFmtId="9" fontId="0" fillId="39" borderId="71" xfId="0" applyNumberFormat="1" applyFill="1" applyBorder="1" applyAlignment="1">
      <alignment horizontal="center" vertical="center"/>
    </xf>
    <xf numFmtId="170" fontId="0" fillId="39" borderId="71" xfId="0" applyNumberFormat="1" applyFill="1" applyBorder="1" applyAlignment="1">
      <alignment horizontal="center" vertical="center"/>
    </xf>
    <xf numFmtId="170" fontId="0" fillId="39" borderId="72" xfId="0" applyNumberFormat="1" applyFill="1" applyBorder="1" applyAlignment="1">
      <alignment horizontal="center" vertical="center"/>
    </xf>
    <xf numFmtId="170" fontId="0" fillId="0" borderId="74" xfId="0" applyNumberFormat="1" applyBorder="1" applyAlignment="1">
      <alignment horizontal="center" vertical="center"/>
    </xf>
    <xf numFmtId="170" fontId="0" fillId="28" borderId="74" xfId="0" applyNumberFormat="1" applyFill="1" applyBorder="1" applyAlignment="1">
      <alignment horizontal="center" vertical="center"/>
    </xf>
    <xf numFmtId="3" fontId="0" fillId="0" borderId="0" xfId="0" applyNumberFormat="1" applyAlignment="1">
      <alignment horizontal="center" vertical="center"/>
    </xf>
    <xf numFmtId="3" fontId="0" fillId="0" borderId="44" xfId="0" applyNumberFormat="1" applyBorder="1" applyAlignment="1">
      <alignment horizontal="center" vertical="center"/>
    </xf>
    <xf numFmtId="166" fontId="0" fillId="0" borderId="22" xfId="41" applyNumberFormat="1" applyFont="1" applyBorder="1" applyAlignment="1">
      <alignment horizontal="center" vertical="center"/>
    </xf>
    <xf numFmtId="166" fontId="0" fillId="0" borderId="44" xfId="41" applyNumberFormat="1" applyFont="1" applyBorder="1" applyAlignment="1">
      <alignment horizontal="center" vertical="center"/>
    </xf>
    <xf numFmtId="3" fontId="0" fillId="0" borderId="34" xfId="0" applyNumberFormat="1" applyBorder="1" applyAlignment="1">
      <alignment horizontal="center" vertical="center"/>
    </xf>
    <xf numFmtId="166" fontId="0" fillId="0" borderId="34" xfId="41" applyNumberFormat="1" applyFont="1" applyBorder="1" applyAlignment="1">
      <alignment horizontal="center" vertical="center"/>
    </xf>
    <xf numFmtId="168" fontId="0" fillId="0" borderId="0" xfId="0" applyNumberFormat="1" applyAlignment="1">
      <alignment horizontal="center" vertical="center"/>
    </xf>
    <xf numFmtId="170" fontId="50" fillId="40" borderId="71" xfId="0" applyNumberFormat="1" applyFont="1" applyFill="1" applyBorder="1" applyAlignment="1">
      <alignment horizontal="center"/>
    </xf>
    <xf numFmtId="170" fontId="50" fillId="40" borderId="72" xfId="0" applyNumberFormat="1" applyFont="1" applyFill="1" applyBorder="1" applyAlignment="1">
      <alignment horizontal="center"/>
    </xf>
    <xf numFmtId="10" fontId="15" fillId="0" borderId="0" xfId="0" applyNumberFormat="1" applyFont="1" applyAlignment="1">
      <alignment horizontal="center" vertical="center" wrapText="1"/>
    </xf>
    <xf numFmtId="0" fontId="14" fillId="0" borderId="34" xfId="0" applyFont="1" applyBorder="1" applyAlignment="1">
      <alignment horizontal="center" vertical="center" wrapText="1"/>
    </xf>
    <xf numFmtId="0" fontId="52" fillId="39" borderId="70" xfId="0" applyFont="1" applyFill="1" applyBorder="1" applyAlignment="1">
      <alignment horizontal="center" vertical="center" wrapText="1"/>
    </xf>
    <xf numFmtId="0" fontId="52" fillId="39" borderId="71" xfId="0" applyFont="1" applyFill="1" applyBorder="1" applyAlignment="1">
      <alignment horizontal="center" vertical="center" wrapText="1"/>
    </xf>
    <xf numFmtId="1" fontId="52" fillId="0" borderId="0" xfId="69" applyNumberFormat="1" applyFont="1" applyAlignment="1">
      <alignment horizontal="center" vertical="center"/>
    </xf>
    <xf numFmtId="9" fontId="0" fillId="0" borderId="34" xfId="0" applyNumberFormat="1" applyBorder="1" applyAlignment="1">
      <alignment horizontal="center" vertical="center"/>
    </xf>
    <xf numFmtId="0" fontId="50" fillId="39" borderId="70" xfId="0" applyFont="1" applyFill="1" applyBorder="1" applyAlignment="1">
      <alignment horizontal="center" vertical="center" wrapText="1"/>
    </xf>
    <xf numFmtId="0" fontId="50" fillId="39" borderId="71" xfId="0" applyFont="1" applyFill="1" applyBorder="1" applyAlignment="1">
      <alignment horizontal="center" vertical="center" wrapText="1"/>
    </xf>
    <xf numFmtId="9" fontId="15" fillId="0" borderId="22" xfId="41" applyFont="1" applyBorder="1" applyAlignment="1">
      <alignment horizontal="center" vertical="center" wrapText="1"/>
    </xf>
    <xf numFmtId="170" fontId="50" fillId="40" borderId="74" xfId="0" applyNumberFormat="1" applyFont="1" applyFill="1" applyBorder="1" applyAlignment="1">
      <alignment horizontal="center"/>
    </xf>
    <xf numFmtId="170" fontId="78" fillId="40" borderId="71" xfId="0" applyNumberFormat="1" applyFont="1" applyFill="1" applyBorder="1" applyAlignment="1">
      <alignment horizontal="center"/>
    </xf>
    <xf numFmtId="170" fontId="72" fillId="0" borderId="37" xfId="0" applyNumberFormat="1" applyFont="1" applyBorder="1" applyAlignment="1">
      <alignment horizontal="center"/>
    </xf>
    <xf numFmtId="10" fontId="50" fillId="39" borderId="28" xfId="0" applyNumberFormat="1" applyFont="1" applyFill="1" applyBorder="1" applyAlignment="1">
      <alignment horizontal="center"/>
    </xf>
    <xf numFmtId="9" fontId="50" fillId="39" borderId="28" xfId="0" applyNumberFormat="1" applyFont="1" applyFill="1" applyBorder="1" applyAlignment="1">
      <alignment horizontal="center"/>
    </xf>
    <xf numFmtId="166" fontId="50" fillId="39" borderId="28" xfId="0" applyNumberFormat="1" applyFont="1" applyFill="1" applyBorder="1" applyAlignment="1">
      <alignment horizontal="center"/>
    </xf>
    <xf numFmtId="10" fontId="50" fillId="39" borderId="45" xfId="0" applyNumberFormat="1" applyFont="1" applyFill="1" applyBorder="1" applyAlignment="1">
      <alignment horizontal="center"/>
    </xf>
    <xf numFmtId="10" fontId="15" fillId="0" borderId="0" xfId="0" applyNumberFormat="1" applyFont="1" applyAlignment="1">
      <alignment horizontal="center" vertical="center"/>
    </xf>
    <xf numFmtId="10" fontId="50" fillId="40" borderId="70" xfId="0" applyNumberFormat="1" applyFont="1" applyFill="1" applyBorder="1" applyAlignment="1">
      <alignment horizontal="center"/>
    </xf>
    <xf numFmtId="10" fontId="69" fillId="0" borderId="50" xfId="41" applyNumberFormat="1" applyFont="1" applyBorder="1" applyAlignment="1">
      <alignment horizontal="center"/>
    </xf>
    <xf numFmtId="166" fontId="50" fillId="28" borderId="80" xfId="41" applyNumberFormat="1" applyFont="1" applyFill="1" applyBorder="1" applyAlignment="1">
      <alignment horizontal="center" vertical="center" wrapText="1"/>
    </xf>
    <xf numFmtId="9" fontId="14" fillId="0" borderId="0" xfId="41" applyAlignment="1">
      <alignment horizontal="center"/>
    </xf>
    <xf numFmtId="9" fontId="14" fillId="0" borderId="0" xfId="41"/>
    <xf numFmtId="166" fontId="50" fillId="39" borderId="45" xfId="0" applyNumberFormat="1" applyFont="1" applyFill="1" applyBorder="1" applyAlignment="1">
      <alignment horizontal="center"/>
    </xf>
    <xf numFmtId="0" fontId="50" fillId="0" borderId="69" xfId="0" applyFont="1" applyBorder="1" applyAlignment="1">
      <alignment horizontal="right" vertical="center" wrapText="1"/>
    </xf>
    <xf numFmtId="166" fontId="15" fillId="0" borderId="73" xfId="41" applyNumberFormat="1" applyFont="1" applyBorder="1" applyAlignment="1">
      <alignment horizontal="center" vertical="center" wrapText="1"/>
    </xf>
    <xf numFmtId="0" fontId="0" fillId="0" borderId="0" xfId="0" applyAlignment="1">
      <alignment horizontal="right" vertical="center"/>
    </xf>
    <xf numFmtId="166" fontId="52" fillId="28" borderId="0" xfId="41" applyNumberFormat="1" applyFont="1" applyFill="1" applyBorder="1" applyAlignment="1">
      <alignment horizontal="center" vertical="center" wrapText="1"/>
    </xf>
    <xf numFmtId="3" fontId="15" fillId="0" borderId="47" xfId="0" applyNumberFormat="1" applyFont="1" applyBorder="1" applyAlignment="1">
      <alignment horizontal="center" vertical="center" wrapText="1"/>
    </xf>
    <xf numFmtId="2" fontId="0" fillId="0" borderId="0" xfId="0" applyNumberFormat="1" applyAlignment="1">
      <alignment horizontal="center" vertical="center"/>
    </xf>
    <xf numFmtId="0" fontId="14" fillId="0" borderId="44" xfId="0" applyFont="1" applyBorder="1" applyAlignment="1">
      <alignment horizontal="right" vertical="center" wrapText="1"/>
    </xf>
    <xf numFmtId="0" fontId="0" fillId="0" borderId="69" xfId="0" applyBorder="1"/>
    <xf numFmtId="3" fontId="52" fillId="0" borderId="71" xfId="0" applyNumberFormat="1" applyFont="1" applyBorder="1" applyAlignment="1">
      <alignment horizontal="center" vertical="center"/>
    </xf>
    <xf numFmtId="3" fontId="52" fillId="0" borderId="74" xfId="0" applyNumberFormat="1" applyFont="1" applyBorder="1" applyAlignment="1">
      <alignment horizontal="center" vertical="center"/>
    </xf>
    <xf numFmtId="0" fontId="14" fillId="0" borderId="68" xfId="0" applyFont="1" applyBorder="1" applyAlignment="1">
      <alignment horizontal="center" vertical="center" wrapText="1"/>
    </xf>
    <xf numFmtId="0" fontId="52" fillId="39" borderId="72" xfId="0" applyFont="1" applyFill="1" applyBorder="1" applyAlignment="1">
      <alignment horizontal="center" vertical="center" wrapText="1"/>
    </xf>
    <xf numFmtId="9" fontId="0" fillId="0" borderId="0" xfId="0" applyNumberFormat="1"/>
    <xf numFmtId="2" fontId="50" fillId="0" borderId="0" xfId="0" applyNumberFormat="1" applyFont="1" applyAlignment="1">
      <alignment horizontal="center" vertical="center" wrapText="1"/>
    </xf>
    <xf numFmtId="0" fontId="83" fillId="0" borderId="0" xfId="0" applyFont="1"/>
    <xf numFmtId="0" fontId="14" fillId="31" borderId="0" xfId="0" applyFont="1" applyFill="1" applyAlignment="1">
      <alignment horizontal="center" vertical="center" wrapText="1"/>
    </xf>
    <xf numFmtId="9" fontId="50" fillId="0" borderId="0" xfId="0" applyNumberFormat="1" applyFont="1" applyAlignment="1">
      <alignment horizontal="center" vertical="center" wrapText="1"/>
    </xf>
    <xf numFmtId="1" fontId="50" fillId="0" borderId="0" xfId="0" applyNumberFormat="1" applyFont="1" applyAlignment="1">
      <alignment horizontal="center" vertical="center" wrapText="1"/>
    </xf>
    <xf numFmtId="0" fontId="14" fillId="0" borderId="0" xfId="0" applyFont="1" applyAlignment="1">
      <alignment vertical="top" wrapText="1"/>
    </xf>
    <xf numFmtId="0" fontId="0" fillId="0" borderId="0" xfId="0" applyAlignment="1">
      <alignment vertical="top" wrapText="1"/>
    </xf>
    <xf numFmtId="166" fontId="0" fillId="0" borderId="0" xfId="41" applyNumberFormat="1" applyFont="1" applyAlignment="1">
      <alignment vertical="top" wrapText="1"/>
    </xf>
    <xf numFmtId="0" fontId="50" fillId="39" borderId="69" xfId="0" applyFont="1" applyFill="1" applyBorder="1" applyAlignment="1">
      <alignment vertical="center" wrapText="1"/>
    </xf>
    <xf numFmtId="0" fontId="50" fillId="0" borderId="69" xfId="0" applyFont="1" applyBorder="1" applyAlignment="1">
      <alignment vertical="center" wrapText="1"/>
    </xf>
    <xf numFmtId="3" fontId="52" fillId="24" borderId="44" xfId="0" applyNumberFormat="1" applyFont="1" applyFill="1" applyBorder="1" applyAlignment="1">
      <alignment horizontal="center" vertical="center" wrapText="1"/>
    </xf>
    <xf numFmtId="0" fontId="52" fillId="0" borderId="70" xfId="0" applyFont="1" applyBorder="1" applyAlignment="1">
      <alignment horizontal="center" vertical="center"/>
    </xf>
    <xf numFmtId="0" fontId="52" fillId="0" borderId="71" xfId="0" applyFont="1" applyBorder="1" applyAlignment="1">
      <alignment horizontal="center" vertical="center"/>
    </xf>
    <xf numFmtId="0" fontId="52" fillId="0" borderId="72" xfId="0" applyFont="1" applyBorder="1" applyAlignment="1">
      <alignment horizontal="center" vertical="center"/>
    </xf>
    <xf numFmtId="0" fontId="85" fillId="0" borderId="0" xfId="0" applyFont="1" applyAlignment="1">
      <alignment horizontal="right" vertical="center" readingOrder="2"/>
    </xf>
    <xf numFmtId="0" fontId="50" fillId="0" borderId="0" xfId="0" applyFont="1"/>
    <xf numFmtId="9" fontId="0" fillId="0" borderId="0" xfId="0" applyNumberFormat="1" applyAlignment="1">
      <alignment horizontal="center" vertical="center"/>
    </xf>
    <xf numFmtId="168" fontId="0" fillId="0" borderId="34" xfId="0" applyNumberFormat="1" applyBorder="1" applyAlignment="1">
      <alignment horizontal="center" vertical="center" wrapText="1"/>
    </xf>
    <xf numFmtId="3" fontId="0" fillId="0" borderId="34" xfId="0" applyNumberFormat="1" applyBorder="1" applyAlignment="1">
      <alignment horizontal="center" vertical="center" wrapText="1"/>
    </xf>
    <xf numFmtId="3" fontId="0" fillId="0" borderId="44" xfId="0" applyNumberFormat="1" applyBorder="1" applyAlignment="1">
      <alignment horizontal="center" vertical="center" wrapText="1"/>
    </xf>
    <xf numFmtId="3" fontId="0" fillId="0" borderId="0" xfId="0" applyNumberFormat="1" applyAlignment="1">
      <alignment horizontal="center" vertical="center" wrapText="1"/>
    </xf>
    <xf numFmtId="0" fontId="0" fillId="0" borderId="69" xfId="0" applyBorder="1" applyAlignment="1">
      <alignment horizontal="center" vertical="center"/>
    </xf>
    <xf numFmtId="0" fontId="52" fillId="0" borderId="69" xfId="0" applyFont="1" applyBorder="1" applyAlignment="1">
      <alignment horizontal="center" vertical="center"/>
    </xf>
    <xf numFmtId="0" fontId="0" fillId="0" borderId="70" xfId="0" applyBorder="1" applyAlignment="1">
      <alignment horizontal="center" vertical="center"/>
    </xf>
    <xf numFmtId="0" fontId="0" fillId="28" borderId="22" xfId="0" applyFill="1" applyBorder="1" applyAlignment="1">
      <alignment horizontal="center" vertical="center"/>
    </xf>
    <xf numFmtId="9" fontId="52" fillId="0" borderId="70" xfId="0" applyNumberFormat="1" applyFont="1" applyBorder="1" applyAlignment="1">
      <alignment horizontal="center" vertical="center"/>
    </xf>
    <xf numFmtId="9" fontId="52" fillId="0" borderId="72" xfId="0" applyNumberFormat="1" applyFont="1" applyBorder="1" applyAlignment="1">
      <alignment horizontal="center" vertical="center"/>
    </xf>
    <xf numFmtId="0" fontId="0" fillId="28" borderId="71" xfId="0" applyFill="1" applyBorder="1" applyAlignment="1">
      <alignment horizontal="center" vertical="center"/>
    </xf>
    <xf numFmtId="9" fontId="52" fillId="0" borderId="71" xfId="0" applyNumberFormat="1" applyFont="1" applyBorder="1" applyAlignment="1">
      <alignment horizontal="center" vertical="center"/>
    </xf>
    <xf numFmtId="9" fontId="52" fillId="0" borderId="69" xfId="0" applyNumberFormat="1" applyFont="1" applyBorder="1" applyAlignment="1">
      <alignment horizontal="center" vertical="center"/>
    </xf>
    <xf numFmtId="0" fontId="8" fillId="0" borderId="0" xfId="143"/>
    <xf numFmtId="0" fontId="50" fillId="39" borderId="70" xfId="143" applyFont="1" applyFill="1" applyBorder="1" applyAlignment="1">
      <alignment horizontal="center" vertical="center" wrapText="1"/>
    </xf>
    <xf numFmtId="0" fontId="50" fillId="39" borderId="71" xfId="143" applyFont="1" applyFill="1" applyBorder="1" applyAlignment="1">
      <alignment horizontal="center" vertical="center" wrapText="1"/>
    </xf>
    <xf numFmtId="0" fontId="50" fillId="39" borderId="72" xfId="143" applyFont="1" applyFill="1" applyBorder="1" applyAlignment="1">
      <alignment horizontal="center" vertical="center" wrapText="1"/>
    </xf>
    <xf numFmtId="0" fontId="50" fillId="43" borderId="34" xfId="143" applyFont="1" applyFill="1" applyBorder="1" applyAlignment="1">
      <alignment horizontal="center" vertical="center"/>
    </xf>
    <xf numFmtId="170" fontId="15" fillId="0" borderId="22" xfId="143" applyNumberFormat="1" applyFont="1" applyBorder="1" applyAlignment="1">
      <alignment horizontal="center" vertical="center"/>
    </xf>
    <xf numFmtId="170" fontId="8" fillId="28" borderId="22" xfId="143" applyNumberFormat="1" applyFill="1" applyBorder="1" applyAlignment="1">
      <alignment horizontal="center" vertical="center"/>
    </xf>
    <xf numFmtId="170" fontId="8" fillId="28" borderId="44" xfId="143" applyNumberFormat="1" applyFill="1" applyBorder="1" applyAlignment="1">
      <alignment horizontal="center" vertical="center"/>
    </xf>
    <xf numFmtId="0" fontId="50" fillId="29" borderId="22" xfId="143" applyFont="1" applyFill="1" applyBorder="1" applyAlignment="1">
      <alignment horizontal="center" vertical="center" wrapText="1"/>
    </xf>
    <xf numFmtId="166" fontId="50" fillId="29" borderId="22" xfId="74" applyNumberFormat="1" applyFont="1" applyFill="1" applyBorder="1" applyAlignment="1">
      <alignment horizontal="center" vertical="center"/>
    </xf>
    <xf numFmtId="166" fontId="50" fillId="29" borderId="44" xfId="74" applyNumberFormat="1" applyFont="1" applyFill="1" applyBorder="1" applyAlignment="1">
      <alignment horizontal="center" vertical="center"/>
    </xf>
    <xf numFmtId="0" fontId="50" fillId="38" borderId="22" xfId="143" applyFont="1" applyFill="1" applyBorder="1" applyAlignment="1">
      <alignment horizontal="center" vertical="center"/>
    </xf>
    <xf numFmtId="0" fontId="50" fillId="38" borderId="71" xfId="143" applyFont="1" applyFill="1" applyBorder="1" applyAlignment="1">
      <alignment horizontal="center" vertical="center" wrapText="1"/>
    </xf>
    <xf numFmtId="170" fontId="50" fillId="0" borderId="71" xfId="143" applyNumberFormat="1" applyFont="1" applyBorder="1" applyAlignment="1">
      <alignment horizontal="center" vertical="center"/>
    </xf>
    <xf numFmtId="170" fontId="50" fillId="0" borderId="72" xfId="143" applyNumberFormat="1" applyFont="1" applyBorder="1" applyAlignment="1">
      <alignment horizontal="center" vertical="center"/>
    </xf>
    <xf numFmtId="0" fontId="50" fillId="38" borderId="74" xfId="143" applyFont="1" applyFill="1" applyBorder="1" applyAlignment="1">
      <alignment horizontal="center" vertical="center" wrapText="1"/>
    </xf>
    <xf numFmtId="170" fontId="50" fillId="0" borderId="74" xfId="143" applyNumberFormat="1" applyFont="1" applyBorder="1" applyAlignment="1">
      <alignment horizontal="center" vertical="center"/>
    </xf>
    <xf numFmtId="170" fontId="8" fillId="0" borderId="0" xfId="143" applyNumberFormat="1"/>
    <xf numFmtId="0" fontId="8" fillId="0" borderId="73" xfId="143" applyBorder="1"/>
    <xf numFmtId="3" fontId="52" fillId="0" borderId="72" xfId="0" applyNumberFormat="1" applyFont="1" applyBorder="1" applyAlignment="1">
      <alignment horizontal="center" vertical="center"/>
    </xf>
    <xf numFmtId="0" fontId="0" fillId="0" borderId="70" xfId="0" applyBorder="1"/>
    <xf numFmtId="0" fontId="52" fillId="0" borderId="70" xfId="0" applyFont="1" applyBorder="1" applyAlignment="1">
      <alignment horizontal="center"/>
    </xf>
    <xf numFmtId="0" fontId="14" fillId="0" borderId="34" xfId="0" applyFont="1" applyBorder="1" applyAlignment="1">
      <alignment horizontal="center"/>
    </xf>
    <xf numFmtId="0" fontId="52" fillId="0" borderId="67" xfId="0" applyFont="1" applyBorder="1" applyAlignment="1">
      <alignment horizontal="center"/>
    </xf>
    <xf numFmtId="3" fontId="52" fillId="0" borderId="68" xfId="0" applyNumberFormat="1" applyFont="1" applyBorder="1" applyAlignment="1">
      <alignment horizontal="center" vertical="center"/>
    </xf>
    <xf numFmtId="0" fontId="50" fillId="43" borderId="34" xfId="143" applyFont="1" applyFill="1" applyBorder="1" applyAlignment="1">
      <alignment horizontal="center" vertical="center" wrapText="1"/>
    </xf>
    <xf numFmtId="170" fontId="8" fillId="28" borderId="74" xfId="143" applyNumberFormat="1" applyFill="1" applyBorder="1" applyAlignment="1">
      <alignment horizontal="center" vertical="center"/>
    </xf>
    <xf numFmtId="0" fontId="14" fillId="0" borderId="0" xfId="0" applyFont="1" applyAlignment="1">
      <alignment horizontal="right" vertical="center"/>
    </xf>
    <xf numFmtId="170" fontId="72" fillId="0" borderId="0" xfId="0" applyNumberFormat="1" applyFont="1" applyAlignment="1">
      <alignment horizontal="center" vertical="center" wrapText="1"/>
    </xf>
    <xf numFmtId="9" fontId="50" fillId="0" borderId="0" xfId="41" applyFont="1" applyFill="1" applyBorder="1" applyAlignment="1">
      <alignment horizontal="center" vertical="center" wrapText="1"/>
    </xf>
    <xf numFmtId="166" fontId="52" fillId="41" borderId="37" xfId="41" applyNumberFormat="1" applyFont="1" applyFill="1" applyBorder="1" applyAlignment="1">
      <alignment horizontal="center" vertical="center" wrapText="1"/>
    </xf>
    <xf numFmtId="166" fontId="52" fillId="41" borderId="28" xfId="41" applyNumberFormat="1" applyFont="1" applyFill="1" applyBorder="1" applyAlignment="1">
      <alignment horizontal="center" vertical="center" wrapText="1"/>
    </xf>
    <xf numFmtId="166" fontId="52" fillId="41" borderId="45" xfId="41" applyNumberFormat="1" applyFont="1" applyFill="1" applyBorder="1" applyAlignment="1">
      <alignment horizontal="center" vertical="center" wrapText="1"/>
    </xf>
    <xf numFmtId="0" fontId="14" fillId="0" borderId="69" xfId="0" applyFont="1" applyBorder="1" applyAlignment="1">
      <alignment horizontal="center" vertical="center"/>
    </xf>
    <xf numFmtId="0" fontId="52" fillId="0" borderId="0" xfId="0" applyFont="1" applyAlignment="1">
      <alignment horizontal="right" vertical="center"/>
    </xf>
    <xf numFmtId="0" fontId="52" fillId="39" borderId="69" xfId="0" applyFont="1" applyFill="1" applyBorder="1" applyAlignment="1">
      <alignment horizontal="center" vertical="center"/>
    </xf>
    <xf numFmtId="0" fontId="0" fillId="39" borderId="69" xfId="0" applyFill="1" applyBorder="1" applyAlignment="1">
      <alignment horizontal="center" vertical="center"/>
    </xf>
    <xf numFmtId="9" fontId="52" fillId="0" borderId="34" xfId="0" applyNumberFormat="1" applyFont="1" applyBorder="1" applyAlignment="1">
      <alignment horizontal="center" vertical="center"/>
    </xf>
    <xf numFmtId="168" fontId="0" fillId="0" borderId="44" xfId="0" applyNumberFormat="1" applyBorder="1" applyAlignment="1">
      <alignment horizontal="center" vertical="center" wrapText="1"/>
    </xf>
    <xf numFmtId="0" fontId="0" fillId="39" borderId="70" xfId="0" applyFill="1" applyBorder="1" applyAlignment="1">
      <alignment horizontal="center" vertical="center"/>
    </xf>
    <xf numFmtId="168" fontId="0" fillId="0" borderId="44" xfId="0" applyNumberFormat="1" applyBorder="1" applyAlignment="1">
      <alignment horizontal="center" vertical="center"/>
    </xf>
    <xf numFmtId="166" fontId="52" fillId="0" borderId="72" xfId="0" applyNumberFormat="1" applyFont="1" applyBorder="1" applyAlignment="1">
      <alignment horizontal="center" vertical="center"/>
    </xf>
    <xf numFmtId="0" fontId="50" fillId="39" borderId="72" xfId="0" applyFont="1" applyFill="1" applyBorder="1" applyAlignment="1">
      <alignment horizontal="center" vertical="center" wrapText="1"/>
    </xf>
    <xf numFmtId="0" fontId="50" fillId="0" borderId="82" xfId="0" applyFont="1" applyBorder="1" applyAlignment="1">
      <alignment vertical="center" wrapText="1"/>
    </xf>
    <xf numFmtId="2" fontId="15" fillId="0" borderId="22" xfId="0" applyNumberFormat="1" applyFont="1" applyBorder="1" applyAlignment="1">
      <alignment horizontal="center" vertical="center" wrapText="1"/>
    </xf>
    <xf numFmtId="2" fontId="15" fillId="0" borderId="44" xfId="0" applyNumberFormat="1" applyFont="1" applyBorder="1" applyAlignment="1">
      <alignment horizontal="center" vertical="center" wrapText="1"/>
    </xf>
    <xf numFmtId="1" fontId="15" fillId="0" borderId="22" xfId="0" applyNumberFormat="1" applyFont="1" applyBorder="1" applyAlignment="1">
      <alignment horizontal="center" vertical="center" wrapText="1"/>
    </xf>
    <xf numFmtId="1" fontId="15" fillId="0" borderId="44" xfId="0" applyNumberFormat="1" applyFont="1" applyBorder="1" applyAlignment="1">
      <alignment horizontal="center" vertical="center" wrapText="1"/>
    </xf>
    <xf numFmtId="0" fontId="50" fillId="39" borderId="75" xfId="0" applyFont="1" applyFill="1" applyBorder="1" applyAlignment="1">
      <alignment horizontal="center" vertical="center" wrapText="1"/>
    </xf>
    <xf numFmtId="0" fontId="87" fillId="0" borderId="0" xfId="0" applyFont="1" applyAlignment="1">
      <alignment horizontal="right" vertical="center" readingOrder="2"/>
    </xf>
    <xf numFmtId="0" fontId="90" fillId="0" borderId="0" xfId="0" applyFont="1" applyAlignment="1">
      <alignment horizontal="right" vertical="center" readingOrder="2"/>
    </xf>
    <xf numFmtId="168" fontId="0" fillId="0" borderId="22" xfId="0" applyNumberFormat="1" applyBorder="1" applyAlignment="1">
      <alignment horizontal="center" vertical="center" wrapText="1"/>
    </xf>
    <xf numFmtId="0" fontId="91" fillId="0" borderId="0" xfId="0" applyFont="1" applyAlignment="1">
      <alignment horizontal="right" vertical="center" readingOrder="2"/>
    </xf>
    <xf numFmtId="0" fontId="90" fillId="0" borderId="0" xfId="0" applyFont="1" applyAlignment="1">
      <alignment readingOrder="2"/>
    </xf>
    <xf numFmtId="0" fontId="15" fillId="0" borderId="0" xfId="0" applyFont="1" applyAlignment="1">
      <alignment horizontal="right" vertical="center" wrapText="1"/>
    </xf>
    <xf numFmtId="0" fontId="14" fillId="0" borderId="51" xfId="0" applyFont="1" applyBorder="1" applyAlignment="1">
      <alignment horizontal="center" vertical="center" wrapText="1"/>
    </xf>
    <xf numFmtId="3" fontId="15" fillId="0" borderId="90" xfId="0" applyNumberFormat="1" applyFont="1" applyBorder="1" applyAlignment="1">
      <alignment horizontal="center" vertical="center" wrapText="1"/>
    </xf>
    <xf numFmtId="3" fontId="15" fillId="0" borderId="91" xfId="0" applyNumberFormat="1" applyFont="1" applyBorder="1" applyAlignment="1">
      <alignment horizontal="center" vertical="center" wrapText="1"/>
    </xf>
    <xf numFmtId="170" fontId="15" fillId="0" borderId="91" xfId="0" applyNumberFormat="1" applyFont="1" applyBorder="1" applyAlignment="1">
      <alignment horizontal="center" vertical="center" wrapText="1"/>
    </xf>
    <xf numFmtId="0" fontId="15" fillId="0" borderId="91" xfId="0" applyFont="1" applyBorder="1" applyAlignment="1">
      <alignment horizontal="center" vertical="center" wrapText="1"/>
    </xf>
    <xf numFmtId="2" fontId="15" fillId="0" borderId="91" xfId="0" applyNumberFormat="1" applyFont="1" applyBorder="1" applyAlignment="1">
      <alignment horizontal="center" vertical="center" wrapText="1"/>
    </xf>
    <xf numFmtId="170" fontId="15" fillId="0" borderId="92" xfId="0" applyNumberFormat="1" applyFont="1" applyBorder="1" applyAlignment="1">
      <alignment horizontal="center" vertical="center" wrapText="1"/>
    </xf>
    <xf numFmtId="0" fontId="52" fillId="39" borderId="71" xfId="0" applyFont="1" applyFill="1" applyBorder="1" applyAlignment="1">
      <alignment horizontal="center" vertical="center" wrapText="1" readingOrder="2"/>
    </xf>
    <xf numFmtId="170" fontId="52" fillId="39" borderId="71" xfId="0" applyNumberFormat="1" applyFont="1" applyFill="1" applyBorder="1" applyAlignment="1">
      <alignment horizontal="center" vertical="center" wrapText="1"/>
    </xf>
    <xf numFmtId="170" fontId="52" fillId="39" borderId="71" xfId="0" applyNumberFormat="1" applyFont="1" applyFill="1" applyBorder="1" applyAlignment="1">
      <alignment horizontal="center" vertical="center" wrapText="1" readingOrder="2"/>
    </xf>
    <xf numFmtId="170" fontId="52" fillId="39" borderId="72" xfId="0" applyNumberFormat="1" applyFont="1" applyFill="1" applyBorder="1" applyAlignment="1">
      <alignment horizontal="center" vertical="center" wrapText="1"/>
    </xf>
    <xf numFmtId="0" fontId="50" fillId="0" borderId="90" xfId="0" applyFont="1" applyBorder="1" applyAlignment="1">
      <alignment horizontal="center" vertical="center" wrapText="1"/>
    </xf>
    <xf numFmtId="4" fontId="15" fillId="0" borderId="91" xfId="0" applyNumberFormat="1" applyFont="1" applyBorder="1" applyAlignment="1">
      <alignment horizontal="center" vertical="center" wrapText="1"/>
    </xf>
    <xf numFmtId="168" fontId="15" fillId="0" borderId="91" xfId="0" applyNumberFormat="1" applyFont="1" applyBorder="1" applyAlignment="1">
      <alignment horizontal="center" vertical="center" wrapText="1"/>
    </xf>
    <xf numFmtId="4" fontId="15" fillId="0" borderId="92" xfId="0" applyNumberFormat="1" applyFont="1" applyBorder="1" applyAlignment="1">
      <alignment horizontal="center" vertical="center" wrapText="1"/>
    </xf>
    <xf numFmtId="0" fontId="52" fillId="0" borderId="37" xfId="0" applyFont="1" applyBorder="1" applyAlignment="1">
      <alignment horizontal="center" vertical="center" wrapText="1"/>
    </xf>
    <xf numFmtId="0" fontId="50" fillId="28" borderId="90" xfId="0" applyFont="1" applyFill="1" applyBorder="1" applyAlignment="1">
      <alignment horizontal="center" vertical="center" wrapText="1"/>
    </xf>
    <xf numFmtId="167" fontId="50" fillId="28" borderId="91" xfId="0" applyNumberFormat="1" applyFont="1" applyFill="1" applyBorder="1" applyAlignment="1">
      <alignment horizontal="center" vertical="center" wrapText="1"/>
    </xf>
    <xf numFmtId="167" fontId="50" fillId="28" borderId="92" xfId="0" applyNumberFormat="1" applyFont="1" applyFill="1" applyBorder="1" applyAlignment="1">
      <alignment horizontal="center" vertical="center" wrapText="1"/>
    </xf>
    <xf numFmtId="0" fontId="52" fillId="28" borderId="34" xfId="0" applyFont="1" applyFill="1" applyBorder="1" applyAlignment="1">
      <alignment horizontal="center" vertical="center" wrapText="1"/>
    </xf>
    <xf numFmtId="3" fontId="15" fillId="0" borderId="92" xfId="0" applyNumberFormat="1" applyFont="1" applyBorder="1" applyAlignment="1">
      <alignment horizontal="center" vertical="center" wrapText="1"/>
    </xf>
    <xf numFmtId="3" fontId="15" fillId="28" borderId="91" xfId="0" applyNumberFormat="1" applyFont="1" applyFill="1" applyBorder="1" applyAlignment="1">
      <alignment horizontal="center" vertical="center" wrapText="1"/>
    </xf>
    <xf numFmtId="3" fontId="15" fillId="28" borderId="92" xfId="0" applyNumberFormat="1" applyFont="1" applyFill="1" applyBorder="1" applyAlignment="1">
      <alignment horizontal="center" vertical="center" wrapText="1"/>
    </xf>
    <xf numFmtId="0" fontId="50" fillId="28" borderId="37" xfId="0" applyFont="1" applyFill="1" applyBorder="1" applyAlignment="1">
      <alignment horizontal="center" vertical="center" wrapText="1"/>
    </xf>
    <xf numFmtId="0" fontId="50" fillId="20" borderId="94" xfId="0" applyFont="1" applyFill="1" applyBorder="1" applyAlignment="1">
      <alignment horizontal="right" vertical="center" wrapText="1"/>
    </xf>
    <xf numFmtId="0" fontId="50" fillId="20" borderId="28" xfId="0" applyFont="1" applyFill="1" applyBorder="1" applyAlignment="1">
      <alignment horizontal="center" vertical="center" wrapText="1"/>
    </xf>
    <xf numFmtId="0" fontId="50" fillId="20" borderId="45" xfId="0" applyFont="1" applyFill="1" applyBorder="1" applyAlignment="1">
      <alignment horizontal="center" vertical="center" wrapText="1"/>
    </xf>
    <xf numFmtId="0" fontId="50" fillId="39" borderId="37" xfId="0" applyFont="1" applyFill="1" applyBorder="1" applyAlignment="1">
      <alignment horizontal="center" vertical="center" wrapText="1"/>
    </xf>
    <xf numFmtId="0" fontId="50" fillId="39" borderId="28" xfId="0" applyFont="1" applyFill="1" applyBorder="1" applyAlignment="1">
      <alignment horizontal="center" vertical="center" wrapText="1"/>
    </xf>
    <xf numFmtId="0" fontId="50" fillId="39" borderId="45" xfId="0" applyFont="1" applyFill="1" applyBorder="1" applyAlignment="1">
      <alignment horizontal="center" vertical="center" wrapText="1"/>
    </xf>
    <xf numFmtId="3" fontId="50" fillId="29" borderId="71" xfId="0" applyNumberFormat="1" applyFont="1" applyFill="1" applyBorder="1" applyAlignment="1">
      <alignment horizontal="center" vertical="center" wrapText="1"/>
    </xf>
    <xf numFmtId="3" fontId="50" fillId="29" borderId="72" xfId="0" applyNumberFormat="1" applyFont="1" applyFill="1" applyBorder="1" applyAlignment="1">
      <alignment horizontal="center" vertical="center" wrapText="1"/>
    </xf>
    <xf numFmtId="0" fontId="15" fillId="0" borderId="0" xfId="0" applyFont="1" applyAlignment="1">
      <alignment horizontal="center" vertical="center"/>
    </xf>
    <xf numFmtId="0" fontId="15" fillId="0" borderId="34" xfId="0" applyFont="1" applyBorder="1" applyAlignment="1">
      <alignment horizontal="center" vertical="center"/>
    </xf>
    <xf numFmtId="3" fontId="15" fillId="0" borderId="22" xfId="0" applyNumberFormat="1" applyFont="1" applyBorder="1" applyAlignment="1">
      <alignment horizontal="center" vertical="center"/>
    </xf>
    <xf numFmtId="3" fontId="15" fillId="0" borderId="44" xfId="0" applyNumberFormat="1" applyFont="1" applyBorder="1" applyAlignment="1">
      <alignment horizontal="center" vertical="center"/>
    </xf>
    <xf numFmtId="3" fontId="15" fillId="29" borderId="71" xfId="0" applyNumberFormat="1" applyFont="1" applyFill="1" applyBorder="1" applyAlignment="1">
      <alignment horizontal="center" vertical="center" wrapText="1"/>
    </xf>
    <xf numFmtId="3" fontId="0" fillId="0" borderId="92" xfId="0" applyNumberFormat="1" applyBorder="1" applyAlignment="1">
      <alignment horizontal="center" vertical="center"/>
    </xf>
    <xf numFmtId="0" fontId="15" fillId="0" borderId="81" xfId="0" applyFont="1" applyBorder="1" applyAlignment="1">
      <alignment horizontal="center" vertical="center" wrapText="1"/>
    </xf>
    <xf numFmtId="3" fontId="15" fillId="0" borderId="87" xfId="0" applyNumberFormat="1" applyFont="1" applyBorder="1" applyAlignment="1">
      <alignment horizontal="center" vertical="center" wrapText="1"/>
    </xf>
    <xf numFmtId="3" fontId="15" fillId="0" borderId="89" xfId="0" applyNumberFormat="1" applyFont="1" applyBorder="1" applyAlignment="1">
      <alignment horizontal="center" vertical="center" wrapText="1"/>
    </xf>
    <xf numFmtId="0" fontId="50" fillId="29" borderId="70" xfId="0" applyFont="1" applyFill="1" applyBorder="1" applyAlignment="1">
      <alignment horizontal="right" vertical="center"/>
    </xf>
    <xf numFmtId="0" fontId="0" fillId="29" borderId="69" xfId="0" applyFill="1" applyBorder="1" applyAlignment="1">
      <alignment horizontal="center" vertical="center"/>
    </xf>
    <xf numFmtId="0" fontId="15" fillId="29" borderId="69" xfId="0" applyFont="1" applyFill="1" applyBorder="1" applyAlignment="1">
      <alignment horizontal="center" vertical="center" wrapText="1"/>
    </xf>
    <xf numFmtId="0" fontId="50" fillId="39" borderId="88" xfId="0" applyFont="1" applyFill="1" applyBorder="1" applyAlignment="1">
      <alignment horizontal="center" vertical="center" wrapText="1"/>
    </xf>
    <xf numFmtId="0" fontId="0" fillId="39" borderId="21" xfId="0" applyFill="1" applyBorder="1" applyAlignment="1">
      <alignment horizontal="center" vertical="center"/>
    </xf>
    <xf numFmtId="3" fontId="50" fillId="39" borderId="21" xfId="0" applyNumberFormat="1" applyFont="1" applyFill="1" applyBorder="1" applyAlignment="1">
      <alignment horizontal="center" vertical="center" wrapText="1"/>
    </xf>
    <xf numFmtId="3" fontId="50" fillId="39" borderId="80" xfId="0" applyNumberFormat="1" applyFont="1" applyFill="1" applyBorder="1" applyAlignment="1">
      <alignment horizontal="center" vertical="center" wrapText="1"/>
    </xf>
    <xf numFmtId="0" fontId="50" fillId="29" borderId="88" xfId="0" applyFont="1" applyFill="1" applyBorder="1" applyAlignment="1">
      <alignment horizontal="center" vertical="center"/>
    </xf>
    <xf numFmtId="9" fontId="50" fillId="29" borderId="21" xfId="41" applyFont="1" applyFill="1" applyBorder="1" applyAlignment="1">
      <alignment horizontal="center" vertical="center"/>
    </xf>
    <xf numFmtId="9" fontId="50" fillId="29" borderId="80" xfId="41" applyFont="1" applyFill="1" applyBorder="1" applyAlignment="1">
      <alignment horizontal="center" vertical="center"/>
    </xf>
    <xf numFmtId="170" fontId="8" fillId="28" borderId="92" xfId="143" applyNumberFormat="1" applyFill="1" applyBorder="1" applyAlignment="1">
      <alignment horizontal="center" vertical="center"/>
    </xf>
    <xf numFmtId="0" fontId="52" fillId="29" borderId="100" xfId="0" applyFont="1" applyFill="1" applyBorder="1" applyAlignment="1">
      <alignment horizontal="center" vertical="center"/>
    </xf>
    <xf numFmtId="0" fontId="50" fillId="0" borderId="108" xfId="0" applyFont="1" applyBorder="1" applyAlignment="1">
      <alignment horizontal="center" vertical="center" wrapText="1"/>
    </xf>
    <xf numFmtId="167" fontId="50" fillId="0" borderId="109" xfId="0" applyNumberFormat="1" applyFont="1" applyBorder="1" applyAlignment="1">
      <alignment horizontal="center" vertical="center" wrapText="1"/>
    </xf>
    <xf numFmtId="168" fontId="50" fillId="0" borderId="109" xfId="0" applyNumberFormat="1" applyFont="1" applyBorder="1" applyAlignment="1">
      <alignment horizontal="center" vertical="center" wrapText="1"/>
    </xf>
    <xf numFmtId="4" fontId="50" fillId="0" borderId="109" xfId="0" applyNumberFormat="1" applyFont="1" applyBorder="1" applyAlignment="1">
      <alignment horizontal="center" vertical="center" wrapText="1"/>
    </xf>
    <xf numFmtId="4" fontId="50" fillId="0" borderId="110" xfId="0" applyNumberFormat="1" applyFont="1" applyBorder="1" applyAlignment="1">
      <alignment horizontal="center" vertical="center" wrapText="1"/>
    </xf>
    <xf numFmtId="0" fontId="50" fillId="28" borderId="101" xfId="0" applyFont="1" applyFill="1" applyBorder="1" applyAlignment="1">
      <alignment horizontal="center" vertical="center" wrapText="1"/>
    </xf>
    <xf numFmtId="0" fontId="50" fillId="28" borderId="104" xfId="0" applyFont="1" applyFill="1" applyBorder="1" applyAlignment="1">
      <alignment horizontal="center" vertical="center" wrapText="1"/>
    </xf>
    <xf numFmtId="0" fontId="50" fillId="0" borderId="92" xfId="0" applyFont="1" applyBorder="1" applyAlignment="1">
      <alignment horizontal="center" vertical="center" wrapText="1"/>
    </xf>
    <xf numFmtId="0" fontId="52" fillId="29" borderId="101" xfId="0" applyFont="1" applyFill="1" applyBorder="1" applyAlignment="1">
      <alignment horizontal="center" vertical="center"/>
    </xf>
    <xf numFmtId="0" fontId="52" fillId="29" borderId="106" xfId="0" applyFont="1" applyFill="1" applyBorder="1" applyAlignment="1">
      <alignment horizontal="center" vertical="center"/>
    </xf>
    <xf numFmtId="0" fontId="52" fillId="29" borderId="107" xfId="0" applyFont="1" applyFill="1" applyBorder="1" applyAlignment="1">
      <alignment horizontal="center" vertical="center"/>
    </xf>
    <xf numFmtId="0" fontId="50" fillId="0" borderId="91" xfId="0" applyFont="1" applyBorder="1" applyAlignment="1">
      <alignment horizontal="center" vertical="center" wrapText="1"/>
    </xf>
    <xf numFmtId="168" fontId="15" fillId="0" borderId="22" xfId="143" applyNumberFormat="1" applyFont="1" applyBorder="1" applyAlignment="1">
      <alignment horizontal="center" vertical="center"/>
    </xf>
    <xf numFmtId="168" fontId="15" fillId="0" borderId="44" xfId="143" applyNumberFormat="1" applyFont="1" applyBorder="1" applyAlignment="1">
      <alignment horizontal="center" vertical="center"/>
    </xf>
    <xf numFmtId="0" fontId="50" fillId="42" borderId="90" xfId="143" applyFont="1" applyFill="1" applyBorder="1" applyAlignment="1">
      <alignment horizontal="center" vertical="center"/>
    </xf>
    <xf numFmtId="168" fontId="15" fillId="0" borderId="91" xfId="143" applyNumberFormat="1" applyFont="1" applyBorder="1" applyAlignment="1">
      <alignment horizontal="center" vertical="center"/>
    </xf>
    <xf numFmtId="168" fontId="15" fillId="0" borderId="92" xfId="143" applyNumberFormat="1" applyFont="1" applyBorder="1" applyAlignment="1">
      <alignment horizontal="center" vertical="center"/>
    </xf>
    <xf numFmtId="3" fontId="15" fillId="0" borderId="91" xfId="143" applyNumberFormat="1" applyFont="1" applyBorder="1" applyAlignment="1">
      <alignment horizontal="center" vertical="center"/>
    </xf>
    <xf numFmtId="3" fontId="15" fillId="0" borderId="22" xfId="143" applyNumberFormat="1" applyFont="1" applyBorder="1" applyAlignment="1">
      <alignment horizontal="center" vertical="center"/>
    </xf>
    <xf numFmtId="170" fontId="50" fillId="0" borderId="107" xfId="143" applyNumberFormat="1" applyFont="1" applyBorder="1" applyAlignment="1">
      <alignment horizontal="center" vertical="center"/>
    </xf>
    <xf numFmtId="0" fontId="50" fillId="28" borderId="74" xfId="143" applyFont="1" applyFill="1" applyBorder="1" applyAlignment="1">
      <alignment horizontal="center" vertical="center"/>
    </xf>
    <xf numFmtId="0" fontId="50" fillId="28" borderId="22" xfId="143" applyFont="1" applyFill="1" applyBorder="1" applyAlignment="1">
      <alignment horizontal="center" vertical="center"/>
    </xf>
    <xf numFmtId="0" fontId="6" fillId="36" borderId="0" xfId="147" applyFill="1"/>
    <xf numFmtId="0" fontId="92" fillId="36" borderId="0" xfId="147" applyFont="1" applyFill="1" applyAlignment="1">
      <alignment vertical="center"/>
    </xf>
    <xf numFmtId="0" fontId="6" fillId="36" borderId="0" xfId="147" applyFill="1" applyAlignment="1">
      <alignment horizontal="center"/>
    </xf>
    <xf numFmtId="0" fontId="92" fillId="44" borderId="0" xfId="147" applyFont="1" applyFill="1"/>
    <xf numFmtId="0" fontId="6" fillId="44" borderId="0" xfId="147" applyFill="1"/>
    <xf numFmtId="0" fontId="92" fillId="44" borderId="0" xfId="147" applyFont="1" applyFill="1" applyAlignment="1">
      <alignment horizontal="center"/>
    </xf>
    <xf numFmtId="0" fontId="6" fillId="0" borderId="0" xfId="147"/>
    <xf numFmtId="174" fontId="93" fillId="36" borderId="0" xfId="147" applyNumberFormat="1" applyFont="1" applyFill="1" applyAlignment="1">
      <alignment horizontal="center"/>
    </xf>
    <xf numFmtId="0" fontId="6" fillId="36" borderId="5" xfId="147" applyFill="1" applyBorder="1"/>
    <xf numFmtId="174" fontId="93" fillId="36" borderId="5" xfId="147" applyNumberFormat="1" applyFont="1" applyFill="1" applyBorder="1" applyAlignment="1">
      <alignment horizontal="center"/>
    </xf>
    <xf numFmtId="0" fontId="94" fillId="36" borderId="0" xfId="147" applyFont="1" applyFill="1"/>
    <xf numFmtId="0" fontId="92" fillId="36" borderId="0" xfId="147" applyFont="1" applyFill="1"/>
    <xf numFmtId="174" fontId="95" fillId="36" borderId="0" xfId="147" applyNumberFormat="1" applyFont="1" applyFill="1" applyAlignment="1">
      <alignment horizontal="center"/>
    </xf>
    <xf numFmtId="0" fontId="92" fillId="36" borderId="5" xfId="147" applyFont="1" applyFill="1" applyBorder="1"/>
    <xf numFmtId="174" fontId="95" fillId="36" borderId="5" xfId="147" applyNumberFormat="1" applyFont="1" applyFill="1" applyBorder="1" applyAlignment="1">
      <alignment horizontal="center"/>
    </xf>
    <xf numFmtId="0" fontId="6" fillId="36" borderId="26" xfId="147" applyFill="1" applyBorder="1"/>
    <xf numFmtId="174" fontId="93" fillId="36" borderId="26" xfId="147" applyNumberFormat="1" applyFont="1" applyFill="1" applyBorder="1" applyAlignment="1">
      <alignment horizontal="center"/>
    </xf>
    <xf numFmtId="166" fontId="95" fillId="36" borderId="0" xfId="148" applyNumberFormat="1" applyFont="1" applyFill="1" applyAlignment="1">
      <alignment horizontal="center"/>
    </xf>
    <xf numFmtId="0" fontId="92" fillId="36" borderId="92" xfId="147" applyFont="1" applyFill="1" applyBorder="1"/>
    <xf numFmtId="174" fontId="95" fillId="36" borderId="93" xfId="147" applyNumberFormat="1" applyFont="1" applyFill="1" applyBorder="1" applyAlignment="1">
      <alignment horizontal="center"/>
    </xf>
    <xf numFmtId="174" fontId="95" fillId="36" borderId="90" xfId="147" applyNumberFormat="1" applyFont="1" applyFill="1" applyBorder="1" applyAlignment="1">
      <alignment horizontal="center"/>
    </xf>
    <xf numFmtId="174" fontId="95" fillId="36" borderId="92" xfId="147" applyNumberFormat="1" applyFont="1" applyFill="1" applyBorder="1" applyAlignment="1">
      <alignment horizontal="center"/>
    </xf>
    <xf numFmtId="0" fontId="6" fillId="36" borderId="45" xfId="147" applyFill="1" applyBorder="1"/>
    <xf numFmtId="166" fontId="93" fillId="36" borderId="5" xfId="148" applyNumberFormat="1" applyFont="1" applyFill="1" applyBorder="1" applyAlignment="1">
      <alignment horizontal="center"/>
    </xf>
    <xf numFmtId="166" fontId="93" fillId="36" borderId="37" xfId="148" applyNumberFormat="1" applyFont="1" applyFill="1" applyBorder="1" applyAlignment="1">
      <alignment horizontal="center"/>
    </xf>
    <xf numFmtId="166" fontId="93" fillId="36" borderId="45" xfId="148" applyNumberFormat="1" applyFont="1" applyFill="1" applyBorder="1" applyAlignment="1">
      <alignment horizontal="center"/>
    </xf>
    <xf numFmtId="0" fontId="92" fillId="36" borderId="44" xfId="147" applyFont="1" applyFill="1" applyBorder="1"/>
    <xf numFmtId="166" fontId="95" fillId="36" borderId="93" xfId="148" applyNumberFormat="1" applyFont="1" applyFill="1" applyBorder="1" applyAlignment="1">
      <alignment horizontal="center"/>
    </xf>
    <xf numFmtId="166" fontId="95" fillId="36" borderId="90" xfId="148" applyNumberFormat="1" applyFont="1" applyFill="1" applyBorder="1" applyAlignment="1">
      <alignment horizontal="center"/>
    </xf>
    <xf numFmtId="166" fontId="95" fillId="36" borderId="92" xfId="148" applyNumberFormat="1" applyFont="1" applyFill="1" applyBorder="1" applyAlignment="1">
      <alignment horizontal="center"/>
    </xf>
    <xf numFmtId="0" fontId="6" fillId="36" borderId="44" xfId="147" applyFill="1" applyBorder="1"/>
    <xf numFmtId="166" fontId="93" fillId="36" borderId="0" xfId="148" applyNumberFormat="1" applyFont="1" applyFill="1" applyBorder="1" applyAlignment="1">
      <alignment horizontal="center"/>
    </xf>
    <xf numFmtId="166" fontId="93" fillId="36" borderId="34" xfId="148" applyNumberFormat="1" applyFont="1" applyFill="1" applyBorder="1" applyAlignment="1">
      <alignment horizontal="center"/>
    </xf>
    <xf numFmtId="166" fontId="93" fillId="36" borderId="44" xfId="148" applyNumberFormat="1" applyFont="1" applyFill="1" applyBorder="1" applyAlignment="1">
      <alignment horizontal="center"/>
    </xf>
    <xf numFmtId="166" fontId="95" fillId="36" borderId="0" xfId="148" applyNumberFormat="1" applyFont="1" applyFill="1" applyBorder="1" applyAlignment="1">
      <alignment horizontal="center"/>
    </xf>
    <xf numFmtId="166" fontId="95" fillId="36" borderId="34" xfId="148" applyNumberFormat="1" applyFont="1" applyFill="1" applyBorder="1" applyAlignment="1">
      <alignment horizontal="center"/>
    </xf>
    <xf numFmtId="166" fontId="95" fillId="36" borderId="44" xfId="148" applyNumberFormat="1" applyFont="1" applyFill="1" applyBorder="1" applyAlignment="1">
      <alignment horizontal="center"/>
    </xf>
    <xf numFmtId="0" fontId="94" fillId="36" borderId="44" xfId="147" applyFont="1" applyFill="1" applyBorder="1"/>
    <xf numFmtId="0" fontId="92" fillId="36" borderId="45" xfId="147" applyFont="1" applyFill="1" applyBorder="1"/>
    <xf numFmtId="166" fontId="95" fillId="36" borderId="5" xfId="148" applyNumberFormat="1" applyFont="1" applyFill="1" applyBorder="1" applyAlignment="1">
      <alignment horizontal="center"/>
    </xf>
    <xf numFmtId="166" fontId="95" fillId="36" borderId="37" xfId="148" applyNumberFormat="1" applyFont="1" applyFill="1" applyBorder="1" applyAlignment="1">
      <alignment horizontal="center"/>
    </xf>
    <xf numFmtId="166" fontId="95" fillId="36" borderId="45" xfId="148" applyNumberFormat="1" applyFont="1" applyFill="1" applyBorder="1" applyAlignment="1">
      <alignment horizontal="center"/>
    </xf>
    <xf numFmtId="166" fontId="93" fillId="36" borderId="93" xfId="148" applyNumberFormat="1" applyFont="1" applyFill="1" applyBorder="1" applyAlignment="1">
      <alignment horizontal="center"/>
    </xf>
    <xf numFmtId="166" fontId="93" fillId="36" borderId="90" xfId="148" applyNumberFormat="1" applyFont="1" applyFill="1" applyBorder="1" applyAlignment="1">
      <alignment horizontal="center"/>
    </xf>
    <xf numFmtId="166" fontId="93" fillId="36" borderId="92" xfId="148" applyNumberFormat="1" applyFont="1" applyFill="1" applyBorder="1" applyAlignment="1">
      <alignment horizontal="center"/>
    </xf>
    <xf numFmtId="0" fontId="6" fillId="36" borderId="86" xfId="147" applyFill="1" applyBorder="1"/>
    <xf numFmtId="166" fontId="93" fillId="36" borderId="26" xfId="148" applyNumberFormat="1" applyFont="1" applyFill="1" applyBorder="1" applyAlignment="1">
      <alignment horizontal="center"/>
    </xf>
    <xf numFmtId="166" fontId="93" fillId="36" borderId="97" xfId="148" applyNumberFormat="1" applyFont="1" applyFill="1" applyBorder="1" applyAlignment="1">
      <alignment horizontal="center"/>
    </xf>
    <xf numFmtId="166" fontId="93" fillId="36" borderId="86" xfId="148" applyNumberFormat="1" applyFont="1" applyFill="1" applyBorder="1" applyAlignment="1">
      <alignment horizontal="center"/>
    </xf>
    <xf numFmtId="0" fontId="92" fillId="36" borderId="0" xfId="147" applyFont="1" applyFill="1" applyAlignment="1">
      <alignment horizontal="right"/>
    </xf>
    <xf numFmtId="0" fontId="92" fillId="36" borderId="98" xfId="147" applyFont="1" applyFill="1" applyBorder="1"/>
    <xf numFmtId="174" fontId="95" fillId="36" borderId="98" xfId="147" applyNumberFormat="1" applyFont="1" applyFill="1" applyBorder="1" applyAlignment="1">
      <alignment horizontal="center"/>
    </xf>
    <xf numFmtId="0" fontId="96" fillId="36" borderId="0" xfId="147" applyFont="1" applyFill="1"/>
    <xf numFmtId="174" fontId="97" fillId="36" borderId="0" xfId="147" applyNumberFormat="1" applyFont="1" applyFill="1" applyAlignment="1">
      <alignment horizontal="center"/>
    </xf>
    <xf numFmtId="3" fontId="97" fillId="36" borderId="0" xfId="147" applyNumberFormat="1" applyFont="1" applyFill="1"/>
    <xf numFmtId="3" fontId="96" fillId="36" borderId="0" xfId="147" applyNumberFormat="1" applyFont="1" applyFill="1"/>
    <xf numFmtId="3" fontId="98" fillId="36" borderId="0" xfId="147" applyNumberFormat="1" applyFont="1" applyFill="1"/>
    <xf numFmtId="3" fontId="6" fillId="36" borderId="0" xfId="147" applyNumberFormat="1" applyFill="1"/>
    <xf numFmtId="0" fontId="92" fillId="36" borderId="105" xfId="147" applyFont="1" applyFill="1" applyBorder="1"/>
    <xf numFmtId="174" fontId="95" fillId="36" borderId="105" xfId="147" applyNumberFormat="1" applyFont="1" applyFill="1" applyBorder="1" applyAlignment="1">
      <alignment horizontal="center"/>
    </xf>
    <xf numFmtId="166" fontId="93" fillId="36" borderId="0" xfId="148" applyNumberFormat="1" applyFont="1" applyFill="1" applyAlignment="1">
      <alignment horizontal="center"/>
    </xf>
    <xf numFmtId="174" fontId="93" fillId="36" borderId="93" xfId="147" applyNumberFormat="1" applyFont="1" applyFill="1" applyBorder="1" applyAlignment="1">
      <alignment horizontal="center"/>
    </xf>
    <xf numFmtId="174" fontId="93" fillId="36" borderId="90" xfId="147" applyNumberFormat="1" applyFont="1" applyFill="1" applyBorder="1" applyAlignment="1">
      <alignment horizontal="center"/>
    </xf>
    <xf numFmtId="174" fontId="93" fillId="36" borderId="92" xfId="147" applyNumberFormat="1" applyFont="1" applyFill="1" applyBorder="1" applyAlignment="1">
      <alignment horizontal="center"/>
    </xf>
    <xf numFmtId="174" fontId="93" fillId="36" borderId="34" xfId="147" applyNumberFormat="1" applyFont="1" applyFill="1" applyBorder="1" applyAlignment="1">
      <alignment horizontal="center"/>
    </xf>
    <xf numFmtId="174" fontId="93" fillId="36" borderId="44" xfId="147" applyNumberFormat="1" applyFont="1" applyFill="1" applyBorder="1" applyAlignment="1">
      <alignment horizontal="center"/>
    </xf>
    <xf numFmtId="174" fontId="93" fillId="36" borderId="37" xfId="147" applyNumberFormat="1" applyFont="1" applyFill="1" applyBorder="1" applyAlignment="1">
      <alignment horizontal="center"/>
    </xf>
    <xf numFmtId="174" fontId="93" fillId="36" borderId="45" xfId="147" applyNumberFormat="1" applyFont="1" applyFill="1" applyBorder="1" applyAlignment="1">
      <alignment horizontal="center"/>
    </xf>
    <xf numFmtId="174" fontId="95" fillId="36" borderId="34" xfId="147" applyNumberFormat="1" applyFont="1" applyFill="1" applyBorder="1" applyAlignment="1">
      <alignment horizontal="center"/>
    </xf>
    <xf numFmtId="3" fontId="99" fillId="36" borderId="0" xfId="147" applyNumberFormat="1" applyFont="1" applyFill="1"/>
    <xf numFmtId="174" fontId="95" fillId="36" borderId="44" xfId="147" applyNumberFormat="1" applyFont="1" applyFill="1" applyBorder="1" applyAlignment="1">
      <alignment horizontal="center"/>
    </xf>
    <xf numFmtId="3" fontId="92" fillId="36" borderId="0" xfId="147" applyNumberFormat="1" applyFont="1" applyFill="1"/>
    <xf numFmtId="0" fontId="92" fillId="36" borderId="80" xfId="147" applyFont="1" applyFill="1" applyBorder="1"/>
    <xf numFmtId="174" fontId="95" fillId="36" borderId="104" xfId="147" applyNumberFormat="1" applyFont="1" applyFill="1" applyBorder="1" applyAlignment="1">
      <alignment horizontal="center"/>
    </xf>
    <xf numFmtId="174" fontId="95" fillId="36" borderId="80" xfId="147" applyNumberFormat="1" applyFont="1" applyFill="1" applyBorder="1" applyAlignment="1">
      <alignment horizontal="center"/>
    </xf>
    <xf numFmtId="174" fontId="93" fillId="36" borderId="97" xfId="147" applyNumberFormat="1" applyFont="1" applyFill="1" applyBorder="1" applyAlignment="1">
      <alignment horizontal="center"/>
    </xf>
    <xf numFmtId="174" fontId="93" fillId="36" borderId="86" xfId="147" applyNumberFormat="1" applyFont="1" applyFill="1" applyBorder="1" applyAlignment="1">
      <alignment horizontal="center"/>
    </xf>
    <xf numFmtId="174" fontId="95" fillId="36" borderId="37" xfId="147" applyNumberFormat="1" applyFont="1" applyFill="1" applyBorder="1" applyAlignment="1">
      <alignment horizontal="center"/>
    </xf>
    <xf numFmtId="174" fontId="95" fillId="31" borderId="45" xfId="147" applyNumberFormat="1" applyFont="1" applyFill="1" applyBorder="1" applyAlignment="1">
      <alignment horizontal="center"/>
    </xf>
    <xf numFmtId="3" fontId="6" fillId="36" borderId="0" xfId="147" applyNumberFormat="1" applyFill="1" applyAlignment="1">
      <alignment horizontal="center"/>
    </xf>
    <xf numFmtId="0" fontId="6" fillId="36" borderId="92" xfId="147" applyFill="1" applyBorder="1"/>
    <xf numFmtId="0" fontId="6" fillId="36" borderId="0" xfId="147" applyFill="1" applyAlignment="1">
      <alignment horizontal="right"/>
    </xf>
    <xf numFmtId="0" fontId="6" fillId="36" borderId="0" xfId="147" applyFill="1" applyAlignment="1">
      <alignment wrapText="1"/>
    </xf>
    <xf numFmtId="9" fontId="93" fillId="36" borderId="0" xfId="41" applyFont="1" applyFill="1" applyBorder="1" applyAlignment="1">
      <alignment horizontal="center"/>
    </xf>
    <xf numFmtId="168" fontId="8" fillId="0" borderId="0" xfId="143" applyNumberFormat="1"/>
    <xf numFmtId="166" fontId="8" fillId="0" borderId="0" xfId="41" applyNumberFormat="1" applyFont="1"/>
    <xf numFmtId="0" fontId="50" fillId="0" borderId="98" xfId="0" applyFont="1" applyBorder="1" applyAlignment="1">
      <alignment vertical="center" wrapText="1"/>
    </xf>
    <xf numFmtId="0" fontId="50" fillId="39" borderId="106" xfId="0" applyFont="1" applyFill="1" applyBorder="1" applyAlignment="1">
      <alignment horizontal="center" vertical="center" wrapText="1"/>
    </xf>
    <xf numFmtId="0" fontId="50" fillId="0" borderId="93" xfId="0" applyFont="1" applyBorder="1" applyAlignment="1">
      <alignment horizontal="center" vertical="center" wrapText="1"/>
    </xf>
    <xf numFmtId="4" fontId="15" fillId="0" borderId="93" xfId="0" applyNumberFormat="1" applyFont="1" applyBorder="1" applyAlignment="1">
      <alignment horizontal="center" vertical="center" wrapText="1"/>
    </xf>
    <xf numFmtId="166" fontId="52" fillId="0" borderId="5" xfId="41" applyNumberFormat="1" applyFont="1" applyBorder="1" applyAlignment="1">
      <alignment horizontal="center" vertical="center" wrapText="1"/>
    </xf>
    <xf numFmtId="166" fontId="52" fillId="0" borderId="0" xfId="41" applyNumberFormat="1" applyFont="1" applyBorder="1" applyAlignment="1">
      <alignment horizontal="center" vertical="center" wrapText="1"/>
    </xf>
    <xf numFmtId="167" fontId="50" fillId="28" borderId="93" xfId="0" applyNumberFormat="1" applyFont="1" applyFill="1" applyBorder="1" applyAlignment="1">
      <alignment horizontal="center" vertical="center" wrapText="1"/>
    </xf>
    <xf numFmtId="4" fontId="50" fillId="0" borderId="111" xfId="0" applyNumberFormat="1" applyFont="1" applyBorder="1" applyAlignment="1">
      <alignment horizontal="center" vertical="center" wrapText="1"/>
    </xf>
    <xf numFmtId="166" fontId="50" fillId="0" borderId="0" xfId="41" applyNumberFormat="1" applyFont="1" applyBorder="1" applyAlignment="1">
      <alignment horizontal="center" vertical="center" wrapText="1"/>
    </xf>
    <xf numFmtId="167" fontId="50" fillId="0" borderId="0" xfId="0" applyNumberFormat="1" applyFont="1" applyAlignment="1">
      <alignment horizontal="center" vertical="center" wrapText="1"/>
    </xf>
    <xf numFmtId="3" fontId="15" fillId="0" borderId="93" xfId="0" applyNumberFormat="1" applyFont="1" applyBorder="1" applyAlignment="1">
      <alignment horizontal="center" vertical="center" wrapText="1"/>
    </xf>
    <xf numFmtId="3" fontId="15" fillId="0" borderId="5" xfId="0" applyNumberFormat="1" applyFont="1" applyBorder="1" applyAlignment="1">
      <alignment horizontal="center" vertical="center" wrapText="1"/>
    </xf>
    <xf numFmtId="3" fontId="15" fillId="28" borderId="5" xfId="0" applyNumberFormat="1" applyFont="1" applyFill="1" applyBorder="1" applyAlignment="1">
      <alignment horizontal="center" vertical="center" wrapText="1"/>
    </xf>
    <xf numFmtId="166" fontId="50" fillId="28" borderId="105" xfId="41" applyNumberFormat="1" applyFont="1" applyFill="1" applyBorder="1" applyAlignment="1">
      <alignment horizontal="center" vertical="center" wrapText="1"/>
    </xf>
    <xf numFmtId="3" fontId="50" fillId="28" borderId="93" xfId="0" applyNumberFormat="1" applyFont="1" applyFill="1" applyBorder="1" applyAlignment="1">
      <alignment horizontal="center" vertical="center" wrapText="1"/>
    </xf>
    <xf numFmtId="0" fontId="50" fillId="45" borderId="5" xfId="0" applyFont="1" applyFill="1" applyBorder="1" applyAlignment="1">
      <alignment horizontal="center" vertical="center" wrapText="1"/>
    </xf>
    <xf numFmtId="0" fontId="0" fillId="0" borderId="102" xfId="0" applyBorder="1"/>
    <xf numFmtId="0" fontId="52" fillId="0" borderId="102" xfId="0" applyFont="1" applyBorder="1"/>
    <xf numFmtId="0" fontId="52" fillId="43" borderId="32" xfId="0" applyFont="1" applyFill="1" applyBorder="1" applyAlignment="1">
      <alignment horizontal="center" vertical="center"/>
    </xf>
    <xf numFmtId="0" fontId="52" fillId="43" borderId="33" xfId="0" applyFont="1" applyFill="1" applyBorder="1" applyAlignment="1">
      <alignment horizontal="center" vertical="center"/>
    </xf>
    <xf numFmtId="166" fontId="0" fillId="0" borderId="35" xfId="41" applyNumberFormat="1" applyFont="1" applyBorder="1" applyAlignment="1">
      <alignment horizontal="center" vertical="center"/>
    </xf>
    <xf numFmtId="0" fontId="0" fillId="0" borderId="35" xfId="0" applyBorder="1" applyAlignment="1">
      <alignment horizontal="center" vertical="center"/>
    </xf>
    <xf numFmtId="166" fontId="0" fillId="0" borderId="36" xfId="41" applyNumberFormat="1" applyFont="1" applyBorder="1" applyAlignment="1">
      <alignment horizontal="center" vertical="center"/>
    </xf>
    <xf numFmtId="166" fontId="14" fillId="0" borderId="45" xfId="41" applyNumberFormat="1" applyFont="1" applyBorder="1" applyAlignment="1">
      <alignment horizontal="center" vertical="center"/>
    </xf>
    <xf numFmtId="174" fontId="6" fillId="36" borderId="0" xfId="147" applyNumberFormat="1" applyFill="1"/>
    <xf numFmtId="0" fontId="100" fillId="0" borderId="32" xfId="0" applyFont="1" applyBorder="1" applyAlignment="1">
      <alignment horizontal="center" vertical="center" wrapText="1"/>
    </xf>
    <xf numFmtId="0" fontId="50" fillId="0" borderId="25" xfId="0" applyFont="1" applyBorder="1" applyAlignment="1">
      <alignment horizontal="center" vertical="center" wrapText="1"/>
    </xf>
    <xf numFmtId="3" fontId="15" fillId="0" borderId="97" xfId="0" applyNumberFormat="1" applyFont="1" applyBorder="1" applyAlignment="1">
      <alignment horizontal="center" vertical="center" wrapText="1"/>
    </xf>
    <xf numFmtId="3" fontId="15" fillId="0" borderId="54" xfId="0" applyNumberFormat="1" applyFont="1" applyBorder="1" applyAlignment="1">
      <alignment horizontal="center" vertical="center" wrapText="1"/>
    </xf>
    <xf numFmtId="3" fontId="15" fillId="0" borderId="112" xfId="0" applyNumberFormat="1" applyFont="1" applyBorder="1" applyAlignment="1">
      <alignment horizontal="center" vertical="center" wrapText="1"/>
    </xf>
    <xf numFmtId="3" fontId="50" fillId="0" borderId="54" xfId="0" applyNumberFormat="1" applyFont="1" applyBorder="1" applyAlignment="1">
      <alignment horizontal="center" vertical="center" wrapText="1"/>
    </xf>
    <xf numFmtId="3" fontId="50" fillId="0" borderId="97" xfId="0" applyNumberFormat="1" applyFont="1" applyBorder="1" applyAlignment="1">
      <alignment horizontal="center" vertical="center" wrapText="1"/>
    </xf>
    <xf numFmtId="0" fontId="15" fillId="0" borderId="0" xfId="0" applyFont="1" applyAlignment="1">
      <alignment vertical="center" wrapText="1" readingOrder="2"/>
    </xf>
    <xf numFmtId="0" fontId="15" fillId="0" borderId="102" xfId="0" applyFont="1" applyBorder="1" applyAlignment="1">
      <alignment horizontal="center" vertical="center" wrapText="1"/>
    </xf>
    <xf numFmtId="170" fontId="15" fillId="0" borderId="102" xfId="0" applyNumberFormat="1" applyFont="1" applyBorder="1" applyAlignment="1">
      <alignment horizontal="center" vertical="center" wrapText="1"/>
    </xf>
    <xf numFmtId="3" fontId="15" fillId="0" borderId="102" xfId="0" applyNumberFormat="1" applyFont="1" applyBorder="1" applyAlignment="1">
      <alignment horizontal="center" vertical="center" wrapText="1"/>
    </xf>
    <xf numFmtId="170" fontId="50" fillId="39" borderId="0" xfId="0" applyNumberFormat="1" applyFont="1" applyFill="1" applyAlignment="1">
      <alignment horizontal="center" vertical="center" wrapText="1"/>
    </xf>
    <xf numFmtId="3" fontId="15" fillId="29" borderId="101" xfId="0" applyNumberFormat="1" applyFont="1" applyFill="1" applyBorder="1" applyAlignment="1">
      <alignment horizontal="center" vertical="center" wrapText="1"/>
    </xf>
    <xf numFmtId="0" fontId="50" fillId="0" borderId="100" xfId="0" applyFont="1" applyBorder="1" applyAlignment="1">
      <alignment horizontal="center" vertical="center" wrapText="1"/>
    </xf>
    <xf numFmtId="3" fontId="50" fillId="0" borderId="101" xfId="0" applyNumberFormat="1" applyFont="1" applyBorder="1" applyAlignment="1">
      <alignment horizontal="center" vertical="center" wrapText="1"/>
    </xf>
    <xf numFmtId="9" fontId="50" fillId="0" borderId="104" xfId="41" applyFont="1" applyBorder="1" applyAlignment="1">
      <alignment horizontal="center" vertical="center" wrapText="1"/>
    </xf>
    <xf numFmtId="168" fontId="15" fillId="0" borderId="44" xfId="0" applyNumberFormat="1" applyFont="1" applyBorder="1" applyAlignment="1">
      <alignment horizontal="center" vertical="center" wrapText="1"/>
    </xf>
    <xf numFmtId="168" fontId="50" fillId="29" borderId="22" xfId="0" applyNumberFormat="1" applyFont="1" applyFill="1" applyBorder="1" applyAlignment="1">
      <alignment horizontal="center" vertical="center" wrapText="1"/>
    </xf>
    <xf numFmtId="0" fontId="50" fillId="0" borderId="113" xfId="0" applyFont="1" applyBorder="1" applyAlignment="1">
      <alignment horizontal="center" vertical="center" wrapText="1"/>
    </xf>
    <xf numFmtId="0" fontId="50" fillId="0" borderId="114" xfId="0" applyFont="1" applyBorder="1" applyAlignment="1">
      <alignment horizontal="right" vertical="center" wrapText="1"/>
    </xf>
    <xf numFmtId="170" fontId="50" fillId="0" borderId="115" xfId="0" applyNumberFormat="1" applyFont="1" applyBorder="1" applyAlignment="1">
      <alignment horizontal="center" vertical="center" wrapText="1"/>
    </xf>
    <xf numFmtId="170" fontId="50" fillId="0" borderId="116" xfId="0" applyNumberFormat="1" applyFont="1" applyBorder="1" applyAlignment="1">
      <alignment horizontal="center" vertical="center" wrapText="1"/>
    </xf>
    <xf numFmtId="0" fontId="50" fillId="0" borderId="117" xfId="0" applyFont="1" applyBorder="1" applyAlignment="1">
      <alignment horizontal="center" vertical="center" wrapText="1"/>
    </xf>
    <xf numFmtId="0" fontId="50" fillId="0" borderId="95" xfId="0" applyFont="1" applyBorder="1" applyAlignment="1">
      <alignment horizontal="right" vertical="center" wrapText="1"/>
    </xf>
    <xf numFmtId="170" fontId="50" fillId="0" borderId="96" xfId="0" applyNumberFormat="1" applyFont="1" applyBorder="1" applyAlignment="1">
      <alignment horizontal="center" vertical="center" wrapText="1"/>
    </xf>
    <xf numFmtId="0" fontId="50" fillId="0" borderId="117" xfId="0" applyFont="1" applyBorder="1" applyAlignment="1">
      <alignment horizontal="center" vertical="center" wrapText="1" readingOrder="2"/>
    </xf>
    <xf numFmtId="0" fontId="50" fillId="0" borderId="118" xfId="0" applyFont="1" applyBorder="1" applyAlignment="1">
      <alignment horizontal="center" vertical="center" wrapText="1" readingOrder="2"/>
    </xf>
    <xf numFmtId="0" fontId="50" fillId="0" borderId="119" xfId="0" applyFont="1" applyBorder="1" applyAlignment="1">
      <alignment horizontal="right" vertical="center" wrapText="1"/>
    </xf>
    <xf numFmtId="170" fontId="50" fillId="0" borderId="120" xfId="0" applyNumberFormat="1" applyFont="1" applyBorder="1" applyAlignment="1">
      <alignment horizontal="center" vertical="center" wrapText="1"/>
    </xf>
    <xf numFmtId="170" fontId="50" fillId="0" borderId="119" xfId="0" applyNumberFormat="1" applyFont="1" applyBorder="1" applyAlignment="1">
      <alignment horizontal="center" vertical="center" wrapText="1"/>
    </xf>
    <xf numFmtId="170" fontId="50" fillId="0" borderId="121" xfId="0" applyNumberFormat="1" applyFont="1" applyBorder="1" applyAlignment="1">
      <alignment horizontal="center" vertical="center" wrapText="1"/>
    </xf>
    <xf numFmtId="0" fontId="50" fillId="0" borderId="103" xfId="0" applyFont="1" applyBorder="1" applyAlignment="1">
      <alignment horizontal="center" vertical="center" wrapText="1"/>
    </xf>
    <xf numFmtId="170" fontId="50" fillId="0" borderId="123" xfId="0" applyNumberFormat="1" applyFont="1" applyBorder="1" applyAlignment="1">
      <alignment horizontal="center" vertical="center" wrapText="1"/>
    </xf>
    <xf numFmtId="170" fontId="50" fillId="0" borderId="124" xfId="0" applyNumberFormat="1" applyFont="1" applyBorder="1" applyAlignment="1">
      <alignment horizontal="center" vertical="center" wrapText="1"/>
    </xf>
    <xf numFmtId="170" fontId="50" fillId="0" borderId="125" xfId="0" applyNumberFormat="1" applyFont="1" applyBorder="1" applyAlignment="1">
      <alignment horizontal="center" vertical="center" wrapText="1"/>
    </xf>
    <xf numFmtId="170" fontId="50" fillId="0" borderId="126" xfId="0" applyNumberFormat="1" applyFont="1" applyBorder="1" applyAlignment="1">
      <alignment horizontal="center" vertical="center" wrapText="1"/>
    </xf>
    <xf numFmtId="170" fontId="50" fillId="0" borderId="127" xfId="0" applyNumberFormat="1" applyFont="1" applyBorder="1" applyAlignment="1">
      <alignment horizontal="center" vertical="center" wrapText="1"/>
    </xf>
    <xf numFmtId="0" fontId="5" fillId="36" borderId="0" xfId="147" applyFont="1" applyFill="1"/>
    <xf numFmtId="0" fontId="5" fillId="36" borderId="0" xfId="147" applyFont="1" applyFill="1" applyAlignment="1">
      <alignment horizontal="right"/>
    </xf>
    <xf numFmtId="3" fontId="6" fillId="36" borderId="0" xfId="147" applyNumberFormat="1" applyFill="1" applyAlignment="1">
      <alignment horizontal="right"/>
    </xf>
    <xf numFmtId="0" fontId="50" fillId="29" borderId="28" xfId="0" applyFont="1" applyFill="1" applyBorder="1" applyAlignment="1">
      <alignment horizontal="center" vertical="center" wrapText="1"/>
    </xf>
    <xf numFmtId="0" fontId="50" fillId="29" borderId="45" xfId="0" applyFont="1" applyFill="1" applyBorder="1" applyAlignment="1">
      <alignment horizontal="center" vertical="center" wrapText="1"/>
    </xf>
    <xf numFmtId="0" fontId="4" fillId="36" borderId="0" xfId="147" applyFont="1" applyFill="1"/>
    <xf numFmtId="3" fontId="3" fillId="36" borderId="0" xfId="147" applyNumberFormat="1" applyFont="1" applyFill="1"/>
    <xf numFmtId="174" fontId="93" fillId="36" borderId="105" xfId="147" applyNumberFormat="1" applyFont="1" applyFill="1" applyBorder="1" applyAlignment="1">
      <alignment horizontal="center"/>
    </xf>
    <xf numFmtId="0" fontId="3" fillId="36" borderId="0" xfId="147" applyFont="1" applyFill="1"/>
    <xf numFmtId="0" fontId="92" fillId="36" borderId="0" xfId="147" applyFont="1" applyFill="1" applyAlignment="1">
      <alignment horizontal="right" readingOrder="2"/>
    </xf>
    <xf numFmtId="3" fontId="103" fillId="36" borderId="0" xfId="147" applyNumberFormat="1" applyFont="1" applyFill="1" applyAlignment="1">
      <alignment horizontal="center"/>
    </xf>
    <xf numFmtId="0" fontId="103" fillId="36" borderId="0" xfId="147" applyFont="1" applyFill="1"/>
    <xf numFmtId="168" fontId="6" fillId="36" borderId="0" xfId="147" applyNumberFormat="1" applyFill="1" applyAlignment="1">
      <alignment horizontal="center"/>
    </xf>
    <xf numFmtId="3" fontId="104" fillId="36" borderId="0" xfId="147" applyNumberFormat="1" applyFont="1" applyFill="1" applyAlignment="1">
      <alignment horizontal="center"/>
    </xf>
    <xf numFmtId="3" fontId="104" fillId="36" borderId="0" xfId="147" applyNumberFormat="1" applyFont="1" applyFill="1"/>
    <xf numFmtId="3" fontId="105" fillId="36" borderId="0" xfId="147" applyNumberFormat="1" applyFont="1" applyFill="1" applyAlignment="1">
      <alignment horizontal="center"/>
    </xf>
    <xf numFmtId="3" fontId="105" fillId="36" borderId="0" xfId="147" applyNumberFormat="1" applyFont="1" applyFill="1"/>
    <xf numFmtId="168" fontId="105" fillId="36" borderId="0" xfId="147" applyNumberFormat="1" applyFont="1" applyFill="1" applyAlignment="1">
      <alignment horizontal="center"/>
    </xf>
    <xf numFmtId="166" fontId="105" fillId="36" borderId="0" xfId="41" applyNumberFormat="1" applyFont="1" applyFill="1" applyAlignment="1">
      <alignment horizontal="center"/>
    </xf>
    <xf numFmtId="167" fontId="105" fillId="36" borderId="0" xfId="147" applyNumberFormat="1" applyFont="1" applyFill="1" applyAlignment="1">
      <alignment horizontal="center"/>
    </xf>
    <xf numFmtId="3" fontId="105" fillId="36" borderId="0" xfId="147" applyNumberFormat="1" applyFont="1" applyFill="1" applyAlignment="1">
      <alignment horizontal="right" readingOrder="2"/>
    </xf>
    <xf numFmtId="168" fontId="3" fillId="36" borderId="0" xfId="147" applyNumberFormat="1" applyFont="1" applyFill="1" applyAlignment="1">
      <alignment horizontal="center"/>
    </xf>
    <xf numFmtId="0" fontId="86" fillId="0" borderId="98" xfId="143" applyFont="1" applyBorder="1" applyAlignment="1">
      <alignment horizontal="right" vertical="center"/>
    </xf>
    <xf numFmtId="0" fontId="2" fillId="36" borderId="0" xfId="147" applyFont="1" applyFill="1"/>
    <xf numFmtId="0" fontId="52" fillId="0" borderId="0" xfId="0" applyFont="1" applyAlignment="1">
      <alignment horizontal="right" vertical="center" wrapText="1"/>
    </xf>
    <xf numFmtId="3" fontId="15" fillId="28" borderId="93" xfId="0" applyNumberFormat="1" applyFont="1" applyFill="1" applyBorder="1" applyAlignment="1">
      <alignment horizontal="center" vertical="center" wrapText="1"/>
    </xf>
    <xf numFmtId="167" fontId="50" fillId="28" borderId="28" xfId="0" applyNumberFormat="1" applyFont="1" applyFill="1" applyBorder="1" applyAlignment="1">
      <alignment horizontal="center" vertical="center" wrapText="1"/>
    </xf>
    <xf numFmtId="167" fontId="50" fillId="0" borderId="28" xfId="0" applyNumberFormat="1" applyFont="1" applyBorder="1" applyAlignment="1">
      <alignment horizontal="center" vertical="center" wrapText="1"/>
    </xf>
    <xf numFmtId="166" fontId="14" fillId="0" borderId="44" xfId="41" applyNumberFormat="1" applyFont="1" applyBorder="1" applyAlignment="1">
      <alignment horizontal="center" vertical="center"/>
    </xf>
    <xf numFmtId="166" fontId="0" fillId="0" borderId="28" xfId="41" applyNumberFormat="1" applyFont="1" applyBorder="1" applyAlignment="1">
      <alignment horizontal="center" vertical="center"/>
    </xf>
    <xf numFmtId="166" fontId="0" fillId="0" borderId="45" xfId="41" applyNumberFormat="1" applyFont="1" applyBorder="1" applyAlignment="1">
      <alignment horizontal="center" vertical="center"/>
    </xf>
    <xf numFmtId="168" fontId="15" fillId="0" borderId="0" xfId="143" applyNumberFormat="1" applyFont="1" applyAlignment="1">
      <alignment horizontal="center" vertical="center"/>
    </xf>
    <xf numFmtId="170" fontId="50" fillId="0" borderId="0" xfId="143" applyNumberFormat="1" applyFont="1" applyAlignment="1">
      <alignment horizontal="center" vertical="center"/>
    </xf>
    <xf numFmtId="170" fontId="15" fillId="0" borderId="0" xfId="143" applyNumberFormat="1" applyFont="1" applyAlignment="1">
      <alignment horizontal="center" vertical="center"/>
    </xf>
    <xf numFmtId="0" fontId="50" fillId="39" borderId="80" xfId="143" applyFont="1" applyFill="1" applyBorder="1" applyAlignment="1">
      <alignment horizontal="center" vertical="center" wrapText="1"/>
    </xf>
    <xf numFmtId="0" fontId="8" fillId="0" borderId="98" xfId="143" applyBorder="1"/>
    <xf numFmtId="0" fontId="86" fillId="0" borderId="0" xfId="143" applyFont="1" applyAlignment="1">
      <alignment horizontal="center"/>
    </xf>
    <xf numFmtId="0" fontId="50" fillId="0" borderId="0" xfId="143" applyFont="1" applyAlignment="1">
      <alignment horizontal="center" vertical="center" wrapText="1"/>
    </xf>
    <xf numFmtId="3" fontId="15" fillId="0" borderId="44" xfId="143" applyNumberFormat="1" applyFont="1" applyBorder="1" applyAlignment="1">
      <alignment horizontal="center" vertical="center"/>
    </xf>
    <xf numFmtId="0" fontId="1" fillId="0" borderId="0" xfId="143" applyFont="1"/>
    <xf numFmtId="170" fontId="8" fillId="0" borderId="0" xfId="143" applyNumberFormat="1" applyAlignment="1">
      <alignment horizontal="center" vertical="center"/>
    </xf>
    <xf numFmtId="166" fontId="50" fillId="0" borderId="0" xfId="74" applyNumberFormat="1" applyFont="1" applyFill="1" applyBorder="1" applyAlignment="1">
      <alignment horizontal="center" vertical="center"/>
    </xf>
    <xf numFmtId="166" fontId="8" fillId="0" borderId="0" xfId="143" applyNumberFormat="1" applyAlignment="1">
      <alignment horizontal="center" vertical="center"/>
    </xf>
    <xf numFmtId="170" fontId="15" fillId="0" borderId="44" xfId="143" applyNumberFormat="1" applyFont="1" applyBorder="1" applyAlignment="1">
      <alignment horizontal="center" vertical="center"/>
    </xf>
    <xf numFmtId="0" fontId="86" fillId="0" borderId="102" xfId="143" applyFont="1" applyBorder="1" applyAlignment="1">
      <alignment horizontal="right" vertical="center"/>
    </xf>
    <xf numFmtId="0" fontId="8" fillId="0" borderId="102" xfId="143" applyBorder="1"/>
    <xf numFmtId="166" fontId="50" fillId="29" borderId="45" xfId="74" applyNumberFormat="1" applyFont="1" applyFill="1" applyBorder="1" applyAlignment="1">
      <alignment horizontal="center" vertical="center"/>
    </xf>
    <xf numFmtId="170" fontId="8" fillId="28" borderId="91" xfId="143" applyNumberFormat="1" applyFill="1" applyBorder="1" applyAlignment="1">
      <alignment horizontal="center" vertical="center"/>
    </xf>
    <xf numFmtId="0" fontId="50" fillId="0" borderId="0" xfId="143" applyFont="1" applyAlignment="1">
      <alignment horizontal="center" vertical="center"/>
    </xf>
    <xf numFmtId="170" fontId="50" fillId="28" borderId="71" xfId="143" applyNumberFormat="1" applyFont="1" applyFill="1" applyBorder="1" applyAlignment="1">
      <alignment horizontal="center" vertical="center"/>
    </xf>
    <xf numFmtId="170" fontId="50" fillId="28" borderId="107" xfId="143" applyNumberFormat="1" applyFont="1" applyFill="1" applyBorder="1" applyAlignment="1">
      <alignment horizontal="center" vertical="center"/>
    </xf>
    <xf numFmtId="0" fontId="50" fillId="28" borderId="71" xfId="143" applyFont="1" applyFill="1" applyBorder="1" applyAlignment="1">
      <alignment horizontal="center" vertical="center" wrapText="1"/>
    </xf>
    <xf numFmtId="0" fontId="50" fillId="29" borderId="67" xfId="143" applyFont="1" applyFill="1" applyBorder="1" applyAlignment="1">
      <alignment horizontal="center" vertical="center" wrapText="1"/>
    </xf>
    <xf numFmtId="170" fontId="50" fillId="29" borderId="74" xfId="143" applyNumberFormat="1" applyFont="1" applyFill="1" applyBorder="1" applyAlignment="1">
      <alignment horizontal="center" vertical="center"/>
    </xf>
    <xf numFmtId="170" fontId="50" fillId="29" borderId="68" xfId="143" applyNumberFormat="1" applyFont="1" applyFill="1" applyBorder="1" applyAlignment="1">
      <alignment horizontal="center" vertical="center"/>
    </xf>
    <xf numFmtId="170" fontId="50" fillId="29" borderId="107" xfId="143" applyNumberFormat="1" applyFont="1" applyFill="1" applyBorder="1" applyAlignment="1">
      <alignment horizontal="center" vertical="center"/>
    </xf>
    <xf numFmtId="49" fontId="105" fillId="36" borderId="0" xfId="147" applyNumberFormat="1" applyFont="1" applyFill="1" applyAlignment="1">
      <alignment horizontal="center"/>
    </xf>
    <xf numFmtId="49" fontId="105" fillId="36" borderId="0" xfId="147" applyNumberFormat="1" applyFont="1" applyFill="1"/>
    <xf numFmtId="0" fontId="50" fillId="0" borderId="99" xfId="0" applyFont="1" applyBorder="1" applyAlignment="1">
      <alignment horizontal="center" vertical="center" wrapText="1"/>
    </xf>
    <xf numFmtId="174" fontId="93" fillId="47" borderId="0" xfId="147" applyNumberFormat="1" applyFont="1" applyFill="1" applyAlignment="1">
      <alignment horizontal="center"/>
    </xf>
    <xf numFmtId="174" fontId="95" fillId="47" borderId="0" xfId="147" applyNumberFormat="1" applyFont="1" applyFill="1" applyAlignment="1">
      <alignment horizontal="center"/>
    </xf>
    <xf numFmtId="0" fontId="96" fillId="48" borderId="0" xfId="147" applyFont="1" applyFill="1"/>
    <xf numFmtId="10" fontId="103" fillId="36" borderId="0" xfId="41" applyNumberFormat="1" applyFont="1" applyFill="1" applyAlignment="1">
      <alignment horizontal="center"/>
    </xf>
    <xf numFmtId="174" fontId="95" fillId="0" borderId="22" xfId="147" applyNumberFormat="1" applyFont="1" applyBorder="1" applyAlignment="1">
      <alignment horizontal="center"/>
    </xf>
    <xf numFmtId="174" fontId="93" fillId="0" borderId="22" xfId="147" applyNumberFormat="1" applyFont="1" applyBorder="1" applyAlignment="1">
      <alignment horizontal="center" vertical="center"/>
    </xf>
    <xf numFmtId="3" fontId="15" fillId="0" borderId="101" xfId="0" applyNumberFormat="1" applyFont="1" applyBorder="1" applyAlignment="1">
      <alignment horizontal="center" vertical="center" wrapText="1"/>
    </xf>
    <xf numFmtId="3" fontId="15" fillId="0" borderId="129" xfId="0" applyNumberFormat="1" applyFont="1" applyBorder="1" applyAlignment="1">
      <alignment horizontal="center" vertical="center" wrapText="1"/>
    </xf>
    <xf numFmtId="3" fontId="50" fillId="0" borderId="0" xfId="0" applyNumberFormat="1" applyFont="1" applyAlignment="1">
      <alignment horizontal="center" vertical="center" wrapText="1"/>
    </xf>
    <xf numFmtId="0" fontId="50" fillId="0" borderId="102" xfId="0" applyFont="1" applyBorder="1" applyAlignment="1">
      <alignment horizontal="center" vertical="center" wrapText="1"/>
    </xf>
    <xf numFmtId="6" fontId="15" fillId="0" borderId="102" xfId="0" applyNumberFormat="1" applyFont="1" applyBorder="1" applyAlignment="1">
      <alignment horizontal="center" vertical="center" wrapText="1"/>
    </xf>
    <xf numFmtId="166" fontId="50" fillId="0" borderId="0" xfId="0" applyNumberFormat="1" applyFont="1" applyAlignment="1">
      <alignment horizontal="center" vertical="center" wrapText="1"/>
    </xf>
    <xf numFmtId="0" fontId="50" fillId="0" borderId="102" xfId="0" applyFont="1" applyBorder="1" applyAlignment="1">
      <alignment vertical="center" wrapText="1"/>
    </xf>
    <xf numFmtId="0" fontId="50" fillId="39" borderId="102" xfId="0" applyFont="1" applyFill="1" applyBorder="1" applyAlignment="1">
      <alignment vertical="center" wrapText="1"/>
    </xf>
    <xf numFmtId="3" fontId="50" fillId="29" borderId="101" xfId="0" applyNumberFormat="1" applyFont="1" applyFill="1" applyBorder="1" applyAlignment="1">
      <alignment horizontal="center" vertical="center" wrapText="1"/>
    </xf>
    <xf numFmtId="174" fontId="93" fillId="0" borderId="34" xfId="147" applyNumberFormat="1" applyFont="1" applyBorder="1" applyAlignment="1">
      <alignment horizontal="center" vertical="center"/>
    </xf>
    <xf numFmtId="0" fontId="50" fillId="39" borderId="77" xfId="0" applyFont="1" applyFill="1" applyBorder="1" applyAlignment="1">
      <alignment horizontal="center" vertical="center" wrapText="1"/>
    </xf>
    <xf numFmtId="0" fontId="50" fillId="0" borderId="100" xfId="0" applyFont="1" applyBorder="1" applyAlignment="1">
      <alignment vertical="center" wrapText="1"/>
    </xf>
    <xf numFmtId="0" fontId="50" fillId="39" borderId="100" xfId="0" applyFont="1" applyFill="1" applyBorder="1" applyAlignment="1">
      <alignment vertical="center" wrapText="1"/>
    </xf>
    <xf numFmtId="3" fontId="50" fillId="29" borderId="77" xfId="0" applyNumberFormat="1" applyFont="1" applyFill="1" applyBorder="1" applyAlignment="1">
      <alignment horizontal="center" vertical="center" wrapText="1"/>
    </xf>
    <xf numFmtId="166" fontId="52" fillId="41" borderId="32" xfId="41" applyNumberFormat="1" applyFont="1" applyFill="1" applyBorder="1" applyAlignment="1">
      <alignment horizontal="center" vertical="center" wrapText="1"/>
    </xf>
    <xf numFmtId="3" fontId="15" fillId="0" borderId="32" xfId="0" applyNumberFormat="1" applyFont="1" applyBorder="1" applyAlignment="1">
      <alignment horizontal="center" vertical="center" wrapText="1"/>
    </xf>
    <xf numFmtId="3" fontId="15" fillId="0" borderId="76" xfId="0" applyNumberFormat="1" applyFont="1" applyBorder="1" applyAlignment="1">
      <alignment horizontal="center" vertical="center" wrapText="1"/>
    </xf>
    <xf numFmtId="166" fontId="52" fillId="0" borderId="47" xfId="41" applyNumberFormat="1" applyFont="1" applyBorder="1" applyAlignment="1">
      <alignment horizontal="center" vertical="center" wrapText="1"/>
    </xf>
    <xf numFmtId="2" fontId="15" fillId="0" borderId="32" xfId="0" applyNumberFormat="1" applyFont="1" applyBorder="1" applyAlignment="1">
      <alignment horizontal="center" vertical="center" wrapText="1"/>
    </xf>
    <xf numFmtId="0" fontId="50" fillId="39" borderId="5" xfId="0" applyFont="1" applyFill="1" applyBorder="1" applyAlignment="1">
      <alignment vertical="center" wrapText="1"/>
    </xf>
    <xf numFmtId="1" fontId="15" fillId="0" borderId="32" xfId="0" applyNumberFormat="1" applyFont="1" applyBorder="1" applyAlignment="1">
      <alignment horizontal="center" vertical="center" wrapText="1"/>
    </xf>
    <xf numFmtId="3" fontId="50" fillId="29" borderId="130" xfId="0" applyNumberFormat="1" applyFont="1" applyFill="1" applyBorder="1" applyAlignment="1">
      <alignment horizontal="center" vertical="center" wrapText="1"/>
    </xf>
    <xf numFmtId="0" fontId="15" fillId="0" borderId="32" xfId="0" applyFont="1" applyBorder="1" applyAlignment="1">
      <alignment horizontal="center" vertical="center" wrapText="1"/>
    </xf>
    <xf numFmtId="0" fontId="50" fillId="29" borderId="100" xfId="0" applyFont="1" applyFill="1" applyBorder="1" applyAlignment="1">
      <alignment horizontal="center" vertical="center" wrapText="1"/>
    </xf>
    <xf numFmtId="3" fontId="15" fillId="28" borderId="90" xfId="0" applyNumberFormat="1" applyFont="1" applyFill="1" applyBorder="1" applyAlignment="1">
      <alignment horizontal="center" vertical="center" wrapText="1"/>
    </xf>
    <xf numFmtId="166" fontId="101" fillId="0" borderId="34" xfId="41" applyNumberFormat="1" applyFont="1" applyFill="1" applyBorder="1" applyAlignment="1">
      <alignment horizontal="center" vertical="center" wrapText="1"/>
    </xf>
    <xf numFmtId="166" fontId="101" fillId="0" borderId="32" xfId="41" applyNumberFormat="1" applyFont="1" applyFill="1" applyBorder="1" applyAlignment="1">
      <alignment horizontal="center" vertical="center" wrapText="1"/>
    </xf>
    <xf numFmtId="2" fontId="15" fillId="28" borderId="0" xfId="0" applyNumberFormat="1" applyFont="1" applyFill="1" applyAlignment="1">
      <alignment horizontal="center" vertical="center" wrapText="1"/>
    </xf>
    <xf numFmtId="166" fontId="50" fillId="0" borderId="93" xfId="0" applyNumberFormat="1" applyFont="1" applyBorder="1" applyAlignment="1">
      <alignment horizontal="center" vertical="center" wrapText="1"/>
    </xf>
    <xf numFmtId="9" fontId="50" fillId="0" borderId="105" xfId="41" applyFont="1" applyBorder="1" applyAlignment="1">
      <alignment horizontal="center" vertical="center" wrapText="1"/>
    </xf>
    <xf numFmtId="0" fontId="50" fillId="29" borderId="99" xfId="0" applyFont="1" applyFill="1" applyBorder="1" applyAlignment="1">
      <alignment horizontal="center" vertical="center" wrapText="1"/>
    </xf>
    <xf numFmtId="0" fontId="15" fillId="29" borderId="93" xfId="0" applyFont="1" applyFill="1" applyBorder="1" applyAlignment="1">
      <alignment horizontal="center" vertical="center" wrapText="1"/>
    </xf>
    <xf numFmtId="0" fontId="66" fillId="29" borderId="93" xfId="0" applyFont="1" applyFill="1" applyBorder="1" applyAlignment="1">
      <alignment horizontal="center" vertical="center" wrapText="1"/>
    </xf>
    <xf numFmtId="170" fontId="50" fillId="29" borderId="90" xfId="0" applyNumberFormat="1" applyFont="1" applyFill="1" applyBorder="1" applyAlignment="1">
      <alignment horizontal="center" vertical="center" wrapText="1"/>
    </xf>
    <xf numFmtId="0" fontId="15" fillId="29" borderId="0" xfId="0" applyFont="1" applyFill="1" applyAlignment="1">
      <alignment horizontal="center" vertical="center" wrapText="1"/>
    </xf>
    <xf numFmtId="170" fontId="15" fillId="29" borderId="0" xfId="0" applyNumberFormat="1" applyFont="1" applyFill="1" applyAlignment="1">
      <alignment horizontal="center" vertical="center" wrapText="1"/>
    </xf>
    <xf numFmtId="0" fontId="50" fillId="29" borderId="0" xfId="0" applyFont="1" applyFill="1" applyAlignment="1">
      <alignment horizontal="center" vertical="center" wrapText="1"/>
    </xf>
    <xf numFmtId="170" fontId="50" fillId="29" borderId="34" xfId="0" applyNumberFormat="1" applyFont="1" applyFill="1" applyBorder="1" applyAlignment="1">
      <alignment horizontal="center" vertical="center" wrapText="1"/>
    </xf>
    <xf numFmtId="3" fontId="15" fillId="29" borderId="90" xfId="0" applyNumberFormat="1" applyFont="1" applyFill="1" applyBorder="1" applyAlignment="1">
      <alignment horizontal="center" vertical="center" wrapText="1"/>
    </xf>
    <xf numFmtId="0" fontId="50" fillId="29" borderId="33" xfId="0" applyFont="1" applyFill="1" applyBorder="1" applyAlignment="1">
      <alignment horizontal="center" vertical="center" wrapText="1"/>
    </xf>
    <xf numFmtId="0" fontId="15" fillId="29" borderId="5" xfId="0" applyFont="1" applyFill="1" applyBorder="1" applyAlignment="1">
      <alignment horizontal="center" vertical="center" wrapText="1"/>
    </xf>
    <xf numFmtId="170" fontId="15" fillId="29" borderId="5" xfId="0" applyNumberFormat="1" applyFont="1" applyFill="1" applyBorder="1" applyAlignment="1">
      <alignment horizontal="center" vertical="center" wrapText="1"/>
    </xf>
    <xf numFmtId="3" fontId="15" fillId="29" borderId="5" xfId="0" applyNumberFormat="1" applyFont="1" applyFill="1" applyBorder="1" applyAlignment="1">
      <alignment horizontal="center" vertical="center" wrapText="1"/>
    </xf>
    <xf numFmtId="3" fontId="15" fillId="29" borderId="37" xfId="0" applyNumberFormat="1" applyFont="1" applyFill="1" applyBorder="1" applyAlignment="1">
      <alignment horizontal="center" vertical="center" wrapText="1"/>
    </xf>
    <xf numFmtId="0" fontId="50" fillId="28" borderId="99" xfId="0" applyFont="1" applyFill="1" applyBorder="1" applyAlignment="1">
      <alignment horizontal="center" vertical="center" wrapText="1"/>
    </xf>
    <xf numFmtId="0" fontId="15" fillId="28" borderId="93" xfId="0" applyFont="1" applyFill="1" applyBorder="1" applyAlignment="1">
      <alignment horizontal="center" vertical="center" wrapText="1"/>
    </xf>
    <xf numFmtId="0" fontId="50" fillId="28" borderId="33" xfId="0" applyFont="1" applyFill="1" applyBorder="1" applyAlignment="1">
      <alignment horizontal="center" vertical="center" wrapText="1"/>
    </xf>
    <xf numFmtId="0" fontId="15" fillId="28" borderId="5" xfId="0" applyFont="1" applyFill="1" applyBorder="1" applyAlignment="1">
      <alignment horizontal="center" vertical="center" wrapText="1"/>
    </xf>
    <xf numFmtId="170" fontId="15" fillId="28" borderId="5" xfId="0" applyNumberFormat="1" applyFont="1" applyFill="1" applyBorder="1" applyAlignment="1">
      <alignment horizontal="center" vertical="center" wrapText="1"/>
    </xf>
    <xf numFmtId="3" fontId="15" fillId="28" borderId="37" xfId="0" applyNumberFormat="1" applyFont="1" applyFill="1" applyBorder="1" applyAlignment="1">
      <alignment horizontal="center" vertical="center" wrapText="1"/>
    </xf>
    <xf numFmtId="0" fontId="50" fillId="28" borderId="32" xfId="0" applyFont="1" applyFill="1" applyBorder="1" applyAlignment="1">
      <alignment horizontal="center" vertical="center" wrapText="1"/>
    </xf>
    <xf numFmtId="0" fontId="15" fillId="28" borderId="0" xfId="0" applyFont="1" applyFill="1" applyAlignment="1">
      <alignment horizontal="center" vertical="center" wrapText="1"/>
    </xf>
    <xf numFmtId="170" fontId="15" fillId="28" borderId="0" xfId="0" applyNumberFormat="1" applyFont="1" applyFill="1" applyAlignment="1">
      <alignment horizontal="center" vertical="center" wrapText="1"/>
    </xf>
    <xf numFmtId="170" fontId="50" fillId="28" borderId="34" xfId="0" applyNumberFormat="1" applyFont="1" applyFill="1" applyBorder="1" applyAlignment="1">
      <alignment horizontal="center" vertical="center" wrapText="1"/>
    </xf>
    <xf numFmtId="9" fontId="93" fillId="36" borderId="0" xfId="41" applyFont="1" applyFill="1" applyAlignment="1">
      <alignment horizontal="center"/>
    </xf>
    <xf numFmtId="166" fontId="93" fillId="36" borderId="0" xfId="41" applyNumberFormat="1" applyFont="1" applyFill="1" applyAlignment="1">
      <alignment horizontal="center"/>
    </xf>
    <xf numFmtId="9" fontId="93" fillId="47" borderId="0" xfId="41" applyFont="1" applyFill="1" applyAlignment="1">
      <alignment horizontal="center"/>
    </xf>
    <xf numFmtId="4" fontId="105" fillId="36" borderId="0" xfId="147" applyNumberFormat="1" applyFont="1" applyFill="1" applyAlignment="1">
      <alignment horizontal="center"/>
    </xf>
    <xf numFmtId="3" fontId="68" fillId="31" borderId="0" xfId="147" applyNumberFormat="1" applyFont="1" applyFill="1" applyAlignment="1">
      <alignment horizontal="center"/>
    </xf>
    <xf numFmtId="166" fontId="6" fillId="36" borderId="0" xfId="41" applyNumberFormat="1" applyFont="1" applyFill="1" applyAlignment="1">
      <alignment horizontal="center"/>
    </xf>
    <xf numFmtId="174" fontId="106" fillId="47" borderId="0" xfId="147" applyNumberFormat="1" applyFont="1" applyFill="1" applyAlignment="1">
      <alignment horizontal="center"/>
    </xf>
    <xf numFmtId="3" fontId="107" fillId="36" borderId="0" xfId="147" applyNumberFormat="1" applyFont="1" applyFill="1" applyAlignment="1">
      <alignment horizontal="center"/>
    </xf>
    <xf numFmtId="174" fontId="108" fillId="47" borderId="0" xfId="147" applyNumberFormat="1" applyFont="1" applyFill="1" applyAlignment="1">
      <alignment horizontal="center"/>
    </xf>
    <xf numFmtId="3" fontId="109" fillId="36" borderId="0" xfId="147" applyNumberFormat="1" applyFont="1" applyFill="1" applyAlignment="1">
      <alignment horizontal="center"/>
    </xf>
    <xf numFmtId="3" fontId="92" fillId="36" borderId="0" xfId="147" applyNumberFormat="1" applyFont="1" applyFill="1" applyAlignment="1">
      <alignment horizontal="center"/>
    </xf>
    <xf numFmtId="3" fontId="110" fillId="36" borderId="0" xfId="147" applyNumberFormat="1" applyFont="1" applyFill="1" applyAlignment="1">
      <alignment horizontal="center" vertical="center"/>
    </xf>
    <xf numFmtId="0" fontId="50" fillId="39" borderId="101" xfId="0" applyFont="1" applyFill="1" applyBorder="1" applyAlignment="1">
      <alignment vertical="center" wrapText="1"/>
    </xf>
    <xf numFmtId="0" fontId="50" fillId="20" borderId="77" xfId="0" applyFont="1" applyFill="1" applyBorder="1" applyAlignment="1">
      <alignment horizontal="center" vertical="center" wrapText="1"/>
    </xf>
    <xf numFmtId="0" fontId="50" fillId="0" borderId="131" xfId="0" applyFont="1" applyBorder="1" applyAlignment="1">
      <alignment horizontal="center" vertical="center" wrapText="1"/>
    </xf>
    <xf numFmtId="0" fontId="52" fillId="0" borderId="32" xfId="0" applyFont="1" applyBorder="1" applyAlignment="1">
      <alignment horizontal="right" vertical="center" wrapText="1"/>
    </xf>
    <xf numFmtId="4" fontId="15" fillId="0" borderId="131" xfId="0" applyNumberFormat="1" applyFont="1" applyBorder="1" applyAlignment="1">
      <alignment horizontal="center" vertical="center" wrapText="1"/>
    </xf>
    <xf numFmtId="166" fontId="52" fillId="0" borderId="46" xfId="41" applyNumberFormat="1" applyFont="1" applyBorder="1" applyAlignment="1">
      <alignment horizontal="center" vertical="center" wrapText="1"/>
    </xf>
    <xf numFmtId="4" fontId="15" fillId="0" borderId="47" xfId="0" applyNumberFormat="1" applyFont="1" applyBorder="1" applyAlignment="1">
      <alignment horizontal="center" vertical="center" wrapText="1"/>
    </xf>
    <xf numFmtId="167" fontId="50" fillId="49" borderId="131" xfId="0" applyNumberFormat="1" applyFont="1" applyFill="1" applyBorder="1" applyAlignment="1">
      <alignment horizontal="center" vertical="center" wrapText="1"/>
    </xf>
    <xf numFmtId="166" fontId="52" fillId="49" borderId="47" xfId="41" applyNumberFormat="1" applyFont="1" applyFill="1" applyBorder="1" applyAlignment="1">
      <alignment horizontal="center" vertical="center" wrapText="1"/>
    </xf>
    <xf numFmtId="4" fontId="50" fillId="49" borderId="133" xfId="0" applyNumberFormat="1" applyFont="1" applyFill="1" applyBorder="1" applyAlignment="1">
      <alignment horizontal="center" vertical="center" wrapText="1"/>
    </xf>
    <xf numFmtId="166" fontId="50" fillId="49" borderId="47" xfId="41" applyNumberFormat="1" applyFont="1" applyFill="1" applyBorder="1" applyAlignment="1">
      <alignment horizontal="center" vertical="center" wrapText="1"/>
    </xf>
    <xf numFmtId="167" fontId="50" fillId="49" borderId="47" xfId="0" applyNumberFormat="1" applyFont="1" applyFill="1" applyBorder="1" applyAlignment="1">
      <alignment horizontal="center" vertical="center" wrapText="1"/>
    </xf>
    <xf numFmtId="167" fontId="50" fillId="49" borderId="46" xfId="0" applyNumberFormat="1" applyFont="1" applyFill="1" applyBorder="1" applyAlignment="1">
      <alignment horizontal="center" vertical="center" wrapText="1"/>
    </xf>
    <xf numFmtId="3" fontId="15" fillId="28" borderId="131" xfId="0" applyNumberFormat="1" applyFont="1" applyFill="1" applyBorder="1" applyAlignment="1">
      <alignment horizontal="center" vertical="center" wrapText="1"/>
    </xf>
    <xf numFmtId="3" fontId="15" fillId="28" borderId="46" xfId="0" applyNumberFormat="1" applyFont="1" applyFill="1" applyBorder="1" applyAlignment="1">
      <alignment horizontal="center" vertical="center" wrapText="1"/>
    </xf>
    <xf numFmtId="3" fontId="15" fillId="49" borderId="131" xfId="0" applyNumberFormat="1" applyFont="1" applyFill="1" applyBorder="1" applyAlignment="1">
      <alignment horizontal="center" vertical="center" wrapText="1"/>
    </xf>
    <xf numFmtId="3" fontId="15" fillId="49" borderId="47" xfId="0" applyNumberFormat="1" applyFont="1" applyFill="1" applyBorder="1" applyAlignment="1">
      <alignment horizontal="center" vertical="center" wrapText="1"/>
    </xf>
    <xf numFmtId="166" fontId="50" fillId="49" borderId="134" xfId="41" applyNumberFormat="1" applyFont="1" applyFill="1" applyBorder="1" applyAlignment="1">
      <alignment horizontal="center" vertical="center" wrapText="1"/>
    </xf>
    <xf numFmtId="0" fontId="8" fillId="0" borderId="93" xfId="143" applyBorder="1"/>
    <xf numFmtId="0" fontId="50" fillId="39" borderId="102" xfId="143" applyFont="1" applyFill="1" applyBorder="1" applyAlignment="1">
      <alignment horizontal="center" vertical="center" wrapText="1"/>
    </xf>
    <xf numFmtId="168" fontId="15" fillId="0" borderId="34" xfId="143" applyNumberFormat="1" applyFont="1" applyBorder="1" applyAlignment="1">
      <alignment horizontal="center" vertical="center"/>
    </xf>
    <xf numFmtId="170" fontId="50" fillId="29" borderId="93" xfId="143" applyNumberFormat="1" applyFont="1" applyFill="1" applyBorder="1" applyAlignment="1">
      <alignment horizontal="center" vertical="center"/>
    </xf>
    <xf numFmtId="0" fontId="50" fillId="39" borderId="77" xfId="143" applyFont="1" applyFill="1" applyBorder="1" applyAlignment="1">
      <alignment horizontal="center" vertical="center" wrapText="1"/>
    </xf>
    <xf numFmtId="168" fontId="15" fillId="0" borderId="93" xfId="143" applyNumberFormat="1" applyFont="1" applyBorder="1" applyAlignment="1">
      <alignment horizontal="center" vertical="center"/>
    </xf>
    <xf numFmtId="3" fontId="15" fillId="0" borderId="34" xfId="143" applyNumberFormat="1" applyFont="1" applyBorder="1" applyAlignment="1">
      <alignment horizontal="center" vertical="center"/>
    </xf>
    <xf numFmtId="170" fontId="50" fillId="28" borderId="101" xfId="143" applyNumberFormat="1" applyFont="1" applyFill="1" applyBorder="1" applyAlignment="1">
      <alignment horizontal="center" vertical="center"/>
    </xf>
    <xf numFmtId="170" fontId="50" fillId="0" borderId="102" xfId="143" applyNumberFormat="1" applyFont="1" applyBorder="1" applyAlignment="1">
      <alignment horizontal="center" vertical="center"/>
    </xf>
    <xf numFmtId="170" fontId="50" fillId="0" borderId="90" xfId="143" applyNumberFormat="1" applyFont="1" applyBorder="1" applyAlignment="1">
      <alignment horizontal="center" vertical="center"/>
    </xf>
    <xf numFmtId="170" fontId="8" fillId="28" borderId="90" xfId="143" applyNumberFormat="1" applyFill="1" applyBorder="1" applyAlignment="1">
      <alignment horizontal="center" vertical="center"/>
    </xf>
    <xf numFmtId="170" fontId="8" fillId="28" borderId="34" xfId="143" applyNumberFormat="1" applyFill="1" applyBorder="1" applyAlignment="1">
      <alignment horizontal="center" vertical="center"/>
    </xf>
    <xf numFmtId="166" fontId="50" fillId="29" borderId="34" xfId="74" applyNumberFormat="1" applyFont="1" applyFill="1" applyBorder="1" applyAlignment="1">
      <alignment horizontal="center" vertical="center"/>
    </xf>
    <xf numFmtId="170" fontId="50" fillId="0" borderId="131" xfId="143" applyNumberFormat="1" applyFont="1" applyBorder="1" applyAlignment="1">
      <alignment horizontal="center" vertical="center"/>
    </xf>
    <xf numFmtId="170" fontId="8" fillId="28" borderId="131" xfId="143" applyNumberFormat="1" applyFill="1" applyBorder="1" applyAlignment="1">
      <alignment horizontal="center" vertical="center"/>
    </xf>
    <xf numFmtId="170" fontId="8" fillId="28" borderId="47" xfId="143" applyNumberFormat="1" applyFill="1" applyBorder="1" applyAlignment="1">
      <alignment horizontal="center" vertical="center"/>
    </xf>
    <xf numFmtId="166" fontId="50" fillId="29" borderId="47" xfId="74" applyNumberFormat="1" applyFont="1" applyFill="1" applyBorder="1" applyAlignment="1">
      <alignment horizontal="center" vertical="center"/>
    </xf>
    <xf numFmtId="166" fontId="50" fillId="29" borderId="46" xfId="74" applyNumberFormat="1" applyFont="1" applyFill="1" applyBorder="1" applyAlignment="1">
      <alignment horizontal="center" vertical="center"/>
    </xf>
    <xf numFmtId="168" fontId="15" fillId="50" borderId="131" xfId="143" applyNumberFormat="1" applyFont="1" applyFill="1" applyBorder="1" applyAlignment="1">
      <alignment horizontal="center" vertical="center"/>
    </xf>
    <xf numFmtId="168" fontId="15" fillId="50" borderId="47" xfId="143" applyNumberFormat="1" applyFont="1" applyFill="1" applyBorder="1" applyAlignment="1">
      <alignment horizontal="center" vertical="center"/>
    </xf>
    <xf numFmtId="168" fontId="50" fillId="50" borderId="47" xfId="143" applyNumberFormat="1" applyFont="1" applyFill="1" applyBorder="1" applyAlignment="1">
      <alignment horizontal="center" vertical="center"/>
    </xf>
    <xf numFmtId="168" fontId="15" fillId="31" borderId="131" xfId="143" applyNumberFormat="1" applyFont="1" applyFill="1" applyBorder="1" applyAlignment="1">
      <alignment horizontal="center" vertical="center"/>
    </xf>
    <xf numFmtId="3" fontId="15" fillId="31" borderId="47" xfId="143" applyNumberFormat="1" applyFont="1" applyFill="1" applyBorder="1" applyAlignment="1">
      <alignment horizontal="center" vertical="center"/>
    </xf>
    <xf numFmtId="168" fontId="15" fillId="31" borderId="47" xfId="143" applyNumberFormat="1" applyFont="1" applyFill="1" applyBorder="1" applyAlignment="1">
      <alignment horizontal="center" vertical="center"/>
    </xf>
    <xf numFmtId="170" fontId="50" fillId="31" borderId="77" xfId="143" applyNumberFormat="1" applyFont="1" applyFill="1" applyBorder="1" applyAlignment="1">
      <alignment horizontal="center" vertical="center"/>
    </xf>
    <xf numFmtId="170" fontId="50" fillId="31" borderId="131" xfId="143" applyNumberFormat="1" applyFont="1" applyFill="1" applyBorder="1" applyAlignment="1">
      <alignment horizontal="center" vertical="center"/>
    </xf>
    <xf numFmtId="9" fontId="50" fillId="29" borderId="22" xfId="74" applyFont="1" applyFill="1" applyBorder="1" applyAlignment="1">
      <alignment horizontal="center" vertical="center"/>
    </xf>
    <xf numFmtId="166" fontId="0" fillId="0" borderId="37" xfId="41" applyNumberFormat="1" applyFont="1" applyBorder="1" applyAlignment="1">
      <alignment horizontal="center" vertical="center"/>
    </xf>
    <xf numFmtId="0" fontId="52" fillId="29" borderId="130" xfId="0" applyFont="1" applyFill="1" applyBorder="1" applyAlignment="1">
      <alignment horizontal="center" vertical="center"/>
    </xf>
    <xf numFmtId="0" fontId="52" fillId="29" borderId="129" xfId="0" applyFont="1" applyFill="1" applyBorder="1" applyAlignment="1">
      <alignment horizontal="center" vertical="center"/>
    </xf>
    <xf numFmtId="4" fontId="6" fillId="36" borderId="0" xfId="147" applyNumberFormat="1" applyFill="1" applyAlignment="1">
      <alignment horizontal="center"/>
    </xf>
    <xf numFmtId="167" fontId="6" fillId="36" borderId="0" xfId="147" applyNumberFormat="1" applyFill="1" applyAlignment="1">
      <alignment horizontal="center"/>
    </xf>
    <xf numFmtId="166" fontId="6" fillId="36" borderId="0" xfId="41" applyNumberFormat="1" applyFont="1" applyFill="1"/>
    <xf numFmtId="3" fontId="50" fillId="29" borderId="102" xfId="0" applyNumberFormat="1" applyFont="1" applyFill="1" applyBorder="1" applyAlignment="1">
      <alignment horizontal="center" vertical="center" wrapText="1"/>
    </xf>
    <xf numFmtId="170" fontId="50" fillId="0" borderId="102" xfId="0" applyNumberFormat="1" applyFont="1" applyBorder="1" applyAlignment="1">
      <alignment horizontal="center" vertical="center" wrapText="1"/>
    </xf>
    <xf numFmtId="166" fontId="15" fillId="0" borderId="93" xfId="41" applyNumberFormat="1" applyFont="1" applyBorder="1" applyAlignment="1">
      <alignment horizontal="center" vertical="center" wrapText="1"/>
    </xf>
    <xf numFmtId="0" fontId="50" fillId="26" borderId="84" xfId="0" applyFont="1" applyFill="1" applyBorder="1" applyAlignment="1">
      <alignment horizontal="center" vertical="center" wrapText="1"/>
    </xf>
    <xf numFmtId="3" fontId="15" fillId="29" borderId="93" xfId="0" applyNumberFormat="1" applyFont="1" applyFill="1" applyBorder="1" applyAlignment="1">
      <alignment horizontal="center" vertical="center" wrapText="1"/>
    </xf>
    <xf numFmtId="170" fontId="50" fillId="28" borderId="93" xfId="0" applyNumberFormat="1" applyFont="1" applyFill="1" applyBorder="1" applyAlignment="1">
      <alignment horizontal="center" vertical="center" wrapText="1"/>
    </xf>
    <xf numFmtId="170" fontId="50" fillId="28" borderId="5" xfId="0" applyNumberFormat="1" applyFont="1" applyFill="1" applyBorder="1" applyAlignment="1">
      <alignment horizontal="center" vertical="center" wrapText="1"/>
    </xf>
    <xf numFmtId="0" fontId="50" fillId="39" borderId="129" xfId="0" applyFont="1" applyFill="1" applyBorder="1" applyAlignment="1">
      <alignment horizontal="center" vertical="center" wrapText="1"/>
    </xf>
    <xf numFmtId="0" fontId="50" fillId="0" borderId="101" xfId="0" applyFont="1" applyBorder="1" applyAlignment="1">
      <alignment vertical="center" wrapText="1"/>
    </xf>
    <xf numFmtId="0" fontId="50" fillId="0" borderId="129" xfId="0" applyFont="1" applyBorder="1" applyAlignment="1">
      <alignment vertical="center" wrapText="1"/>
    </xf>
    <xf numFmtId="0" fontId="50" fillId="39" borderId="129" xfId="0" applyFont="1" applyFill="1" applyBorder="1" applyAlignment="1">
      <alignment vertical="center" wrapText="1"/>
    </xf>
    <xf numFmtId="3" fontId="50" fillId="29" borderId="129" xfId="0" applyNumberFormat="1" applyFont="1" applyFill="1" applyBorder="1" applyAlignment="1">
      <alignment horizontal="center" vertical="center" wrapText="1"/>
    </xf>
    <xf numFmtId="166" fontId="52" fillId="41" borderId="34" xfId="41" applyNumberFormat="1" applyFont="1" applyFill="1" applyBorder="1" applyAlignment="1">
      <alignment horizontal="center" vertical="center" wrapText="1"/>
    </xf>
    <xf numFmtId="166" fontId="52" fillId="41" borderId="22" xfId="41" applyNumberFormat="1" applyFont="1" applyFill="1" applyBorder="1" applyAlignment="1">
      <alignment horizontal="center" vertical="center" wrapText="1"/>
    </xf>
    <xf numFmtId="166" fontId="101" fillId="0" borderId="22" xfId="41" applyNumberFormat="1" applyFont="1" applyFill="1" applyBorder="1" applyAlignment="1">
      <alignment horizontal="center" vertical="center" wrapText="1"/>
    </xf>
    <xf numFmtId="3" fontId="15" fillId="0" borderId="131" xfId="0" applyNumberFormat="1" applyFont="1" applyBorder="1" applyAlignment="1">
      <alignment horizontal="center" vertical="center" wrapText="1"/>
    </xf>
    <xf numFmtId="0" fontId="15" fillId="0" borderId="92" xfId="0" applyFont="1" applyBorder="1" applyAlignment="1">
      <alignment horizontal="center" vertical="center" wrapText="1"/>
    </xf>
    <xf numFmtId="2" fontId="15" fillId="0" borderId="92" xfId="0" applyNumberFormat="1" applyFont="1" applyBorder="1" applyAlignment="1">
      <alignment horizontal="center" vertical="center" wrapText="1"/>
    </xf>
    <xf numFmtId="167" fontId="50" fillId="0" borderId="45" xfId="0" applyNumberFormat="1" applyFont="1" applyBorder="1" applyAlignment="1">
      <alignment horizontal="center" vertical="center" wrapText="1"/>
    </xf>
    <xf numFmtId="0" fontId="50" fillId="20" borderId="100" xfId="0" applyFont="1" applyFill="1" applyBorder="1" applyAlignment="1">
      <alignment horizontal="center" vertical="center" wrapText="1"/>
    </xf>
    <xf numFmtId="0" fontId="50" fillId="20" borderId="129" xfId="0" applyFont="1" applyFill="1" applyBorder="1" applyAlignment="1">
      <alignment horizontal="center" vertical="center" wrapText="1"/>
    </xf>
    <xf numFmtId="0" fontId="52" fillId="0" borderId="22" xfId="0" applyFont="1" applyBorder="1" applyAlignment="1">
      <alignment horizontal="right" vertical="center" wrapText="1"/>
    </xf>
    <xf numFmtId="166" fontId="50" fillId="0" borderId="22" xfId="41" applyNumberFormat="1" applyFont="1" applyFill="1" applyBorder="1" applyAlignment="1">
      <alignment horizontal="center" vertical="center" wrapText="1"/>
    </xf>
    <xf numFmtId="3" fontId="50" fillId="0" borderId="129" xfId="0" applyNumberFormat="1" applyFont="1" applyBorder="1" applyAlignment="1">
      <alignment horizontal="center" vertical="center" wrapText="1"/>
    </xf>
    <xf numFmtId="3" fontId="50" fillId="0" borderId="77" xfId="0" applyNumberFormat="1" applyFont="1" applyBorder="1" applyAlignment="1">
      <alignment horizontal="center" vertical="center" wrapText="1"/>
    </xf>
    <xf numFmtId="166" fontId="52" fillId="0" borderId="47" xfId="41" applyNumberFormat="1" applyFont="1" applyFill="1" applyBorder="1" applyAlignment="1">
      <alignment horizontal="center" vertical="center" wrapText="1"/>
    </xf>
    <xf numFmtId="174" fontId="93" fillId="0" borderId="22" xfId="147" applyNumberFormat="1" applyFont="1" applyBorder="1" applyAlignment="1">
      <alignment horizontal="center"/>
    </xf>
    <xf numFmtId="174" fontId="93" fillId="0" borderId="47" xfId="147" applyNumberFormat="1" applyFont="1" applyBorder="1" applyAlignment="1">
      <alignment horizontal="center"/>
    </xf>
    <xf numFmtId="174" fontId="93" fillId="0" borderId="34" xfId="147" applyNumberFormat="1" applyFont="1" applyBorder="1" applyAlignment="1">
      <alignment horizontal="center"/>
    </xf>
    <xf numFmtId="3" fontId="50" fillId="0" borderId="132" xfId="0" applyNumberFormat="1" applyFont="1" applyBorder="1" applyAlignment="1">
      <alignment horizontal="center" vertical="center" wrapText="1"/>
    </xf>
    <xf numFmtId="3" fontId="15" fillId="51" borderId="90" xfId="0" applyNumberFormat="1" applyFont="1" applyFill="1" applyBorder="1" applyAlignment="1">
      <alignment horizontal="center" vertical="center" wrapText="1"/>
    </xf>
    <xf numFmtId="3" fontId="15" fillId="51" borderId="34" xfId="0" applyNumberFormat="1" applyFont="1" applyFill="1" applyBorder="1" applyAlignment="1">
      <alignment horizontal="center" vertical="center" wrapText="1"/>
    </xf>
    <xf numFmtId="3" fontId="15" fillId="51" borderId="0" xfId="0" applyNumberFormat="1" applyFont="1" applyFill="1" applyAlignment="1">
      <alignment horizontal="center" vertical="center" wrapText="1"/>
    </xf>
    <xf numFmtId="3" fontId="15" fillId="51" borderId="22" xfId="0" applyNumberFormat="1" applyFont="1" applyFill="1" applyBorder="1" applyAlignment="1">
      <alignment horizontal="center" vertical="center" wrapText="1"/>
    </xf>
    <xf numFmtId="166" fontId="102" fillId="51" borderId="34" xfId="41" applyNumberFormat="1" applyFont="1" applyFill="1" applyBorder="1" applyAlignment="1">
      <alignment horizontal="center" vertical="center" wrapText="1"/>
    </xf>
    <xf numFmtId="3" fontId="15" fillId="51" borderId="53" xfId="0" applyNumberFormat="1" applyFont="1" applyFill="1" applyBorder="1" applyAlignment="1">
      <alignment horizontal="center" vertical="center" wrapText="1"/>
    </xf>
    <xf numFmtId="3" fontId="50" fillId="51" borderId="101" xfId="0" applyNumberFormat="1" applyFont="1" applyFill="1" applyBorder="1" applyAlignment="1">
      <alignment horizontal="center" vertical="center" wrapText="1"/>
    </xf>
    <xf numFmtId="174" fontId="95" fillId="51" borderId="34" xfId="147" applyNumberFormat="1" applyFont="1" applyFill="1" applyBorder="1" applyAlignment="1">
      <alignment horizontal="center"/>
    </xf>
    <xf numFmtId="166" fontId="52" fillId="51" borderId="22" xfId="41" applyNumberFormat="1" applyFont="1" applyFill="1" applyBorder="1" applyAlignment="1">
      <alignment horizontal="center" vertical="center" wrapText="1"/>
    </xf>
    <xf numFmtId="166" fontId="52" fillId="51" borderId="34" xfId="41" applyNumberFormat="1" applyFont="1" applyFill="1" applyBorder="1" applyAlignment="1">
      <alignment horizontal="center" vertical="center" wrapText="1"/>
    </xf>
    <xf numFmtId="3" fontId="50" fillId="51" borderId="97" xfId="0" applyNumberFormat="1" applyFont="1" applyFill="1" applyBorder="1" applyAlignment="1">
      <alignment horizontal="center" vertical="center" wrapText="1"/>
    </xf>
    <xf numFmtId="0" fontId="50" fillId="51" borderId="101" xfId="0" applyFont="1" applyFill="1" applyBorder="1" applyAlignment="1">
      <alignment horizontal="center" vertical="center" wrapText="1"/>
    </xf>
    <xf numFmtId="3" fontId="15" fillId="51" borderId="52" xfId="0" applyNumberFormat="1" applyFont="1" applyFill="1" applyBorder="1" applyAlignment="1">
      <alignment horizontal="center" vertical="center" wrapText="1"/>
    </xf>
    <xf numFmtId="174" fontId="93" fillId="51" borderId="34" xfId="147" applyNumberFormat="1" applyFont="1" applyFill="1" applyBorder="1" applyAlignment="1">
      <alignment horizontal="center"/>
    </xf>
    <xf numFmtId="0" fontId="50" fillId="0" borderId="77" xfId="0" applyFont="1" applyBorder="1" applyAlignment="1">
      <alignment vertical="center" wrapText="1"/>
    </xf>
    <xf numFmtId="0" fontId="50" fillId="39" borderId="77" xfId="0" applyFont="1" applyFill="1" applyBorder="1" applyAlignment="1">
      <alignment vertical="center" wrapText="1"/>
    </xf>
    <xf numFmtId="166" fontId="52" fillId="41" borderId="47" xfId="41" applyNumberFormat="1" applyFont="1" applyFill="1" applyBorder="1" applyAlignment="1">
      <alignment horizontal="center" vertical="center" wrapText="1"/>
    </xf>
    <xf numFmtId="166" fontId="101" fillId="0" borderId="47" xfId="41" applyNumberFormat="1" applyFont="1" applyFill="1" applyBorder="1" applyAlignment="1">
      <alignment horizontal="center" vertical="center" wrapText="1"/>
    </xf>
    <xf numFmtId="174" fontId="93" fillId="0" borderId="47" xfId="147" applyNumberFormat="1" applyFont="1" applyBorder="1" applyAlignment="1">
      <alignment horizontal="center" vertical="center"/>
    </xf>
    <xf numFmtId="3" fontId="15" fillId="51" borderId="135" xfId="0" applyNumberFormat="1" applyFont="1" applyFill="1" applyBorder="1" applyAlignment="1">
      <alignment horizontal="center" vertical="center" wrapText="1"/>
    </xf>
    <xf numFmtId="3" fontId="15" fillId="51" borderId="35" xfId="0" applyNumberFormat="1" applyFont="1" applyFill="1" applyBorder="1" applyAlignment="1">
      <alignment horizontal="center" vertical="center" wrapText="1"/>
    </xf>
    <xf numFmtId="3" fontId="15" fillId="51" borderId="36" xfId="0" applyNumberFormat="1" applyFont="1" applyFill="1" applyBorder="1" applyAlignment="1">
      <alignment horizontal="center" vertical="center" wrapText="1"/>
    </xf>
    <xf numFmtId="166" fontId="50" fillId="0" borderId="104" xfId="0" applyNumberFormat="1" applyFont="1" applyBorder="1" applyAlignment="1">
      <alignment horizontal="center" vertical="center" wrapText="1"/>
    </xf>
    <xf numFmtId="166" fontId="50" fillId="29" borderId="104" xfId="0" applyNumberFormat="1" applyFont="1" applyFill="1" applyBorder="1" applyAlignment="1">
      <alignment horizontal="center" vertical="center" wrapText="1"/>
    </xf>
    <xf numFmtId="166" fontId="50" fillId="0" borderId="80" xfId="0" applyNumberFormat="1" applyFont="1" applyBorder="1" applyAlignment="1">
      <alignment horizontal="center" vertical="center" wrapText="1"/>
    </xf>
    <xf numFmtId="166" fontId="98" fillId="36" borderId="0" xfId="41" applyNumberFormat="1" applyFont="1" applyFill="1"/>
    <xf numFmtId="0" fontId="52" fillId="0" borderId="101" xfId="0" applyFont="1" applyBorder="1" applyAlignment="1">
      <alignment horizontal="center" vertical="center"/>
    </xf>
    <xf numFmtId="0" fontId="52" fillId="0" borderId="129" xfId="0" applyFont="1" applyBorder="1" applyAlignment="1">
      <alignment horizontal="center" vertical="center"/>
    </xf>
    <xf numFmtId="0" fontId="52" fillId="0" borderId="130" xfId="0" applyFont="1" applyBorder="1" applyAlignment="1">
      <alignment horizontal="center" vertical="center"/>
    </xf>
    <xf numFmtId="9" fontId="14" fillId="0" borderId="22" xfId="0" applyNumberFormat="1" applyFont="1" applyBorder="1" applyAlignment="1">
      <alignment horizontal="center" vertical="center"/>
    </xf>
    <xf numFmtId="9" fontId="14" fillId="0" borderId="44" xfId="0" applyNumberFormat="1" applyFont="1" applyBorder="1" applyAlignment="1">
      <alignment horizontal="center" vertical="center"/>
    </xf>
    <xf numFmtId="3" fontId="50" fillId="29" borderId="128" xfId="0" applyNumberFormat="1" applyFont="1" applyFill="1" applyBorder="1" applyAlignment="1">
      <alignment horizontal="center" vertical="center" wrapText="1"/>
    </xf>
    <xf numFmtId="3" fontId="50" fillId="49" borderId="47" xfId="0" applyNumberFormat="1" applyFont="1" applyFill="1" applyBorder="1" applyAlignment="1">
      <alignment horizontal="center" vertical="center" wrapText="1"/>
    </xf>
    <xf numFmtId="166" fontId="15" fillId="0" borderId="0" xfId="41" applyNumberFormat="1" applyFont="1" applyBorder="1" applyAlignment="1">
      <alignment horizontal="center" vertical="center" wrapText="1"/>
    </xf>
    <xf numFmtId="172" fontId="15" fillId="28" borderId="0" xfId="0" applyNumberFormat="1" applyFont="1" applyFill="1" applyAlignment="1">
      <alignment horizontal="center" vertical="center" wrapText="1"/>
    </xf>
    <xf numFmtId="0" fontId="15" fillId="31" borderId="0" xfId="0" applyFont="1" applyFill="1" applyAlignment="1">
      <alignment horizontal="center" vertical="center" wrapText="1"/>
    </xf>
    <xf numFmtId="3" fontId="15" fillId="31" borderId="34" xfId="0" applyNumberFormat="1" applyFont="1" applyFill="1" applyBorder="1" applyAlignment="1">
      <alignment horizontal="center" vertical="center" wrapText="1"/>
    </xf>
    <xf numFmtId="0" fontId="50" fillId="31" borderId="45" xfId="0" applyFont="1" applyFill="1" applyBorder="1" applyAlignment="1">
      <alignment horizontal="center" vertical="center" wrapText="1"/>
    </xf>
    <xf numFmtId="170" fontId="50" fillId="31" borderId="115" xfId="0" applyNumberFormat="1" applyFont="1" applyFill="1" applyBorder="1" applyAlignment="1">
      <alignment horizontal="center" vertical="center" wrapText="1"/>
    </xf>
    <xf numFmtId="170" fontId="50" fillId="31" borderId="120" xfId="0" applyNumberFormat="1" applyFont="1" applyFill="1" applyBorder="1" applyAlignment="1">
      <alignment horizontal="center" vertical="center" wrapText="1"/>
    </xf>
    <xf numFmtId="170" fontId="50" fillId="31" borderId="123" xfId="0" applyNumberFormat="1" applyFont="1" applyFill="1" applyBorder="1" applyAlignment="1">
      <alignment horizontal="center" vertical="center" wrapText="1"/>
    </xf>
    <xf numFmtId="170" fontId="50" fillId="31" borderId="119" xfId="0" applyNumberFormat="1" applyFont="1" applyFill="1" applyBorder="1" applyAlignment="1">
      <alignment horizontal="center" vertical="center" wrapText="1"/>
    </xf>
    <xf numFmtId="170" fontId="50" fillId="31" borderId="102" xfId="0" applyNumberFormat="1" applyFont="1" applyFill="1" applyBorder="1" applyAlignment="1">
      <alignment horizontal="center" vertical="center" wrapText="1"/>
    </xf>
    <xf numFmtId="0" fontId="50" fillId="39" borderId="101" xfId="0" applyFont="1" applyFill="1" applyBorder="1" applyAlignment="1">
      <alignment horizontal="center" vertical="center" wrapText="1"/>
    </xf>
    <xf numFmtId="0" fontId="50" fillId="0" borderId="137" xfId="0" applyFont="1" applyBorder="1" applyAlignment="1">
      <alignment horizontal="center" vertical="center" wrapText="1"/>
    </xf>
    <xf numFmtId="3" fontId="15" fillId="0" borderId="138" xfId="0" applyNumberFormat="1" applyFont="1" applyBorder="1" applyAlignment="1">
      <alignment horizontal="center" vertical="center" wrapText="1"/>
    </xf>
    <xf numFmtId="3" fontId="15" fillId="0" borderId="139" xfId="0" applyNumberFormat="1" applyFont="1" applyBorder="1" applyAlignment="1">
      <alignment horizontal="center" vertical="center" wrapText="1"/>
    </xf>
    <xf numFmtId="3" fontId="15" fillId="49" borderId="140" xfId="0" applyNumberFormat="1" applyFont="1" applyFill="1" applyBorder="1" applyAlignment="1">
      <alignment horizontal="center" vertical="center" wrapText="1"/>
    </xf>
    <xf numFmtId="3" fontId="50" fillId="0" borderId="136" xfId="0" applyNumberFormat="1" applyFont="1" applyBorder="1" applyAlignment="1">
      <alignment horizontal="center" vertical="center" wrapText="1"/>
    </xf>
    <xf numFmtId="0" fontId="50" fillId="0" borderId="98" xfId="0" applyFont="1" applyBorder="1" applyAlignment="1">
      <alignment horizontal="center"/>
    </xf>
    <xf numFmtId="4" fontId="50" fillId="0" borderId="0" xfId="0" applyNumberFormat="1" applyFont="1" applyAlignment="1">
      <alignment horizontal="center" vertical="center" wrapText="1"/>
    </xf>
    <xf numFmtId="0" fontId="50" fillId="39" borderId="130" xfId="0" applyFont="1" applyFill="1" applyBorder="1" applyAlignment="1">
      <alignment vertical="center" wrapText="1"/>
    </xf>
    <xf numFmtId="174" fontId="93" fillId="36" borderId="0" xfId="147" applyNumberFormat="1" applyFont="1" applyFill="1" applyAlignment="1">
      <alignment horizontal="center" vertical="center"/>
    </xf>
    <xf numFmtId="166" fontId="15" fillId="0" borderId="93" xfId="41" applyNumberFormat="1" applyFont="1" applyFill="1" applyBorder="1" applyAlignment="1">
      <alignment horizontal="center" vertical="center" wrapText="1"/>
    </xf>
    <xf numFmtId="166" fontId="15" fillId="0" borderId="0" xfId="41" applyNumberFormat="1" applyFont="1" applyFill="1" applyAlignment="1">
      <alignment horizontal="center" vertical="center" wrapText="1"/>
    </xf>
    <xf numFmtId="0" fontId="50" fillId="0" borderId="84" xfId="0" applyFont="1" applyBorder="1" applyAlignment="1">
      <alignment horizontal="center" vertical="center" wrapText="1"/>
    </xf>
    <xf numFmtId="166" fontId="50" fillId="0" borderId="34" xfId="0" applyNumberFormat="1" applyFont="1" applyBorder="1" applyAlignment="1">
      <alignment horizontal="center" vertical="center" wrapText="1"/>
    </xf>
    <xf numFmtId="0" fontId="50" fillId="39" borderId="141" xfId="0" applyFont="1" applyFill="1" applyBorder="1" applyAlignment="1">
      <alignment horizontal="right" vertical="center" wrapText="1"/>
    </xf>
    <xf numFmtId="2" fontId="50" fillId="29" borderId="34" xfId="0" applyNumberFormat="1" applyFont="1" applyFill="1" applyBorder="1" applyAlignment="1">
      <alignment horizontal="center" vertical="center" wrapText="1"/>
    </xf>
    <xf numFmtId="3" fontId="0" fillId="0" borderId="135" xfId="0" applyNumberFormat="1" applyBorder="1" applyAlignment="1">
      <alignment horizontal="center" vertical="center"/>
    </xf>
    <xf numFmtId="3" fontId="0" fillId="0" borderId="91" xfId="0" applyNumberFormat="1" applyBorder="1" applyAlignment="1">
      <alignment horizontal="center" vertical="center"/>
    </xf>
    <xf numFmtId="168" fontId="50" fillId="0" borderId="0" xfId="0" applyNumberFormat="1" applyFont="1" applyAlignment="1">
      <alignment horizontal="center" vertical="center" wrapText="1"/>
    </xf>
    <xf numFmtId="10" fontId="50" fillId="0" borderId="104" xfId="0" applyNumberFormat="1" applyFont="1" applyBorder="1" applyAlignment="1">
      <alignment horizontal="center" vertical="center" wrapText="1"/>
    </xf>
    <xf numFmtId="168" fontId="50" fillId="29" borderId="129" xfId="0" applyNumberFormat="1" applyFont="1" applyFill="1" applyBorder="1" applyAlignment="1">
      <alignment horizontal="center" vertical="center" wrapText="1"/>
    </xf>
    <xf numFmtId="168" fontId="75" fillId="46" borderId="129" xfId="0" applyNumberFormat="1" applyFont="1" applyFill="1" applyBorder="1" applyAlignment="1">
      <alignment horizontal="center" vertical="center" wrapText="1"/>
    </xf>
    <xf numFmtId="168" fontId="50" fillId="29" borderId="130" xfId="0" applyNumberFormat="1" applyFont="1" applyFill="1" applyBorder="1" applyAlignment="1">
      <alignment horizontal="center" vertical="center" wrapText="1"/>
    </xf>
    <xf numFmtId="170" fontId="15" fillId="0" borderId="104" xfId="0" applyNumberFormat="1" applyFont="1" applyBorder="1" applyAlignment="1">
      <alignment horizontal="center" vertical="center" wrapText="1"/>
    </xf>
    <xf numFmtId="168" fontId="15" fillId="0" borderId="109" xfId="0" applyNumberFormat="1" applyFont="1" applyBorder="1" applyAlignment="1">
      <alignment horizontal="center" vertical="center" wrapText="1"/>
    </xf>
    <xf numFmtId="168" fontId="50" fillId="29" borderId="109" xfId="0" applyNumberFormat="1" applyFont="1" applyFill="1" applyBorder="1" applyAlignment="1">
      <alignment horizontal="center" vertical="center" wrapText="1"/>
    </xf>
    <xf numFmtId="168" fontId="15" fillId="0" borderId="110" xfId="0" applyNumberFormat="1" applyFont="1" applyBorder="1" applyAlignment="1">
      <alignment horizontal="center" vertical="center" wrapText="1"/>
    </xf>
    <xf numFmtId="166" fontId="50" fillId="0" borderId="101" xfId="0" applyNumberFormat="1" applyFont="1" applyBorder="1" applyAlignment="1">
      <alignment horizontal="center" vertical="center" wrapText="1"/>
    </xf>
    <xf numFmtId="10" fontId="50" fillId="0" borderId="90" xfId="0" applyNumberFormat="1" applyFont="1" applyBorder="1" applyAlignment="1">
      <alignment horizontal="center" vertical="center" wrapText="1"/>
    </xf>
    <xf numFmtId="10" fontId="50" fillId="0" borderId="37" xfId="0" applyNumberFormat="1" applyFont="1" applyBorder="1" applyAlignment="1">
      <alignment horizontal="center" vertical="center" wrapText="1"/>
    </xf>
    <xf numFmtId="10" fontId="50" fillId="0" borderId="34" xfId="0" applyNumberFormat="1" applyFont="1" applyBorder="1" applyAlignment="1">
      <alignment horizontal="center" vertical="center" wrapText="1"/>
    </xf>
    <xf numFmtId="166" fontId="50" fillId="0" borderId="108" xfId="0" applyNumberFormat="1" applyFont="1" applyBorder="1" applyAlignment="1">
      <alignment horizontal="center" vertical="center" wrapText="1"/>
    </xf>
    <xf numFmtId="0" fontId="50" fillId="39" borderId="122" xfId="0" applyFont="1" applyFill="1" applyBorder="1" applyAlignment="1">
      <alignment horizontal="center" vertical="center"/>
    </xf>
    <xf numFmtId="0" fontId="50" fillId="39" borderId="12" xfId="0" applyFont="1" applyFill="1" applyBorder="1" applyAlignment="1">
      <alignment horizontal="center" vertical="center" wrapText="1"/>
    </xf>
    <xf numFmtId="0" fontId="50" fillId="39" borderId="0" xfId="0" applyFont="1" applyFill="1" applyAlignment="1">
      <alignment horizontal="center" vertical="center" wrapText="1"/>
    </xf>
    <xf numFmtId="0" fontId="50" fillId="39" borderId="56" xfId="0" applyFont="1" applyFill="1" applyBorder="1" applyAlignment="1">
      <alignment horizontal="center" vertical="center"/>
    </xf>
    <xf numFmtId="0" fontId="50" fillId="39" borderId="98" xfId="0" applyFont="1" applyFill="1" applyBorder="1" applyAlignment="1">
      <alignment horizontal="center" vertical="center"/>
    </xf>
    <xf numFmtId="170" fontId="50" fillId="29" borderId="93" xfId="0" applyNumberFormat="1" applyFont="1" applyFill="1" applyBorder="1" applyAlignment="1">
      <alignment horizontal="center" vertical="center" wrapText="1"/>
    </xf>
    <xf numFmtId="170" fontId="50" fillId="29" borderId="5" xfId="0" applyNumberFormat="1" applyFont="1" applyFill="1" applyBorder="1" applyAlignment="1">
      <alignment horizontal="center" vertical="center" wrapText="1"/>
    </xf>
    <xf numFmtId="0" fontId="50" fillId="31" borderId="72" xfId="143" applyFont="1" applyFill="1" applyBorder="1" applyAlignment="1">
      <alignment horizontal="center" vertical="center" wrapText="1"/>
    </xf>
    <xf numFmtId="0" fontId="50" fillId="31" borderId="80" xfId="143" applyFont="1" applyFill="1" applyBorder="1" applyAlignment="1">
      <alignment horizontal="center" vertical="center" wrapText="1"/>
    </xf>
    <xf numFmtId="0" fontId="50" fillId="52" borderId="130" xfId="0" applyFont="1" applyFill="1" applyBorder="1" applyAlignment="1">
      <alignment horizontal="center" vertical="center" wrapText="1"/>
    </xf>
    <xf numFmtId="3" fontId="15" fillId="52" borderId="92" xfId="0" applyNumberFormat="1" applyFont="1" applyFill="1" applyBorder="1" applyAlignment="1">
      <alignment horizontal="center" vertical="center" wrapText="1"/>
    </xf>
    <xf numFmtId="3" fontId="15" fillId="52" borderId="44" xfId="0" applyNumberFormat="1" applyFont="1" applyFill="1" applyBorder="1" applyAlignment="1">
      <alignment horizontal="center" vertical="center" wrapText="1"/>
    </xf>
    <xf numFmtId="166" fontId="102" fillId="52" borderId="44" xfId="41" applyNumberFormat="1" applyFont="1" applyFill="1" applyBorder="1" applyAlignment="1">
      <alignment horizontal="center" vertical="center" wrapText="1"/>
    </xf>
    <xf numFmtId="3" fontId="15" fillId="52" borderId="34" xfId="0" applyNumberFormat="1" applyFont="1" applyFill="1" applyBorder="1" applyAlignment="1">
      <alignment horizontal="center" vertical="center" wrapText="1"/>
    </xf>
    <xf numFmtId="3" fontId="15" fillId="52" borderId="45" xfId="0" applyNumberFormat="1" applyFont="1" applyFill="1" applyBorder="1" applyAlignment="1">
      <alignment horizontal="center" vertical="center" wrapText="1"/>
    </xf>
    <xf numFmtId="174" fontId="93" fillId="52" borderId="44" xfId="147" applyNumberFormat="1" applyFont="1" applyFill="1" applyBorder="1" applyAlignment="1">
      <alignment horizontal="center" vertical="center"/>
    </xf>
    <xf numFmtId="174" fontId="95" fillId="52" borderId="44" xfId="147" applyNumberFormat="1" applyFont="1" applyFill="1" applyBorder="1" applyAlignment="1">
      <alignment horizontal="center"/>
    </xf>
    <xf numFmtId="166" fontId="52" fillId="52" borderId="44" xfId="41" applyNumberFormat="1" applyFont="1" applyFill="1" applyBorder="1" applyAlignment="1">
      <alignment horizontal="center" vertical="center" wrapText="1"/>
    </xf>
    <xf numFmtId="3" fontId="50" fillId="52" borderId="130" xfId="0" applyNumberFormat="1" applyFont="1" applyFill="1" applyBorder="1" applyAlignment="1">
      <alignment horizontal="center" vertical="center" wrapText="1"/>
    </xf>
    <xf numFmtId="166" fontId="52" fillId="52" borderId="53" xfId="41" applyNumberFormat="1" applyFont="1" applyFill="1" applyBorder="1" applyAlignment="1">
      <alignment horizontal="center" vertical="center" wrapText="1"/>
    </xf>
    <xf numFmtId="3" fontId="50" fillId="52" borderId="86" xfId="0" applyNumberFormat="1" applyFont="1" applyFill="1" applyBorder="1" applyAlignment="1">
      <alignment horizontal="center" vertical="center" wrapText="1"/>
    </xf>
    <xf numFmtId="0" fontId="52" fillId="31" borderId="0" xfId="0" applyFont="1" applyFill="1" applyAlignment="1">
      <alignment horizontal="center" vertical="center"/>
    </xf>
    <xf numFmtId="0" fontId="14" fillId="31" borderId="0" xfId="0" applyFont="1" applyFill="1" applyAlignment="1">
      <alignment horizontal="center" vertical="center"/>
    </xf>
    <xf numFmtId="0" fontId="0" fillId="31" borderId="0" xfId="0" applyFill="1" applyAlignment="1">
      <alignment horizontal="center" vertical="center"/>
    </xf>
    <xf numFmtId="0" fontId="52" fillId="50" borderId="105" xfId="0" applyFont="1" applyFill="1" applyBorder="1" applyAlignment="1">
      <alignment horizontal="center" vertical="center"/>
    </xf>
    <xf numFmtId="166" fontId="0" fillId="0" borderId="22" xfId="0" applyNumberFormat="1" applyBorder="1" applyAlignment="1">
      <alignment horizontal="center" vertical="center"/>
    </xf>
    <xf numFmtId="0" fontId="14" fillId="0" borderId="22" xfId="0" applyFont="1" applyBorder="1" applyAlignment="1">
      <alignment horizontal="center" vertical="center"/>
    </xf>
    <xf numFmtId="0" fontId="52" fillId="54" borderId="22" xfId="0" applyFont="1" applyFill="1" applyBorder="1" applyAlignment="1">
      <alignment horizontal="center" vertical="center"/>
    </xf>
    <xf numFmtId="166" fontId="52" fillId="0" borderId="22" xfId="0" applyNumberFormat="1" applyFont="1" applyBorder="1" applyAlignment="1">
      <alignment horizontal="center" vertical="center"/>
    </xf>
    <xf numFmtId="166" fontId="52" fillId="50" borderId="21" xfId="0" applyNumberFormat="1" applyFont="1" applyFill="1" applyBorder="1" applyAlignment="1">
      <alignment horizontal="center" vertical="center"/>
    </xf>
    <xf numFmtId="0" fontId="52" fillId="50" borderId="21" xfId="0" applyFont="1" applyFill="1" applyBorder="1" applyAlignment="1">
      <alignment horizontal="center" vertical="center"/>
    </xf>
    <xf numFmtId="3" fontId="52" fillId="50" borderId="21" xfId="0" applyNumberFormat="1" applyFont="1" applyFill="1" applyBorder="1" applyAlignment="1">
      <alignment horizontal="center" vertical="center"/>
    </xf>
    <xf numFmtId="170" fontId="52" fillId="50" borderId="21" xfId="0" applyNumberFormat="1" applyFont="1" applyFill="1" applyBorder="1" applyAlignment="1">
      <alignment horizontal="center" vertical="center"/>
    </xf>
    <xf numFmtId="0" fontId="0" fillId="50" borderId="80" xfId="0" applyFill="1" applyBorder="1" applyAlignment="1">
      <alignment horizontal="center" vertical="center"/>
    </xf>
    <xf numFmtId="3" fontId="52" fillId="50" borderId="80" xfId="0" applyNumberFormat="1" applyFont="1" applyFill="1" applyBorder="1" applyAlignment="1">
      <alignment horizontal="center" vertical="center"/>
    </xf>
    <xf numFmtId="10" fontId="0" fillId="0" borderId="22" xfId="0" applyNumberFormat="1" applyBorder="1" applyAlignment="1">
      <alignment horizontal="center" vertical="center"/>
    </xf>
    <xf numFmtId="10" fontId="0" fillId="0" borderId="44" xfId="0" applyNumberFormat="1" applyBorder="1" applyAlignment="1">
      <alignment horizontal="center" vertical="center"/>
    </xf>
    <xf numFmtId="166" fontId="52" fillId="0" borderId="44" xfId="0" applyNumberFormat="1" applyFont="1" applyBorder="1" applyAlignment="1">
      <alignment horizontal="center" vertical="center"/>
    </xf>
    <xf numFmtId="0" fontId="14" fillId="53" borderId="22" xfId="0" applyFont="1" applyFill="1" applyBorder="1" applyAlignment="1">
      <alignment horizontal="center" vertical="center"/>
    </xf>
    <xf numFmtId="0" fontId="14" fillId="53" borderId="44" xfId="0" applyFont="1" applyFill="1" applyBorder="1" applyAlignment="1">
      <alignment horizontal="center" vertical="center"/>
    </xf>
    <xf numFmtId="0" fontId="0" fillId="53" borderId="22" xfId="0" applyFill="1" applyBorder="1" applyAlignment="1">
      <alignment horizontal="center" vertical="center"/>
    </xf>
    <xf numFmtId="0" fontId="0" fillId="53" borderId="44" xfId="0" applyFill="1" applyBorder="1" applyAlignment="1">
      <alignment horizontal="center" vertical="center"/>
    </xf>
    <xf numFmtId="0" fontId="52" fillId="53" borderId="22" xfId="0" applyFont="1" applyFill="1" applyBorder="1" applyAlignment="1">
      <alignment horizontal="center" vertical="center"/>
    </xf>
    <xf numFmtId="0" fontId="52" fillId="53" borderId="44" xfId="0" applyFont="1" applyFill="1" applyBorder="1" applyAlignment="1">
      <alignment horizontal="center" vertical="center"/>
    </xf>
    <xf numFmtId="0" fontId="52" fillId="50" borderId="80" xfId="0" applyFont="1" applyFill="1" applyBorder="1" applyAlignment="1">
      <alignment horizontal="center" vertical="center"/>
    </xf>
    <xf numFmtId="0" fontId="50" fillId="0" borderId="0" xfId="0" applyFont="1" applyAlignment="1">
      <alignment horizontal="center" vertical="center"/>
    </xf>
    <xf numFmtId="0" fontId="50" fillId="0" borderId="102" xfId="0" applyFont="1" applyBorder="1" applyAlignment="1">
      <alignment horizontal="center" vertical="center"/>
    </xf>
    <xf numFmtId="0" fontId="92" fillId="31" borderId="0" xfId="147" applyFont="1" applyFill="1" applyAlignment="1">
      <alignment horizontal="center"/>
    </xf>
    <xf numFmtId="174" fontId="93" fillId="31" borderId="0" xfId="147" applyNumberFormat="1" applyFont="1" applyFill="1" applyAlignment="1">
      <alignment horizontal="center"/>
    </xf>
    <xf numFmtId="174" fontId="95" fillId="31" borderId="0" xfId="147" applyNumberFormat="1" applyFont="1" applyFill="1" applyAlignment="1">
      <alignment horizontal="center"/>
    </xf>
    <xf numFmtId="174" fontId="93" fillId="31" borderId="5" xfId="147" applyNumberFormat="1" applyFont="1" applyFill="1" applyBorder="1" applyAlignment="1">
      <alignment horizontal="center"/>
    </xf>
    <xf numFmtId="174" fontId="97" fillId="31" borderId="0" xfId="147" applyNumberFormat="1" applyFont="1" applyFill="1" applyAlignment="1">
      <alignment horizontal="center"/>
    </xf>
    <xf numFmtId="166" fontId="95" fillId="31" borderId="0" xfId="148" applyNumberFormat="1" applyFont="1" applyFill="1" applyAlignment="1">
      <alignment horizontal="center"/>
    </xf>
    <xf numFmtId="166" fontId="93" fillId="31" borderId="0" xfId="148" applyNumberFormat="1" applyFont="1" applyFill="1" applyAlignment="1">
      <alignment horizontal="center"/>
    </xf>
    <xf numFmtId="166" fontId="93" fillId="31" borderId="5" xfId="148" applyNumberFormat="1" applyFont="1" applyFill="1" applyBorder="1" applyAlignment="1">
      <alignment horizontal="center"/>
    </xf>
    <xf numFmtId="174" fontId="95" fillId="31" borderId="5" xfId="147" applyNumberFormat="1" applyFont="1" applyFill="1" applyBorder="1" applyAlignment="1">
      <alignment horizontal="center"/>
    </xf>
    <xf numFmtId="166" fontId="95" fillId="31" borderId="5" xfId="148" applyNumberFormat="1" applyFont="1" applyFill="1" applyBorder="1" applyAlignment="1">
      <alignment horizontal="center"/>
    </xf>
    <xf numFmtId="166" fontId="101" fillId="0" borderId="0" xfId="41" applyNumberFormat="1" applyFont="1" applyFill="1" applyBorder="1" applyAlignment="1">
      <alignment horizontal="center" vertical="center" wrapText="1"/>
    </xf>
    <xf numFmtId="3" fontId="50" fillId="0" borderId="102" xfId="0" applyNumberFormat="1" applyFont="1" applyBorder="1" applyAlignment="1">
      <alignment horizontal="center" vertical="center" wrapText="1"/>
    </xf>
    <xf numFmtId="3" fontId="50" fillId="0" borderId="26" xfId="0" applyNumberFormat="1" applyFont="1" applyBorder="1" applyAlignment="1">
      <alignment horizontal="center" vertical="center" wrapText="1"/>
    </xf>
    <xf numFmtId="3" fontId="15" fillId="0" borderId="142" xfId="0" applyNumberFormat="1" applyFont="1" applyBorder="1" applyAlignment="1">
      <alignment horizontal="center" vertical="center" wrapText="1"/>
    </xf>
    <xf numFmtId="174" fontId="93" fillId="36" borderId="28" xfId="147" applyNumberFormat="1" applyFont="1" applyFill="1" applyBorder="1" applyAlignment="1">
      <alignment horizontal="center" vertical="center"/>
    </xf>
    <xf numFmtId="166" fontId="52" fillId="0" borderId="0" xfId="41" applyNumberFormat="1" applyFont="1" applyFill="1" applyBorder="1" applyAlignment="1">
      <alignment horizontal="center" vertical="center" wrapText="1"/>
    </xf>
    <xf numFmtId="174" fontId="93" fillId="0" borderId="0" xfId="147" applyNumberFormat="1" applyFont="1" applyAlignment="1">
      <alignment horizontal="center"/>
    </xf>
    <xf numFmtId="0" fontId="50" fillId="31" borderId="129" xfId="0" applyFont="1" applyFill="1" applyBorder="1" applyAlignment="1">
      <alignment horizontal="center" vertical="center" wrapText="1"/>
    </xf>
    <xf numFmtId="1" fontId="50" fillId="31" borderId="0" xfId="0" applyNumberFormat="1" applyFont="1" applyFill="1" applyAlignment="1">
      <alignment horizontal="center" vertical="center" wrapText="1"/>
    </xf>
    <xf numFmtId="168" fontId="15" fillId="0" borderId="0" xfId="0" applyNumberFormat="1" applyFont="1" applyAlignment="1">
      <alignment horizontal="center" vertical="center" wrapText="1"/>
    </xf>
    <xf numFmtId="0" fontId="50" fillId="31" borderId="130" xfId="0" applyFont="1" applyFill="1" applyBorder="1" applyAlignment="1">
      <alignment horizontal="center" vertical="center" wrapText="1"/>
    </xf>
    <xf numFmtId="0" fontId="50" fillId="39" borderId="130" xfId="0" applyFont="1" applyFill="1" applyBorder="1" applyAlignment="1">
      <alignment horizontal="center" vertical="center" wrapText="1"/>
    </xf>
    <xf numFmtId="0" fontId="50" fillId="31" borderId="128" xfId="0" applyFont="1" applyFill="1" applyBorder="1" applyAlignment="1">
      <alignment horizontal="center" vertical="center" wrapText="1"/>
    </xf>
    <xf numFmtId="0" fontId="50" fillId="0" borderId="143" xfId="0" applyFont="1" applyBorder="1" applyAlignment="1">
      <alignment vertical="center" wrapText="1"/>
    </xf>
    <xf numFmtId="0" fontId="50" fillId="31" borderId="128" xfId="0" applyFont="1" applyFill="1" applyBorder="1" applyAlignment="1">
      <alignment vertical="center" wrapText="1"/>
    </xf>
    <xf numFmtId="3" fontId="15" fillId="0" borderId="35" xfId="0" applyNumberFormat="1" applyFont="1" applyBorder="1" applyAlignment="1">
      <alignment horizontal="center" vertical="center" wrapText="1"/>
    </xf>
    <xf numFmtId="166" fontId="52" fillId="31" borderId="35" xfId="41" applyNumberFormat="1" applyFont="1" applyFill="1" applyBorder="1" applyAlignment="1">
      <alignment horizontal="center" vertical="center" wrapText="1"/>
    </xf>
    <xf numFmtId="0" fontId="50" fillId="31" borderId="143" xfId="0" applyFont="1" applyFill="1" applyBorder="1" applyAlignment="1">
      <alignment vertical="center" wrapText="1"/>
    </xf>
    <xf numFmtId="3" fontId="50" fillId="0" borderId="128" xfId="0" applyNumberFormat="1" applyFont="1" applyBorder="1" applyAlignment="1">
      <alignment horizontal="center" vertical="center" wrapText="1"/>
    </xf>
    <xf numFmtId="166" fontId="52" fillId="0" borderId="35" xfId="41" applyNumberFormat="1" applyFont="1" applyFill="1" applyBorder="1" applyAlignment="1">
      <alignment horizontal="center" vertical="center" wrapText="1"/>
    </xf>
    <xf numFmtId="3" fontId="50" fillId="0" borderId="144" xfId="0" applyNumberFormat="1" applyFont="1" applyBorder="1" applyAlignment="1">
      <alignment horizontal="center" vertical="center" wrapText="1"/>
    </xf>
    <xf numFmtId="0" fontId="50" fillId="52" borderId="5" xfId="0" applyFont="1" applyFill="1" applyBorder="1" applyAlignment="1">
      <alignment horizontal="center" vertical="center" wrapText="1"/>
    </xf>
    <xf numFmtId="3" fontId="15" fillId="52" borderId="93" xfId="0" applyNumberFormat="1" applyFont="1" applyFill="1" applyBorder="1" applyAlignment="1">
      <alignment horizontal="center" vertical="center" wrapText="1"/>
    </xf>
    <xf numFmtId="3" fontId="15" fillId="52" borderId="0" xfId="0" applyNumberFormat="1" applyFont="1" applyFill="1" applyAlignment="1">
      <alignment horizontal="center" vertical="center" wrapText="1"/>
    </xf>
    <xf numFmtId="166" fontId="102" fillId="52" borderId="0" xfId="41" applyNumberFormat="1" applyFont="1" applyFill="1" applyBorder="1" applyAlignment="1">
      <alignment horizontal="center" vertical="center" wrapText="1"/>
    </xf>
    <xf numFmtId="3" fontId="15" fillId="51" borderId="142" xfId="0" applyNumberFormat="1" applyFont="1" applyFill="1" applyBorder="1" applyAlignment="1">
      <alignment horizontal="center" vertical="center" wrapText="1"/>
    </xf>
    <xf numFmtId="174" fontId="93" fillId="52" borderId="0" xfId="147" applyNumberFormat="1" applyFont="1" applyFill="1" applyAlignment="1">
      <alignment horizontal="center" vertical="center"/>
    </xf>
    <xf numFmtId="3" fontId="50" fillId="52" borderId="102" xfId="0" applyNumberFormat="1" applyFont="1" applyFill="1" applyBorder="1" applyAlignment="1">
      <alignment horizontal="center" vertical="center" wrapText="1"/>
    </xf>
    <xf numFmtId="174" fontId="95" fillId="52" borderId="0" xfId="147" applyNumberFormat="1" applyFont="1" applyFill="1" applyAlignment="1">
      <alignment horizontal="center"/>
    </xf>
    <xf numFmtId="166" fontId="52" fillId="52" borderId="0" xfId="41" applyNumberFormat="1" applyFont="1" applyFill="1" applyBorder="1" applyAlignment="1">
      <alignment horizontal="center" vertical="center" wrapText="1"/>
    </xf>
    <xf numFmtId="166" fontId="52" fillId="52" borderId="142" xfId="41" applyNumberFormat="1" applyFont="1" applyFill="1" applyBorder="1" applyAlignment="1">
      <alignment horizontal="center" vertical="center" wrapText="1"/>
    </xf>
    <xf numFmtId="3" fontId="50" fillId="52" borderId="26" xfId="0" applyNumberFormat="1" applyFont="1" applyFill="1" applyBorder="1" applyAlignment="1">
      <alignment horizontal="center" vertical="center" wrapText="1"/>
    </xf>
    <xf numFmtId="0" fontId="50" fillId="31" borderId="145" xfId="0" applyFont="1" applyFill="1" applyBorder="1" applyAlignment="1">
      <alignment horizontal="center" vertical="center" wrapText="1"/>
    </xf>
    <xf numFmtId="0" fontId="50" fillId="31" borderId="145" xfId="0" applyFont="1" applyFill="1" applyBorder="1" applyAlignment="1">
      <alignment vertical="center" wrapText="1"/>
    </xf>
    <xf numFmtId="3" fontId="50" fillId="29" borderId="100" xfId="0" applyNumberFormat="1" applyFont="1" applyFill="1" applyBorder="1" applyAlignment="1">
      <alignment horizontal="center" vertical="center" wrapText="1"/>
    </xf>
    <xf numFmtId="166" fontId="52" fillId="31" borderId="32" xfId="41" applyNumberFormat="1" applyFont="1" applyFill="1" applyBorder="1" applyAlignment="1">
      <alignment horizontal="center" vertical="center" wrapText="1"/>
    </xf>
    <xf numFmtId="0" fontId="50" fillId="31" borderId="100" xfId="0" applyFont="1" applyFill="1" applyBorder="1" applyAlignment="1">
      <alignment vertical="center" wrapText="1"/>
    </xf>
    <xf numFmtId="3" fontId="50" fillId="29" borderId="145" xfId="0" applyNumberFormat="1" applyFont="1" applyFill="1" applyBorder="1" applyAlignment="1">
      <alignment horizontal="center" vertical="center" wrapText="1"/>
    </xf>
    <xf numFmtId="166" fontId="52" fillId="0" borderId="32" xfId="41" applyNumberFormat="1" applyFont="1" applyFill="1" applyBorder="1" applyAlignment="1">
      <alignment horizontal="center" vertical="center" wrapText="1"/>
    </xf>
    <xf numFmtId="3" fontId="50" fillId="0" borderId="25" xfId="0" applyNumberFormat="1" applyFont="1" applyBorder="1" applyAlignment="1">
      <alignment horizontal="center" vertical="center" wrapText="1"/>
    </xf>
    <xf numFmtId="3" fontId="15" fillId="51" borderId="99" xfId="0" applyNumberFormat="1" applyFont="1" applyFill="1" applyBorder="1" applyAlignment="1">
      <alignment horizontal="center" vertical="center" wrapText="1"/>
    </xf>
    <xf numFmtId="3" fontId="15" fillId="51" borderId="32" xfId="0" applyNumberFormat="1" applyFont="1" applyFill="1" applyBorder="1" applyAlignment="1">
      <alignment horizontal="center" vertical="center" wrapText="1"/>
    </xf>
    <xf numFmtId="3" fontId="15" fillId="51" borderId="131" xfId="0" applyNumberFormat="1" applyFont="1" applyFill="1" applyBorder="1" applyAlignment="1">
      <alignment horizontal="center" vertical="center" wrapText="1"/>
    </xf>
    <xf numFmtId="166" fontId="102" fillId="0" borderId="35" xfId="41" applyNumberFormat="1" applyFont="1" applyFill="1" applyBorder="1" applyAlignment="1">
      <alignment horizontal="center" vertical="center" wrapText="1"/>
    </xf>
    <xf numFmtId="166" fontId="102" fillId="0" borderId="47" xfId="41" applyNumberFormat="1" applyFont="1" applyFill="1" applyBorder="1" applyAlignment="1">
      <alignment horizontal="center" vertical="center" wrapText="1"/>
    </xf>
    <xf numFmtId="3" fontId="15" fillId="51" borderId="47" xfId="0" applyNumberFormat="1" applyFont="1" applyFill="1" applyBorder="1" applyAlignment="1">
      <alignment horizontal="center" vertical="center" wrapText="1"/>
    </xf>
    <xf numFmtId="3" fontId="15" fillId="51" borderId="46" xfId="0" applyNumberFormat="1" applyFont="1" applyFill="1" applyBorder="1" applyAlignment="1">
      <alignment horizontal="center" vertical="center" wrapText="1"/>
    </xf>
    <xf numFmtId="166" fontId="52" fillId="31" borderId="22" xfId="41" applyNumberFormat="1" applyFont="1" applyFill="1" applyBorder="1" applyAlignment="1">
      <alignment horizontal="center" vertical="center" wrapText="1"/>
    </xf>
    <xf numFmtId="166" fontId="52" fillId="41" borderId="44" xfId="41" applyNumberFormat="1" applyFont="1" applyFill="1" applyBorder="1" applyAlignment="1">
      <alignment horizontal="center" vertical="center" wrapText="1"/>
    </xf>
    <xf numFmtId="0" fontId="0" fillId="0" borderId="90" xfId="0" applyBorder="1" applyAlignment="1">
      <alignment horizontal="center" vertical="center"/>
    </xf>
    <xf numFmtId="0" fontId="0" fillId="0" borderId="91" xfId="0" applyBorder="1" applyAlignment="1">
      <alignment horizontal="center" vertical="center" readingOrder="2"/>
    </xf>
    <xf numFmtId="0" fontId="0" fillId="0" borderId="92" xfId="0" applyBorder="1" applyAlignment="1">
      <alignment horizontal="center" vertical="center"/>
    </xf>
    <xf numFmtId="0" fontId="0" fillId="0" borderId="22" xfId="0" applyBorder="1" applyAlignment="1">
      <alignment horizontal="center" vertical="center" readingOrder="2"/>
    </xf>
    <xf numFmtId="0" fontId="14" fillId="0" borderId="22" xfId="0" applyFont="1" applyBorder="1" applyAlignment="1">
      <alignment horizontal="center" vertical="center" readingOrder="2"/>
    </xf>
    <xf numFmtId="0" fontId="52" fillId="29" borderId="145" xfId="0" applyFont="1" applyFill="1" applyBorder="1" applyAlignment="1">
      <alignment horizontal="center" vertical="center"/>
    </xf>
    <xf numFmtId="0" fontId="52" fillId="29" borderId="102" xfId="0" applyFont="1" applyFill="1" applyBorder="1" applyAlignment="1">
      <alignment horizontal="center" vertical="center"/>
    </xf>
    <xf numFmtId="0" fontId="50" fillId="0" borderId="98" xfId="0" applyFont="1" applyBorder="1"/>
    <xf numFmtId="3" fontId="0" fillId="34" borderId="22" xfId="0" applyNumberFormat="1" applyFill="1" applyBorder="1" applyAlignment="1">
      <alignment horizontal="center" vertical="center"/>
    </xf>
    <xf numFmtId="166" fontId="0" fillId="34" borderId="22" xfId="41" applyNumberFormat="1" applyFont="1" applyFill="1" applyBorder="1" applyAlignment="1">
      <alignment horizontal="center" vertical="center"/>
    </xf>
    <xf numFmtId="0" fontId="0" fillId="34" borderId="22" xfId="0" applyFill="1" applyBorder="1" applyAlignment="1">
      <alignment horizontal="center" vertical="center"/>
    </xf>
    <xf numFmtId="166" fontId="0" fillId="34" borderId="28" xfId="41" applyNumberFormat="1" applyFont="1" applyFill="1" applyBorder="1" applyAlignment="1">
      <alignment horizontal="center" vertical="center"/>
    </xf>
    <xf numFmtId="3" fontId="52" fillId="34" borderId="22" xfId="0" applyNumberFormat="1" applyFont="1" applyFill="1" applyBorder="1" applyAlignment="1">
      <alignment horizontal="center" vertical="center"/>
    </xf>
    <xf numFmtId="166" fontId="52" fillId="34" borderId="22" xfId="41" applyNumberFormat="1" applyFont="1" applyFill="1" applyBorder="1" applyAlignment="1">
      <alignment horizontal="center" vertical="center"/>
    </xf>
    <xf numFmtId="0" fontId="52" fillId="34" borderId="22" xfId="0" applyFont="1" applyFill="1" applyBorder="1" applyAlignment="1">
      <alignment horizontal="center" vertical="center"/>
    </xf>
    <xf numFmtId="166" fontId="52" fillId="34" borderId="28" xfId="41" applyNumberFormat="1" applyFont="1" applyFill="1" applyBorder="1" applyAlignment="1">
      <alignment horizontal="center" vertical="center"/>
    </xf>
    <xf numFmtId="3" fontId="15" fillId="52" borderId="90" xfId="0" applyNumberFormat="1" applyFont="1" applyFill="1" applyBorder="1" applyAlignment="1">
      <alignment horizontal="center" vertical="center" wrapText="1"/>
    </xf>
    <xf numFmtId="3" fontId="50" fillId="0" borderId="146" xfId="0" applyNumberFormat="1" applyFont="1" applyBorder="1" applyAlignment="1">
      <alignment horizontal="center" vertical="center" wrapText="1"/>
    </xf>
    <xf numFmtId="0" fontId="14" fillId="31" borderId="34" xfId="0" applyFont="1" applyFill="1" applyBorder="1" applyAlignment="1">
      <alignment horizontal="center" vertical="center"/>
    </xf>
    <xf numFmtId="0" fontId="0" fillId="31" borderId="34" xfId="0" applyFill="1" applyBorder="1" applyAlignment="1">
      <alignment horizontal="center" vertical="center"/>
    </xf>
    <xf numFmtId="0" fontId="52" fillId="31" borderId="34" xfId="0" applyFont="1" applyFill="1" applyBorder="1" applyAlignment="1">
      <alignment horizontal="center" vertical="center"/>
    </xf>
    <xf numFmtId="0" fontId="52" fillId="50" borderId="104" xfId="0" applyFont="1" applyFill="1" applyBorder="1" applyAlignment="1">
      <alignment horizontal="center" vertical="center"/>
    </xf>
    <xf numFmtId="0" fontId="52" fillId="31" borderId="101" xfId="0" applyFont="1" applyFill="1" applyBorder="1" applyAlignment="1">
      <alignment horizontal="center" vertical="center"/>
    </xf>
    <xf numFmtId="0" fontId="52" fillId="31" borderId="102" xfId="0" applyFont="1" applyFill="1" applyBorder="1" applyAlignment="1">
      <alignment horizontal="center" vertical="center"/>
    </xf>
    <xf numFmtId="0" fontId="52" fillId="53" borderId="129" xfId="0" applyFont="1" applyFill="1" applyBorder="1" applyAlignment="1">
      <alignment horizontal="center" vertical="center"/>
    </xf>
    <xf numFmtId="0" fontId="52" fillId="53" borderId="130" xfId="0" applyFont="1" applyFill="1" applyBorder="1" applyAlignment="1">
      <alignment horizontal="center" vertical="center"/>
    </xf>
    <xf numFmtId="166" fontId="52" fillId="50" borderId="80" xfId="0" applyNumberFormat="1" applyFont="1" applyFill="1" applyBorder="1" applyAlignment="1">
      <alignment horizontal="center" vertical="center"/>
    </xf>
    <xf numFmtId="170" fontId="15" fillId="0" borderId="90" xfId="0" applyNumberFormat="1" applyFont="1" applyBorder="1" applyAlignment="1">
      <alignment horizontal="center" vertical="center" wrapText="1"/>
    </xf>
    <xf numFmtId="168" fontId="50" fillId="29" borderId="91" xfId="0" applyNumberFormat="1" applyFont="1" applyFill="1" applyBorder="1" applyAlignment="1">
      <alignment horizontal="center" vertical="center" wrapText="1"/>
    </xf>
    <xf numFmtId="0" fontId="14" fillId="0" borderId="34" xfId="0" applyFont="1" applyBorder="1" applyAlignment="1">
      <alignment horizontal="center" vertical="center"/>
    </xf>
    <xf numFmtId="0" fontId="0" fillId="0" borderId="129" xfId="0" applyBorder="1" applyAlignment="1">
      <alignment horizontal="center" vertical="center"/>
    </xf>
    <xf numFmtId="0" fontId="0" fillId="0" borderId="130" xfId="0" applyBorder="1" applyAlignment="1">
      <alignment horizontal="center" vertical="center"/>
    </xf>
    <xf numFmtId="3" fontId="52" fillId="0" borderId="101" xfId="0" applyNumberFormat="1" applyFont="1" applyBorder="1" applyAlignment="1">
      <alignment horizontal="center" vertical="center"/>
    </xf>
    <xf numFmtId="3" fontId="52" fillId="0" borderId="129" xfId="0" applyNumberFormat="1" applyFont="1" applyBorder="1" applyAlignment="1">
      <alignment horizontal="center" vertical="center"/>
    </xf>
    <xf numFmtId="3" fontId="52" fillId="0" borderId="130" xfId="0" applyNumberFormat="1" applyFont="1" applyBorder="1" applyAlignment="1">
      <alignment horizontal="center" vertical="center"/>
    </xf>
    <xf numFmtId="0" fontId="52" fillId="0" borderId="97" xfId="0" applyFont="1" applyBorder="1" applyAlignment="1">
      <alignment horizontal="center" vertical="center"/>
    </xf>
    <xf numFmtId="3" fontId="52" fillId="0" borderId="54" xfId="0" applyNumberFormat="1" applyFont="1" applyBorder="1" applyAlignment="1">
      <alignment horizontal="center" vertical="center"/>
    </xf>
    <xf numFmtId="3" fontId="52" fillId="0" borderId="86" xfId="0" applyNumberFormat="1" applyFont="1" applyBorder="1" applyAlignment="1">
      <alignment horizontal="center" vertical="center"/>
    </xf>
    <xf numFmtId="3" fontId="0" fillId="28" borderId="22" xfId="0" applyNumberFormat="1" applyFill="1" applyBorder="1" applyAlignment="1">
      <alignment horizontal="center" vertical="center"/>
    </xf>
    <xf numFmtId="166" fontId="0" fillId="28" borderId="22" xfId="41" applyNumberFormat="1" applyFont="1" applyFill="1" applyBorder="1" applyAlignment="1">
      <alignment horizontal="center" vertical="center"/>
    </xf>
    <xf numFmtId="0" fontId="0" fillId="28" borderId="129" xfId="0" applyFill="1" applyBorder="1" applyAlignment="1">
      <alignment horizontal="center" vertical="center"/>
    </xf>
    <xf numFmtId="3" fontId="52" fillId="28" borderId="129" xfId="0" applyNumberFormat="1" applyFont="1" applyFill="1" applyBorder="1" applyAlignment="1">
      <alignment horizontal="center" vertical="center"/>
    </xf>
    <xf numFmtId="3" fontId="52" fillId="28" borderId="54" xfId="0" applyNumberFormat="1" applyFont="1" applyFill="1" applyBorder="1" applyAlignment="1">
      <alignment horizontal="center" vertical="center"/>
    </xf>
    <xf numFmtId="3" fontId="15" fillId="0" borderId="147" xfId="0" applyNumberFormat="1" applyFont="1" applyBorder="1" applyAlignment="1">
      <alignment horizontal="center" vertical="center" wrapText="1"/>
    </xf>
    <xf numFmtId="166" fontId="101" fillId="0" borderId="148" xfId="41" applyNumberFormat="1" applyFont="1" applyFill="1" applyBorder="1" applyAlignment="1">
      <alignment horizontal="center" vertical="center" wrapText="1"/>
    </xf>
    <xf numFmtId="3" fontId="15" fillId="0" borderId="148" xfId="0" applyNumberFormat="1" applyFont="1" applyBorder="1" applyAlignment="1">
      <alignment horizontal="center" vertical="center" wrapText="1"/>
    </xf>
    <xf numFmtId="0" fontId="66" fillId="0" borderId="84" xfId="0" applyFont="1" applyBorder="1" applyAlignment="1">
      <alignment horizontal="center" vertical="center"/>
    </xf>
    <xf numFmtId="0" fontId="66" fillId="0" borderId="85" xfId="0" applyFont="1" applyBorder="1" applyAlignment="1">
      <alignment horizontal="center" vertical="center"/>
    </xf>
    <xf numFmtId="0" fontId="50" fillId="20" borderId="0" xfId="0" applyFont="1" applyFill="1" applyAlignment="1">
      <alignment horizontal="right"/>
    </xf>
    <xf numFmtId="0" fontId="52" fillId="0" borderId="71" xfId="0" applyFont="1" applyBorder="1" applyAlignment="1">
      <alignment horizontal="center"/>
    </xf>
    <xf numFmtId="0" fontId="52" fillId="0" borderId="72" xfId="0" applyFont="1" applyBorder="1" applyAlignment="1">
      <alignment horizontal="center"/>
    </xf>
    <xf numFmtId="0" fontId="50" fillId="0" borderId="82" xfId="0" applyFont="1" applyBorder="1" applyAlignment="1">
      <alignment horizontal="center"/>
    </xf>
    <xf numFmtId="0" fontId="50" fillId="0" borderId="82" xfId="0" applyFont="1" applyBorder="1" applyAlignment="1">
      <alignment horizontal="center" vertical="center"/>
    </xf>
    <xf numFmtId="0" fontId="0" fillId="0" borderId="0" xfId="0" applyAlignment="1">
      <alignment horizontal="center" vertical="center"/>
    </xf>
    <xf numFmtId="0" fontId="14" fillId="0" borderId="44" xfId="0" applyFont="1" applyBorder="1" applyAlignment="1">
      <alignment horizontal="right" vertical="center" wrapText="1"/>
    </xf>
    <xf numFmtId="0" fontId="14" fillId="0" borderId="0" xfId="0" applyFont="1" applyAlignment="1">
      <alignment horizontal="right" vertical="center"/>
    </xf>
    <xf numFmtId="0" fontId="14" fillId="0" borderId="34" xfId="0" applyFont="1" applyBorder="1" applyAlignment="1">
      <alignment horizontal="right" vertical="center"/>
    </xf>
    <xf numFmtId="0" fontId="52" fillId="39" borderId="72" xfId="0" applyFont="1" applyFill="1" applyBorder="1" applyAlignment="1">
      <alignment horizontal="center" vertical="center"/>
    </xf>
    <xf numFmtId="0" fontId="52" fillId="39" borderId="69" xfId="0" applyFont="1" applyFill="1" applyBorder="1" applyAlignment="1">
      <alignment horizontal="center" vertical="center"/>
    </xf>
    <xf numFmtId="0" fontId="52" fillId="39" borderId="70" xfId="0" applyFont="1" applyFill="1" applyBorder="1" applyAlignment="1">
      <alignment horizontal="center" vertical="center"/>
    </xf>
    <xf numFmtId="0" fontId="14" fillId="0" borderId="68" xfId="0" applyFont="1" applyBorder="1" applyAlignment="1">
      <alignment horizontal="right" vertical="center" wrapText="1"/>
    </xf>
    <xf numFmtId="0" fontId="14" fillId="0" borderId="73" xfId="0" applyFont="1" applyBorder="1" applyAlignment="1">
      <alignment horizontal="right" vertical="center"/>
    </xf>
    <xf numFmtId="0" fontId="14" fillId="0" borderId="67" xfId="0" applyFont="1" applyBorder="1" applyAlignment="1">
      <alignment horizontal="right" vertical="center"/>
    </xf>
    <xf numFmtId="0" fontId="14" fillId="0" borderId="44" xfId="0" applyFont="1" applyBorder="1" applyAlignment="1">
      <alignment horizontal="right" vertical="center"/>
    </xf>
    <xf numFmtId="0" fontId="14" fillId="0" borderId="0" xfId="0" applyFont="1" applyAlignment="1">
      <alignment horizontal="right" vertical="center" wrapText="1"/>
    </xf>
    <xf numFmtId="0" fontId="14" fillId="0" borderId="34" xfId="0" applyFont="1" applyBorder="1" applyAlignment="1">
      <alignment horizontal="right" vertical="center" wrapText="1"/>
    </xf>
    <xf numFmtId="0" fontId="50" fillId="0" borderId="12" xfId="0" applyFont="1" applyBorder="1" applyAlignment="1">
      <alignment horizontal="center" vertical="center"/>
    </xf>
    <xf numFmtId="0" fontId="52" fillId="39" borderId="67" xfId="0" applyFont="1" applyFill="1" applyBorder="1" applyAlignment="1">
      <alignment horizontal="center" vertical="center" wrapText="1"/>
    </xf>
    <xf numFmtId="0" fontId="52" fillId="39" borderId="37" xfId="0" applyFont="1" applyFill="1" applyBorder="1" applyAlignment="1">
      <alignment horizontal="center" vertical="center" wrapText="1"/>
    </xf>
    <xf numFmtId="0" fontId="50" fillId="0" borderId="69" xfId="0" applyFont="1" applyBorder="1" applyAlignment="1">
      <alignment horizontal="center" vertical="center"/>
    </xf>
    <xf numFmtId="49" fontId="61" fillId="32" borderId="5" xfId="67" applyNumberFormat="1" applyFont="1" applyFill="1" applyBorder="1" applyAlignment="1">
      <alignment horizontal="center" vertical="center"/>
    </xf>
    <xf numFmtId="49" fontId="62" fillId="33" borderId="5" xfId="67" applyNumberFormat="1" applyFont="1" applyFill="1" applyBorder="1" applyAlignment="1">
      <alignment horizontal="center" vertical="center"/>
    </xf>
    <xf numFmtId="49" fontId="58" fillId="0" borderId="29" xfId="66" quotePrefix="1" applyNumberFormat="1" applyFont="1" applyBorder="1" applyAlignment="1">
      <alignment horizontal="left"/>
    </xf>
    <xf numFmtId="49" fontId="57" fillId="0" borderId="0" xfId="67" applyNumberFormat="1" applyFont="1" applyAlignment="1">
      <alignment horizontal="left"/>
    </xf>
    <xf numFmtId="0" fontId="56" fillId="0" borderId="0" xfId="67" applyAlignment="1">
      <alignment horizontal="center"/>
    </xf>
    <xf numFmtId="49" fontId="61" fillId="31" borderId="5" xfId="67" applyNumberFormat="1" applyFont="1" applyFill="1" applyBorder="1" applyAlignment="1">
      <alignment horizontal="center" vertical="center"/>
    </xf>
    <xf numFmtId="49" fontId="57" fillId="0" borderId="0" xfId="66" applyNumberFormat="1" applyFont="1" applyAlignment="1">
      <alignment horizontal="center"/>
    </xf>
    <xf numFmtId="49" fontId="57" fillId="0" borderId="0" xfId="67" applyNumberFormat="1" applyFont="1" applyAlignment="1">
      <alignment horizontal="center"/>
    </xf>
    <xf numFmtId="49" fontId="57" fillId="0" borderId="0" xfId="66" quotePrefix="1" applyNumberFormat="1" applyFont="1" applyAlignment="1">
      <alignment horizontal="center"/>
    </xf>
    <xf numFmtId="49" fontId="60" fillId="30" borderId="5" xfId="66" applyNumberFormat="1" applyFont="1" applyFill="1" applyBorder="1" applyAlignment="1">
      <alignment horizontal="center" vertical="center"/>
    </xf>
  </cellXfs>
  <cellStyles count="149">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40% - Accent1" xfId="7" xr:uid="{00000000-0005-0000-0000-00000C000000}"/>
    <cellStyle name="40% - Accent2" xfId="8" xr:uid="{00000000-0005-0000-0000-00000D000000}"/>
    <cellStyle name="40% - Accent3" xfId="9" xr:uid="{00000000-0005-0000-0000-00000E000000}"/>
    <cellStyle name="40% - Accent4" xfId="10" xr:uid="{00000000-0005-0000-0000-00000F000000}"/>
    <cellStyle name="40% - Accent5" xfId="11" xr:uid="{00000000-0005-0000-0000-000010000000}"/>
    <cellStyle name="40% - Accent6" xfId="12" xr:uid="{00000000-0005-0000-0000-000011000000}"/>
    <cellStyle name="60% - Accent1" xfId="13" xr:uid="{00000000-0005-0000-0000-000018000000}"/>
    <cellStyle name="60% - Accent2" xfId="14" xr:uid="{00000000-0005-0000-0000-000019000000}"/>
    <cellStyle name="60% - Accent3" xfId="15" xr:uid="{00000000-0005-0000-0000-00001A000000}"/>
    <cellStyle name="60% - Accent4" xfId="16" xr:uid="{00000000-0005-0000-0000-00001B000000}"/>
    <cellStyle name="60% - Accent5" xfId="17" xr:uid="{00000000-0005-0000-0000-00001C000000}"/>
    <cellStyle name="60% - Accent6" xfId="18" xr:uid="{00000000-0005-0000-0000-00001D000000}"/>
    <cellStyle name="Accent1" xfId="19" xr:uid="{00000000-0005-0000-0000-000024000000}"/>
    <cellStyle name="Accent2" xfId="20" xr:uid="{00000000-0005-0000-0000-000025000000}"/>
    <cellStyle name="Accent3" xfId="21" xr:uid="{00000000-0005-0000-0000-000026000000}"/>
    <cellStyle name="Accent4" xfId="22" xr:uid="{00000000-0005-0000-0000-000027000000}"/>
    <cellStyle name="Accent5" xfId="23" xr:uid="{00000000-0005-0000-0000-000028000000}"/>
    <cellStyle name="Accent6" xfId="24" xr:uid="{00000000-0005-0000-0000-000029000000}"/>
    <cellStyle name="Bad" xfId="25" xr:uid="{00000000-0005-0000-0000-00002A000000}"/>
    <cellStyle name="Calculation" xfId="26" xr:uid="{00000000-0005-0000-0000-00002B000000}"/>
    <cellStyle name="Check Cell" xfId="27" xr:uid="{00000000-0005-0000-0000-00002C000000}"/>
    <cellStyle name="Comma" xfId="28" builtinId="3"/>
    <cellStyle name="Comma 2" xfId="70" xr:uid="{00000000-0005-0000-0000-00002E000000}"/>
    <cellStyle name="Comma 4" xfId="145" xr:uid="{00000000-0005-0000-0000-00002F000000}"/>
    <cellStyle name="Explanatory Text" xfId="29" xr:uid="{00000000-0005-0000-0000-000030000000}"/>
    <cellStyle name="Good" xfId="30" xr:uid="{00000000-0005-0000-0000-000031000000}"/>
    <cellStyle name="Heading 1" xfId="31" xr:uid="{00000000-0005-0000-0000-000032000000}"/>
    <cellStyle name="Heading 2" xfId="32" xr:uid="{00000000-0005-0000-0000-000033000000}"/>
    <cellStyle name="heading 3" xfId="33" xr:uid="{00000000-0005-0000-0000-000034000000}"/>
    <cellStyle name="Heading 3 2" xfId="134" xr:uid="{00000000-0005-0000-0000-000035000000}"/>
    <cellStyle name="Heading 3 3" xfId="139" xr:uid="{00000000-0005-0000-0000-000036000000}"/>
    <cellStyle name="Heading 4" xfId="34" xr:uid="{00000000-0005-0000-0000-000037000000}"/>
    <cellStyle name="heading2" xfId="35" xr:uid="{00000000-0005-0000-0000-000038000000}"/>
    <cellStyle name="Input" xfId="36" xr:uid="{00000000-0005-0000-0000-000039000000}"/>
    <cellStyle name="Linked Cell" xfId="37" xr:uid="{00000000-0005-0000-0000-00003A000000}"/>
    <cellStyle name="Neutral" xfId="38" xr:uid="{00000000-0005-0000-0000-00003B000000}"/>
    <cellStyle name="Normal" xfId="0" builtinId="0"/>
    <cellStyle name="Normal 2" xfId="67" xr:uid="{00000000-0005-0000-0000-00003D000000}"/>
    <cellStyle name="Normal 2 2" xfId="135" xr:uid="{00000000-0005-0000-0000-00003E000000}"/>
    <cellStyle name="Normal 2 3" xfId="140" xr:uid="{00000000-0005-0000-0000-00003F000000}"/>
    <cellStyle name="Normal 3" xfId="69" xr:uid="{00000000-0005-0000-0000-000040000000}"/>
    <cellStyle name="Normal 3 2" xfId="136" xr:uid="{00000000-0005-0000-0000-000041000000}"/>
    <cellStyle name="Normal 3 3" xfId="141" xr:uid="{00000000-0005-0000-0000-000042000000}"/>
    <cellStyle name="Normal 4" xfId="71" xr:uid="{00000000-0005-0000-0000-000043000000}"/>
    <cellStyle name="Normal 4 2" xfId="106" xr:uid="{00000000-0005-0000-0000-000044000000}"/>
    <cellStyle name="Normal 4 3" xfId="111" xr:uid="{00000000-0005-0000-0000-000045000000}"/>
    <cellStyle name="Normal 4 4" xfId="116" xr:uid="{00000000-0005-0000-0000-000046000000}"/>
    <cellStyle name="Normal 4 5" xfId="120" xr:uid="{00000000-0005-0000-0000-000047000000}"/>
    <cellStyle name="Normal 4 6" xfId="131" xr:uid="{00000000-0005-0000-0000-000048000000}"/>
    <cellStyle name="Normal 5" xfId="73" xr:uid="{00000000-0005-0000-0000-000049000000}"/>
    <cellStyle name="Normal 5 2" xfId="108" xr:uid="{00000000-0005-0000-0000-00004A000000}"/>
    <cellStyle name="Normal 5 3" xfId="113" xr:uid="{00000000-0005-0000-0000-00004B000000}"/>
    <cellStyle name="Normal 5 4" xfId="118" xr:uid="{00000000-0005-0000-0000-00004C000000}"/>
    <cellStyle name="Normal 5 5" xfId="122" xr:uid="{00000000-0005-0000-0000-00004D000000}"/>
    <cellStyle name="Normal 5 6" xfId="133" xr:uid="{00000000-0005-0000-0000-00004E000000}"/>
    <cellStyle name="Normal 5 7" xfId="143" xr:uid="{00000000-0005-0000-0000-00004F000000}"/>
    <cellStyle name="Normal 6" xfId="137" xr:uid="{00000000-0005-0000-0000-000050000000}"/>
    <cellStyle name="Normal 6 2" xfId="144" xr:uid="{00000000-0005-0000-0000-000051000000}"/>
    <cellStyle name="Normal 7" xfId="147" xr:uid="{00000000-0005-0000-0000-000052000000}"/>
    <cellStyle name="Normal_Sheet1" xfId="66" xr:uid="{00000000-0005-0000-0000-000053000000}"/>
    <cellStyle name="Note" xfId="39" xr:uid="{00000000-0005-0000-0000-000054000000}"/>
    <cellStyle name="Output" xfId="40" xr:uid="{00000000-0005-0000-0000-000055000000}"/>
    <cellStyle name="Percent" xfId="41" builtinId="5"/>
    <cellStyle name="Percent 2" xfId="68" xr:uid="{00000000-0005-0000-0000-000057000000}"/>
    <cellStyle name="Percent 3" xfId="72" xr:uid="{00000000-0005-0000-0000-000058000000}"/>
    <cellStyle name="Percent 3 2" xfId="107" xr:uid="{00000000-0005-0000-0000-000059000000}"/>
    <cellStyle name="Percent 3 3" xfId="112" xr:uid="{00000000-0005-0000-0000-00005A000000}"/>
    <cellStyle name="Percent 3 4" xfId="117" xr:uid="{00000000-0005-0000-0000-00005B000000}"/>
    <cellStyle name="Percent 3 5" xfId="121" xr:uid="{00000000-0005-0000-0000-00005C000000}"/>
    <cellStyle name="Percent 3 6" xfId="132" xr:uid="{00000000-0005-0000-0000-00005D000000}"/>
    <cellStyle name="Percent 4" xfId="74" xr:uid="{00000000-0005-0000-0000-00005E000000}"/>
    <cellStyle name="Percent 4 2" xfId="138" xr:uid="{00000000-0005-0000-0000-00005F000000}"/>
    <cellStyle name="Percent 4 3" xfId="142" xr:uid="{00000000-0005-0000-0000-000060000000}"/>
    <cellStyle name="Percent 5" xfId="146" xr:uid="{00000000-0005-0000-0000-000061000000}"/>
    <cellStyle name="Percent 6" xfId="148" xr:uid="{00000000-0005-0000-0000-000062000000}"/>
    <cellStyle name="Problem" xfId="42" xr:uid="{00000000-0005-0000-0000-000063000000}"/>
    <cellStyle name="Style 21" xfId="43" xr:uid="{00000000-0005-0000-0000-000064000000}"/>
    <cellStyle name="Style 22" xfId="44" xr:uid="{00000000-0005-0000-0000-000065000000}"/>
    <cellStyle name="Style 23" xfId="45" xr:uid="{00000000-0005-0000-0000-000066000000}"/>
    <cellStyle name="Style 24" xfId="46" xr:uid="{00000000-0005-0000-0000-000067000000}"/>
    <cellStyle name="Style 25" xfId="47" xr:uid="{00000000-0005-0000-0000-000068000000}"/>
    <cellStyle name="Style 26" xfId="48" xr:uid="{00000000-0005-0000-0000-000069000000}"/>
    <cellStyle name="Style 26 2" xfId="94" xr:uid="{00000000-0005-0000-0000-00006A000000}"/>
    <cellStyle name="Style 26 3" xfId="80" xr:uid="{00000000-0005-0000-0000-00006B000000}"/>
    <cellStyle name="Style 26 4" xfId="81" xr:uid="{00000000-0005-0000-0000-00006C000000}"/>
    <cellStyle name="Style 26 5" xfId="101" xr:uid="{00000000-0005-0000-0000-00006D000000}"/>
    <cellStyle name="Style 26 6" xfId="127" xr:uid="{00000000-0005-0000-0000-00006E000000}"/>
    <cellStyle name="Style 27" xfId="49" xr:uid="{00000000-0005-0000-0000-00006F000000}"/>
    <cellStyle name="Style 28" xfId="50" xr:uid="{00000000-0005-0000-0000-000070000000}"/>
    <cellStyle name="Style 28 2" xfId="96" xr:uid="{00000000-0005-0000-0000-000071000000}"/>
    <cellStyle name="Style 28 3" xfId="78" xr:uid="{00000000-0005-0000-0000-000072000000}"/>
    <cellStyle name="Style 28 4" xfId="83" xr:uid="{00000000-0005-0000-0000-000073000000}"/>
    <cellStyle name="Style 28 5" xfId="100" xr:uid="{00000000-0005-0000-0000-000074000000}"/>
    <cellStyle name="Style 28 6" xfId="128" xr:uid="{00000000-0005-0000-0000-000075000000}"/>
    <cellStyle name="Style 29" xfId="51" xr:uid="{00000000-0005-0000-0000-000076000000}"/>
    <cellStyle name="Style 29 2" xfId="97" xr:uid="{00000000-0005-0000-0000-000077000000}"/>
    <cellStyle name="Style 29 3" xfId="77" xr:uid="{00000000-0005-0000-0000-000078000000}"/>
    <cellStyle name="Style 29 4" xfId="84" xr:uid="{00000000-0005-0000-0000-000079000000}"/>
    <cellStyle name="Style 29 5" xfId="99" xr:uid="{00000000-0005-0000-0000-00007A000000}"/>
    <cellStyle name="Style 29 6" xfId="129" xr:uid="{00000000-0005-0000-0000-00007B000000}"/>
    <cellStyle name="Style 30" xfId="52" xr:uid="{00000000-0005-0000-0000-00007C000000}"/>
    <cellStyle name="Style 31" xfId="53" xr:uid="{00000000-0005-0000-0000-00007D000000}"/>
    <cellStyle name="Style 32" xfId="54" xr:uid="{00000000-0005-0000-0000-00007E000000}"/>
    <cellStyle name="Style 33" xfId="55" xr:uid="{00000000-0005-0000-0000-00007F000000}"/>
    <cellStyle name="Style 34" xfId="56" xr:uid="{00000000-0005-0000-0000-000080000000}"/>
    <cellStyle name="Style 40" xfId="57" xr:uid="{00000000-0005-0000-0000-000081000000}"/>
    <cellStyle name="Style 41" xfId="58" xr:uid="{00000000-0005-0000-0000-000082000000}"/>
    <cellStyle name="Style 42" xfId="59" xr:uid="{00000000-0005-0000-0000-000083000000}"/>
    <cellStyle name="Style 65" xfId="60" xr:uid="{00000000-0005-0000-0000-000084000000}"/>
    <cellStyle name="Style 67" xfId="61" xr:uid="{00000000-0005-0000-0000-000085000000}"/>
    <cellStyle name="Style 69" xfId="62" xr:uid="{00000000-0005-0000-0000-000086000000}"/>
    <cellStyle name="Title" xfId="63" xr:uid="{00000000-0005-0000-0000-000087000000}"/>
    <cellStyle name="Total" xfId="64" xr:uid="{00000000-0005-0000-0000-000088000000}"/>
    <cellStyle name="Warning Text" xfId="65" xr:uid="{00000000-0005-0000-0000-000089000000}"/>
    <cellStyle name="הערה 2" xfId="91" xr:uid="{00000000-0005-0000-0000-000091000000}"/>
    <cellStyle name="הערה 3" xfId="104" xr:uid="{00000000-0005-0000-0000-000092000000}"/>
    <cellStyle name="הערה 4" xfId="110" xr:uid="{00000000-0005-0000-0000-000093000000}"/>
    <cellStyle name="הערה 5" xfId="115" xr:uid="{00000000-0005-0000-0000-000094000000}"/>
    <cellStyle name="הערה 6" xfId="125" xr:uid="{00000000-0005-0000-0000-000095000000}"/>
    <cellStyle name="חישוב 2" xfId="86" xr:uid="{00000000-0005-0000-0000-000097000000}"/>
    <cellStyle name="חישוב 3" xfId="98" xr:uid="{00000000-0005-0000-0000-000098000000}"/>
    <cellStyle name="חישוב 4" xfId="76" xr:uid="{00000000-0005-0000-0000-000099000000}"/>
    <cellStyle name="חישוב 5" xfId="85" xr:uid="{00000000-0005-0000-0000-00009A000000}"/>
    <cellStyle name="חישוב 6" xfId="123" xr:uid="{00000000-0005-0000-0000-00009B000000}"/>
    <cellStyle name="סה&quot;כ 2" xfId="102" xr:uid="{00000000-0005-0000-0000-0000A5000000}"/>
    <cellStyle name="סה&quot;כ 3" xfId="109" xr:uid="{00000000-0005-0000-0000-0000A6000000}"/>
    <cellStyle name="סה&quot;כ 4" xfId="114" xr:uid="{00000000-0005-0000-0000-0000A7000000}"/>
    <cellStyle name="סה&quot;כ 5" xfId="119" xr:uid="{00000000-0005-0000-0000-0000A8000000}"/>
    <cellStyle name="סה&quot;כ 6" xfId="130" xr:uid="{00000000-0005-0000-0000-0000A9000000}"/>
    <cellStyle name="פלט 2" xfId="92" xr:uid="{00000000-0005-0000-0000-0000AB000000}"/>
    <cellStyle name="פלט 3" xfId="75" xr:uid="{00000000-0005-0000-0000-0000AC000000}"/>
    <cellStyle name="פלט 4" xfId="90" xr:uid="{00000000-0005-0000-0000-0000AD000000}"/>
    <cellStyle name="פלט 5" xfId="103" xr:uid="{00000000-0005-0000-0000-0000AE000000}"/>
    <cellStyle name="פלט 6" xfId="126" xr:uid="{00000000-0005-0000-0000-0000AF000000}"/>
    <cellStyle name="קלט 2" xfId="89" xr:uid="{00000000-0005-0000-0000-0000B1000000}"/>
    <cellStyle name="קלט 3" xfId="93" xr:uid="{00000000-0005-0000-0000-0000B2000000}"/>
    <cellStyle name="קלט 4" xfId="88" xr:uid="{00000000-0005-0000-0000-0000B3000000}"/>
    <cellStyle name="קלט 5" xfId="105" xr:uid="{00000000-0005-0000-0000-0000B4000000}"/>
    <cellStyle name="קלט 6" xfId="124" xr:uid="{00000000-0005-0000-0000-0000B5000000}"/>
    <cellStyle name="תא מסומן 2" xfId="87" xr:uid="{00000000-0005-0000-0000-0000B8000000}"/>
    <cellStyle name="תא מסומן 3" xfId="95" xr:uid="{00000000-0005-0000-0000-0000B9000000}"/>
    <cellStyle name="תא מסומן 4" xfId="79" xr:uid="{00000000-0005-0000-0000-0000BA000000}"/>
    <cellStyle name="תא מסומן 5" xfId="82" xr:uid="{00000000-0005-0000-0000-0000B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3333FF"/>
      <rgbColor rgb="009999FF"/>
      <rgbColor rgb="00333333"/>
      <rgbColor rgb="00999999"/>
      <rgbColor rgb="006666FF"/>
      <rgbColor rgb="00666666"/>
      <rgbColor rgb="00CCCCFF"/>
      <rgbColor rgb="00CCCCCC"/>
      <rgbColor rgb="00000000"/>
      <rgbColor rgb="000000FF"/>
      <rgbColor rgb="00999999"/>
      <rgbColor rgb="009999FF"/>
      <rgbColor rgb="00333333"/>
      <rgbColor rgb="003333FF"/>
      <rgbColor rgb="00CCCCCC"/>
      <rgbColor rgb="00CCC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4821"/>
      <color rgb="FF996600"/>
      <color rgb="FF006600"/>
      <color rgb="FFFFFFFF"/>
      <color rgb="FFFFFFCC"/>
      <color rgb="FFFFFF99"/>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8.xml.rels><?xml version="1.0" encoding="UTF-8" standalone="yes"?>
<Relationships xmlns="http://schemas.openxmlformats.org/package/2006/relationships"><Relationship Id="rId1" Type="http://schemas.openxmlformats.org/officeDocument/2006/relationships/image" Target="../media/image23.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2019</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Split'!$AN$54</c:f>
              <c:strCache>
                <c:ptCount val="1"/>
                <c:pt idx="0">
                  <c:v>שיעור מגזרי מהרווח התפעולי 2019</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988E-4DD6-B8D2-F6E4D9D2409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988E-4DD6-B8D2-F6E4D9D2409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988E-4DD6-B8D2-F6E4D9D2409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2-988E-4DD6-B8D2-F6E4D9D2409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8E-4DD6-B8D2-F6E4D9D2409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D7F-464F-B56B-431AC002A39C}"/>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6-988E-4DD6-B8D2-F6E4D9D24092}"/>
                </c:ext>
              </c:extLst>
            </c:dLbl>
            <c:dLbl>
              <c:idx val="1"/>
              <c:layout>
                <c:manualLayout>
                  <c:x val="-0.12632831930491453"/>
                  <c:y val="-0.31169408414933353"/>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988E-4DD6-B8D2-F6E4D9D24092}"/>
                </c:ext>
              </c:extLst>
            </c:dLbl>
            <c:dLbl>
              <c:idx val="2"/>
              <c:layout>
                <c:manualLayout>
                  <c:x val="0.25596823981907918"/>
                  <c:y val="-0.1527238506951336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88E-4DD6-B8D2-F6E4D9D24092}"/>
                </c:ext>
              </c:extLst>
            </c:dLbl>
            <c:dLbl>
              <c:idx val="3"/>
              <c:layout>
                <c:manualLayout>
                  <c:x val="-7.8569141121510755E-2"/>
                  <c:y val="8.0451708242352052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88E-4DD6-B8D2-F6E4D9D24092}"/>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988E-4DD6-B8D2-F6E4D9D2409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Split'!$AN$55:$AN$60</c:f>
              <c:strCache>
                <c:ptCount val="6"/>
                <c:pt idx="0">
                  <c:v>אשלג</c:v>
                </c:pt>
                <c:pt idx="1">
                  <c:v>פתרונות פוספט</c:v>
                </c:pt>
                <c:pt idx="2">
                  <c:v>מוצרים תעשייתיים</c:v>
                </c:pt>
                <c:pt idx="3">
                  <c:v>פתרונות חדשניים לחקלאות</c:v>
                </c:pt>
                <c:pt idx="5">
                  <c:v>פעילויות אחרות</c:v>
                </c:pt>
              </c:strCache>
            </c:strRef>
          </c:cat>
          <c:val>
            <c:numRef>
              <c:f>'Reported Rev.. Split'!$AO$55:$AO$60</c:f>
              <c:numCache>
                <c:formatCode>0%</c:formatCode>
                <c:ptCount val="6"/>
                <c:pt idx="0">
                  <c:v>0.37679269882659711</c:v>
                </c:pt>
                <c:pt idx="1">
                  <c:v>0.1303780964797914</c:v>
                </c:pt>
                <c:pt idx="2">
                  <c:v>0.44067796610169491</c:v>
                </c:pt>
                <c:pt idx="3">
                  <c:v>2.7379400260756193E-2</c:v>
                </c:pt>
                <c:pt idx="5">
                  <c:v>2.4771838331160364E-2</c:v>
                </c:pt>
              </c:numCache>
            </c:numRef>
          </c:val>
          <c:extLst>
            <c:ext xmlns:c16="http://schemas.microsoft.com/office/drawing/2014/chart" uri="{C3380CC4-5D6E-409C-BE32-E72D297353CC}">
              <c16:uniqueId val="{00000000-988E-4DD6-B8D2-F6E4D9D24092}"/>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2012</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Split'!$AR$54</c:f>
              <c:strCache>
                <c:ptCount val="1"/>
                <c:pt idx="0">
                  <c:v>שיעור מגזרי מהרווח התפעולי 2013</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930-48CD-AD2B-B0FBFF485DB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930-48CD-AD2B-B0FBFF485DB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930-48CD-AD2B-B0FBFF485DB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930-48CD-AD2B-B0FBFF485DB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930-48CD-AD2B-B0FBFF485DB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22E-4BDF-B0E0-37D161324D99}"/>
              </c:ext>
            </c:extLst>
          </c:dPt>
          <c:dLbls>
            <c:dLbl>
              <c:idx val="0"/>
              <c:layout>
                <c:manualLayout>
                  <c:x val="-0.25408518417956377"/>
                  <c:y val="-0.18209256727401651"/>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8930-48CD-AD2B-B0FBFF485DB9}"/>
                </c:ext>
              </c:extLst>
            </c:dLbl>
            <c:dLbl>
              <c:idx val="1"/>
              <c:layout>
                <c:manualLayout>
                  <c:x val="0.17952191148520227"/>
                  <c:y val="-0.18439093515057309"/>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8930-48CD-AD2B-B0FBFF485DB9}"/>
                </c:ext>
              </c:extLst>
            </c:dLbl>
            <c:dLbl>
              <c:idx val="2"/>
              <c:layout>
                <c:manualLayout>
                  <c:x val="0.29826713729749299"/>
                  <c:y val="-5.557154392130101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930-48CD-AD2B-B0FBFF485DB9}"/>
                </c:ext>
              </c:extLst>
            </c:dLbl>
            <c:dLbl>
              <c:idx val="3"/>
              <c:layout>
                <c:manualLayout>
                  <c:x val="5.1132229161010047E-4"/>
                  <c:y val="0.2090501829224381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8930-48CD-AD2B-B0FBFF485DB9}"/>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8930-48CD-AD2B-B0FBFF485DB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Split'!$AN$55:$AN$60</c:f>
              <c:strCache>
                <c:ptCount val="6"/>
                <c:pt idx="0">
                  <c:v>אשלג</c:v>
                </c:pt>
                <c:pt idx="1">
                  <c:v>פתרונות פוספט</c:v>
                </c:pt>
                <c:pt idx="2">
                  <c:v>מוצרים תעשייתיים</c:v>
                </c:pt>
                <c:pt idx="3">
                  <c:v>פתרונות חדשניים לחקלאות</c:v>
                </c:pt>
                <c:pt idx="5">
                  <c:v>פעילויות אחרות</c:v>
                </c:pt>
              </c:strCache>
            </c:strRef>
          </c:cat>
          <c:val>
            <c:numRef>
              <c:f>'Reported Rev.. Split'!$AS$55:$AS$60</c:f>
              <c:numCache>
                <c:formatCode>0%</c:formatCode>
                <c:ptCount val="6"/>
                <c:pt idx="0">
                  <c:v>0.63101200295087045</c:v>
                </c:pt>
                <c:pt idx="1">
                  <c:v>0.10289989519976948</c:v>
                </c:pt>
                <c:pt idx="2">
                  <c:v>0.14609215454709518</c:v>
                </c:pt>
                <c:pt idx="3">
                  <c:v>0.11392829891178732</c:v>
                </c:pt>
                <c:pt idx="5">
                  <c:v>6.0676483904774266E-3</c:v>
                </c:pt>
              </c:numCache>
            </c:numRef>
          </c:val>
          <c:extLst>
            <c:ext xmlns:c16="http://schemas.microsoft.com/office/drawing/2014/chart" uri="{C3380CC4-5D6E-409C-BE32-E72D297353CC}">
              <c16:uniqueId val="{0000000A-8930-48CD-AD2B-B0FBFF485DB9}"/>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2021</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Split'!$AH$54</c:f>
              <c:strCache>
                <c:ptCount val="1"/>
                <c:pt idx="0">
                  <c:v>שיעור מגזרי מהרווח התפעולי 2021</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F99-4844-9D75-8C5E958DA41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F99-4844-9D75-8C5E958DA41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F99-4844-9D75-8C5E958DA41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F99-4844-9D75-8C5E958DA41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F99-4844-9D75-8C5E958DA41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BF99-4844-9D75-8C5E958DA41F}"/>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BF99-4844-9D75-8C5E958DA41F}"/>
                </c:ext>
              </c:extLst>
            </c:dLbl>
            <c:dLbl>
              <c:idx val="1"/>
              <c:layout>
                <c:manualLayout>
                  <c:x val="-0.12632831930491453"/>
                  <c:y val="-0.31169408414933353"/>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BF99-4844-9D75-8C5E958DA41F}"/>
                </c:ext>
              </c:extLst>
            </c:dLbl>
            <c:dLbl>
              <c:idx val="2"/>
              <c:layout>
                <c:manualLayout>
                  <c:x val="0.25596823981907918"/>
                  <c:y val="-0.1527238506951336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F99-4844-9D75-8C5E958DA41F}"/>
                </c:ext>
              </c:extLst>
            </c:dLbl>
            <c:dLbl>
              <c:idx val="3"/>
              <c:layout>
                <c:manualLayout>
                  <c:x val="8.6167066954468532E-2"/>
                  <c:y val="8.443405511811023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BF99-4844-9D75-8C5E958DA41F}"/>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BF99-4844-9D75-8C5E958DA41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Split'!$AH$55:$AH$60</c:f>
              <c:strCache>
                <c:ptCount val="6"/>
                <c:pt idx="0">
                  <c:v>אשלג</c:v>
                </c:pt>
                <c:pt idx="1">
                  <c:v>פתרונות פוספט</c:v>
                </c:pt>
                <c:pt idx="2">
                  <c:v>מוצרים תעשייתיים</c:v>
                </c:pt>
                <c:pt idx="3">
                  <c:v>פתרונות חדשניים לחקלאות</c:v>
                </c:pt>
                <c:pt idx="4">
                  <c:v>-</c:v>
                </c:pt>
                <c:pt idx="5">
                  <c:v>פעילויות אחרות</c:v>
                </c:pt>
              </c:strCache>
            </c:strRef>
          </c:cat>
          <c:val>
            <c:numRef>
              <c:f>'Reported Rev.. Split'!$AI$55:$AI$60</c:f>
              <c:numCache>
                <c:formatCode>0%</c:formatCode>
                <c:ptCount val="6"/>
                <c:pt idx="0">
                  <c:v>0.33417085427135679</c:v>
                </c:pt>
                <c:pt idx="1">
                  <c:v>0.25711892797319935</c:v>
                </c:pt>
                <c:pt idx="2">
                  <c:v>0.36432160804020103</c:v>
                </c:pt>
                <c:pt idx="3">
                  <c:v>0.10134003350083752</c:v>
                </c:pt>
                <c:pt idx="5">
                  <c:v>-5.0251256281407038E-2</c:v>
                </c:pt>
              </c:numCache>
            </c:numRef>
          </c:val>
          <c:extLst>
            <c:ext xmlns:c16="http://schemas.microsoft.com/office/drawing/2014/chart" uri="{C3380CC4-5D6E-409C-BE32-E72D297353CC}">
              <c16:uniqueId val="{0000000C-BF99-4844-9D75-8C5E958DA41F}"/>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a:t>
            </a:r>
            <a:r>
              <a:rPr lang="en-US" b="1" baseline="0">
                <a:solidFill>
                  <a:sysClr val="windowText" lastClr="000000"/>
                </a:solidFill>
              </a:rPr>
              <a:t>Q1-22</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Split'!$AC$54</c:f>
              <c:strCache>
                <c:ptCount val="1"/>
                <c:pt idx="0">
                  <c:v>שיעור מגזרי מהרווח התפעולי Q1-22</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0E0-4519-8645-56DCD04E2D3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0E0-4519-8645-56DCD04E2D3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0E0-4519-8645-56DCD04E2D3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0E0-4519-8645-56DCD04E2D3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0E0-4519-8645-56DCD04E2D3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0E0-4519-8645-56DCD04E2D34}"/>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60E0-4519-8645-56DCD04E2D34}"/>
                </c:ext>
              </c:extLst>
            </c:dLbl>
            <c:dLbl>
              <c:idx val="1"/>
              <c:layout>
                <c:manualLayout>
                  <c:x val="0.17938066443352041"/>
                  <c:y val="-0.29069681250473611"/>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60E0-4519-8645-56DCD04E2D34}"/>
                </c:ext>
              </c:extLst>
            </c:dLbl>
            <c:dLbl>
              <c:idx val="2"/>
              <c:layout>
                <c:manualLayout>
                  <c:x val="0.20440292339148214"/>
                  <c:y val="2.925331183995694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60E0-4519-8645-56DCD04E2D34}"/>
                </c:ext>
              </c:extLst>
            </c:dLbl>
            <c:dLbl>
              <c:idx val="3"/>
              <c:layout>
                <c:manualLayout>
                  <c:x val="0.1037512507069213"/>
                  <c:y val="0.1095324501760114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60E0-4519-8645-56DCD04E2D34}"/>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60E0-4519-8645-56DCD04E2D3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Split'!$AC$55:$AC$60</c:f>
              <c:strCache>
                <c:ptCount val="6"/>
                <c:pt idx="0">
                  <c:v>אשלג</c:v>
                </c:pt>
                <c:pt idx="1">
                  <c:v>פתרונות פוספט</c:v>
                </c:pt>
                <c:pt idx="2">
                  <c:v>מוצרים תעשייתיים</c:v>
                </c:pt>
                <c:pt idx="3">
                  <c:v>פתרונות חדשניים לחקלאות</c:v>
                </c:pt>
                <c:pt idx="4">
                  <c:v>-</c:v>
                </c:pt>
                <c:pt idx="5">
                  <c:v>פעילויות אחרות</c:v>
                </c:pt>
              </c:strCache>
            </c:strRef>
          </c:cat>
          <c:val>
            <c:numRef>
              <c:f>'Reported Rev.. Split'!$AD$55:$AD$60</c:f>
              <c:numCache>
                <c:formatCode>0%</c:formatCode>
                <c:ptCount val="6"/>
                <c:pt idx="0">
                  <c:v>0.46590909090909088</c:v>
                </c:pt>
                <c:pt idx="1">
                  <c:v>0.22727272727272727</c:v>
                </c:pt>
                <c:pt idx="2">
                  <c:v>0.21363636363636362</c:v>
                </c:pt>
                <c:pt idx="3">
                  <c:v>0.10568181818181818</c:v>
                </c:pt>
                <c:pt idx="5">
                  <c:v>-9.0909090909090905E-3</c:v>
                </c:pt>
              </c:numCache>
            </c:numRef>
          </c:val>
          <c:extLst>
            <c:ext xmlns:c16="http://schemas.microsoft.com/office/drawing/2014/chart" uri="{C3380CC4-5D6E-409C-BE32-E72D297353CC}">
              <c16:uniqueId val="{0000000C-60E0-4519-8645-56DCD04E2D34}"/>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'Consolidated Sector Results'!$Y$33</c:f>
              <c:strCache>
                <c:ptCount val="1"/>
                <c:pt idx="0">
                  <c:v>תעשיית הברום ריכוזית מאוד</c:v>
                </c:pt>
              </c:strCache>
            </c:strRef>
          </c:tx>
          <c:explosion val="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EF2-4D5F-8D96-3B59CFFB8DE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EF2-4D5F-8D96-3B59CFFB8DE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EF2-4D5F-8D96-3B59CFFB8DE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EF2-4D5F-8D96-3B59CFFB8DE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70C-47C9-AB60-C0401459EF1C}"/>
              </c:ext>
            </c:extLst>
          </c:dPt>
          <c:dLbls>
            <c:dLbl>
              <c:idx val="0"/>
              <c:layout>
                <c:manualLayout>
                  <c:x val="-0.20762664041994761"/>
                  <c:y val="5.228638086905799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F2-4D5F-8D96-3B59CFFB8DEE}"/>
                </c:ext>
              </c:extLst>
            </c:dLbl>
            <c:dLbl>
              <c:idx val="1"/>
              <c:layout>
                <c:manualLayout>
                  <c:x val="5.684361329833771E-2"/>
                  <c:y val="-0.302435112277632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F2-4D5F-8D96-3B59CFFB8DEE}"/>
                </c:ext>
              </c:extLst>
            </c:dLbl>
            <c:dLbl>
              <c:idx val="2"/>
              <c:layout>
                <c:manualLayout>
                  <c:x val="0.1831461067366579"/>
                  <c:y val="-0.1637281277340333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F2-4D5F-8D96-3B59CFFB8DEE}"/>
                </c:ext>
              </c:extLst>
            </c:dLbl>
            <c:dLbl>
              <c:idx val="3"/>
              <c:layout>
                <c:manualLayout>
                  <c:x val="0.15646576990376204"/>
                  <c:y val="5.984179060950714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EF2-4D5F-8D96-3B59CFFB8DE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'Consolidated Sector Results'!$Z$34:$Z$38</c:f>
              <c:strCache>
                <c:ptCount val="5"/>
                <c:pt idx="0">
                  <c:v>כיל</c:v>
                </c:pt>
                <c:pt idx="1">
                  <c:v>Lanxess</c:v>
                </c:pt>
                <c:pt idx="2">
                  <c:v>Albemrale</c:v>
                </c:pt>
                <c:pt idx="3">
                  <c:v>יצרניים סיניים</c:v>
                </c:pt>
                <c:pt idx="4">
                  <c:v>אחרים</c:v>
                </c:pt>
              </c:strCache>
            </c:strRef>
          </c:cat>
          <c:val>
            <c:numRef>
              <c:f>'Consolidated Sector Results'!$Y$34:$Y$38</c:f>
              <c:numCache>
                <c:formatCode>0%</c:formatCode>
                <c:ptCount val="5"/>
                <c:pt idx="0">
                  <c:v>0.39</c:v>
                </c:pt>
                <c:pt idx="1">
                  <c:v>0.23</c:v>
                </c:pt>
                <c:pt idx="2">
                  <c:v>0.17</c:v>
                </c:pt>
                <c:pt idx="3">
                  <c:v>0.11</c:v>
                </c:pt>
                <c:pt idx="4">
                  <c:v>0.1</c:v>
                </c:pt>
              </c:numCache>
            </c:numRef>
          </c:val>
          <c:extLst>
            <c:ext xmlns:c16="http://schemas.microsoft.com/office/drawing/2014/chart" uri="{C3380CC4-5D6E-409C-BE32-E72D297353CC}">
              <c16:uniqueId val="{00000006-3EF2-4D5F-8D96-3B59CFFB8DEE}"/>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278768233387397E-2"/>
          <c:y val="9.803959114426776E-2"/>
          <c:w val="0.81847649918962728"/>
          <c:h val="0.63921813426062468"/>
        </c:manualLayout>
      </c:layout>
      <c:barChart>
        <c:barDir val="col"/>
        <c:grouping val="clustered"/>
        <c:varyColors val="0"/>
        <c:ser>
          <c:idx val="0"/>
          <c:order val="0"/>
          <c:tx>
            <c:strRef>
              <c:f>'ייצור שנתי בעתיד'!#REF!</c:f>
              <c:strCache>
                <c:ptCount val="1"/>
                <c:pt idx="0">
                  <c:v>#REF!</c:v>
                </c:pt>
              </c:strCache>
            </c:strRef>
          </c:tx>
          <c:spPr>
            <a:solidFill>
              <a:schemeClr val="accent3">
                <a:lumMod val="60000"/>
                <a:lumOff val="40000"/>
              </a:schemeClr>
            </a:solidFill>
            <a:ln w="12700">
              <a:solidFill>
                <a:srgbClr val="000000"/>
              </a:solidFill>
              <a:prstDash val="solid"/>
            </a:ln>
          </c:spPr>
          <c:invertIfNegative val="0"/>
          <c:cat>
            <c:strRef>
              <c:f>'ייצור שנתי בעתיד'!$B$3:$K$3</c:f>
              <c:strCache>
                <c:ptCount val="2"/>
                <c:pt idx="0">
                  <c:v>2022A</c:v>
                </c:pt>
                <c:pt idx="1">
                  <c:v>2023A</c:v>
                </c:pt>
              </c:strCache>
            </c:strRef>
          </c:cat>
          <c:val>
            <c:numRef>
              <c:f>'ייצור שנתי בעתיד (בשילוב חברה) '!#REF!</c:f>
              <c:numCache>
                <c:formatCode>General</c:formatCode>
                <c:ptCount val="1"/>
                <c:pt idx="0">
                  <c:v>1</c:v>
                </c:pt>
              </c:numCache>
            </c:numRef>
          </c:val>
          <c:extLst>
            <c:ext xmlns:c16="http://schemas.microsoft.com/office/drawing/2014/chart" uri="{C3380CC4-5D6E-409C-BE32-E72D297353CC}">
              <c16:uniqueId val="{00000000-1D5D-43FC-A266-C998D9AC1FF6}"/>
            </c:ext>
          </c:extLst>
        </c:ser>
        <c:dLbls>
          <c:showLegendKey val="0"/>
          <c:showVal val="0"/>
          <c:showCatName val="0"/>
          <c:showSerName val="0"/>
          <c:showPercent val="0"/>
          <c:showBubbleSize val="0"/>
        </c:dLbls>
        <c:gapWidth val="150"/>
        <c:axId val="248170032"/>
        <c:axId val="367570928"/>
      </c:barChart>
      <c:lineChart>
        <c:grouping val="standard"/>
        <c:varyColors val="0"/>
        <c:ser>
          <c:idx val="1"/>
          <c:order val="1"/>
          <c:tx>
            <c:strRef>
              <c:f>'ייצור שנתי בעתיד'!$A$33</c:f>
              <c:strCache>
                <c:ptCount val="1"/>
                <c:pt idx="0">
                  <c:v>ניצולת - צמיחה של 2.5%</c:v>
                </c:pt>
              </c:strCache>
            </c:strRef>
          </c:tx>
          <c:spPr>
            <a:ln w="25400">
              <a:solidFill>
                <a:srgbClr val="800080"/>
              </a:solidFill>
              <a:prstDash val="solid"/>
            </a:ln>
          </c:spPr>
          <c:marker>
            <c:symbol val="square"/>
            <c:size val="7"/>
            <c:spPr>
              <a:solidFill>
                <a:srgbClr val="FF0000"/>
              </a:solidFill>
              <a:ln>
                <a:solidFill>
                  <a:srgbClr val="800080"/>
                </a:solidFill>
                <a:prstDash val="solid"/>
              </a:ln>
            </c:spPr>
          </c:marker>
          <c:val>
            <c:numRef>
              <c:f>'ייצור שנתי בעתיד'!#REF!</c:f>
              <c:numCache>
                <c:formatCode>General</c:formatCode>
                <c:ptCount val="1"/>
                <c:pt idx="0">
                  <c:v>1</c:v>
                </c:pt>
              </c:numCache>
            </c:numRef>
          </c:val>
          <c:smooth val="0"/>
          <c:extLst>
            <c:ext xmlns:c16="http://schemas.microsoft.com/office/drawing/2014/chart" uri="{C3380CC4-5D6E-409C-BE32-E72D297353CC}">
              <c16:uniqueId val="{00000001-1D5D-43FC-A266-C998D9AC1FF6}"/>
            </c:ext>
          </c:extLst>
        </c:ser>
        <c:ser>
          <c:idx val="2"/>
          <c:order val="2"/>
          <c:tx>
            <c:strRef>
              <c:f>'ייצור שנתי בעתיד'!#REF!</c:f>
              <c:strCache>
                <c:ptCount val="1"/>
                <c:pt idx="0">
                  <c:v>#REF!</c:v>
                </c:pt>
              </c:strCache>
            </c:strRef>
          </c:tx>
          <c:spPr>
            <a:ln w="25400">
              <a:solidFill>
                <a:srgbClr val="000080"/>
              </a:solidFill>
              <a:prstDash val="solid"/>
            </a:ln>
          </c:spPr>
          <c:marker>
            <c:symbol val="triangle"/>
            <c:size val="7"/>
            <c:spPr>
              <a:solidFill>
                <a:schemeClr val="tx2"/>
              </a:solidFill>
              <a:ln>
                <a:solidFill>
                  <a:srgbClr val="000080"/>
                </a:solidFill>
                <a:prstDash val="solid"/>
              </a:ln>
            </c:spPr>
          </c:marker>
          <c:val>
            <c:numRef>
              <c:f>'ייצור שנתי בעתיד'!#REF!</c:f>
              <c:numCache>
                <c:formatCode>General</c:formatCode>
                <c:ptCount val="1"/>
                <c:pt idx="0">
                  <c:v>1</c:v>
                </c:pt>
              </c:numCache>
            </c:numRef>
          </c:val>
          <c:smooth val="0"/>
          <c:extLst>
            <c:ext xmlns:c16="http://schemas.microsoft.com/office/drawing/2014/chart" uri="{C3380CC4-5D6E-409C-BE32-E72D297353CC}">
              <c16:uniqueId val="{00000002-1D5D-43FC-A266-C998D9AC1FF6}"/>
            </c:ext>
          </c:extLst>
        </c:ser>
        <c:dLbls>
          <c:showLegendKey val="0"/>
          <c:showVal val="0"/>
          <c:showCatName val="0"/>
          <c:showSerName val="0"/>
          <c:showPercent val="0"/>
          <c:showBubbleSize val="0"/>
        </c:dLbls>
        <c:marker val="1"/>
        <c:smooth val="0"/>
        <c:axId val="367571320"/>
        <c:axId val="367571712"/>
      </c:lineChart>
      <c:catAx>
        <c:axId val="2481700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0928"/>
        <c:crosses val="autoZero"/>
        <c:auto val="1"/>
        <c:lblAlgn val="ctr"/>
        <c:lblOffset val="100"/>
        <c:tickLblSkip val="1"/>
        <c:tickMarkSkip val="1"/>
        <c:noMultiLvlLbl val="0"/>
      </c:catAx>
      <c:valAx>
        <c:axId val="367570928"/>
        <c:scaling>
          <c:orientation val="minMax"/>
        </c:scaling>
        <c:delete val="0"/>
        <c:axPos val="l"/>
        <c:numFmt formatCode="0"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248170032"/>
        <c:crosses val="autoZero"/>
        <c:crossBetween val="between"/>
      </c:valAx>
      <c:catAx>
        <c:axId val="367571320"/>
        <c:scaling>
          <c:orientation val="minMax"/>
        </c:scaling>
        <c:delete val="1"/>
        <c:axPos val="b"/>
        <c:majorTickMark val="out"/>
        <c:minorTickMark val="none"/>
        <c:tickLblPos val="none"/>
        <c:crossAx val="367571712"/>
        <c:crosses val="autoZero"/>
        <c:auto val="1"/>
        <c:lblAlgn val="ctr"/>
        <c:lblOffset val="100"/>
        <c:noMultiLvlLbl val="0"/>
      </c:catAx>
      <c:valAx>
        <c:axId val="367571712"/>
        <c:scaling>
          <c:orientation val="minMax"/>
        </c:scaling>
        <c:delete val="0"/>
        <c:axPos val="r"/>
        <c:numFmt formatCode="0%" sourceLinked="0"/>
        <c:majorTickMark val="cross"/>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1320"/>
        <c:crosses val="max"/>
        <c:crossBetween val="between"/>
      </c:valAx>
      <c:spPr>
        <a:noFill/>
        <a:ln w="25400">
          <a:noFill/>
        </a:ln>
      </c:spPr>
    </c:plotArea>
    <c:legend>
      <c:legendPos val="b"/>
      <c:layout>
        <c:manualLayout>
          <c:xMode val="edge"/>
          <c:yMode val="edge"/>
          <c:x val="0.12124843945068671"/>
          <c:y val="0.88627780350985563"/>
          <c:w val="0.79197794095962726"/>
          <c:h val="6.5359888837424732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089" r="0.75000000000000089"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278768233387397E-2"/>
          <c:y val="9.8039591144267774E-2"/>
          <c:w val="0.81847649918962728"/>
          <c:h val="0.63921813426062468"/>
        </c:manualLayout>
      </c:layout>
      <c:barChart>
        <c:barDir val="col"/>
        <c:grouping val="clustered"/>
        <c:varyColors val="0"/>
        <c:ser>
          <c:idx val="0"/>
          <c:order val="0"/>
          <c:tx>
            <c:strRef>
              <c:f>'ייצור שנתי בעתיד'!$A$30</c:f>
              <c:strCache>
                <c:ptCount val="1"/>
                <c:pt idx="0">
                  <c:v>היצע צפוי בפועל</c:v>
                </c:pt>
              </c:strCache>
            </c:strRef>
          </c:tx>
          <c:spPr>
            <a:solidFill>
              <a:schemeClr val="accent3">
                <a:lumMod val="60000"/>
                <a:lumOff val="40000"/>
              </a:schemeClr>
            </a:solidFill>
            <a:ln w="12700">
              <a:solidFill>
                <a:srgbClr val="000000"/>
              </a:solidFill>
              <a:prstDash val="solid"/>
            </a:ln>
          </c:spPr>
          <c:invertIfNegative val="0"/>
          <c:cat>
            <c:strRef>
              <c:f>'ייצור שנתי בעתיד'!$B$3:$R$3</c:f>
              <c:strCache>
                <c:ptCount val="16"/>
                <c:pt idx="0">
                  <c:v>2015A</c:v>
                </c:pt>
                <c:pt idx="1">
                  <c:v>2016A</c:v>
                </c:pt>
                <c:pt idx="2">
                  <c:v>2017A</c:v>
                </c:pt>
                <c:pt idx="3">
                  <c:v>2018A</c:v>
                </c:pt>
                <c:pt idx="4">
                  <c:v>2019A</c:v>
                </c:pt>
                <c:pt idx="5">
                  <c:v>2020A</c:v>
                </c:pt>
                <c:pt idx="6">
                  <c:v>2021A</c:v>
                </c:pt>
                <c:pt idx="7">
                  <c:v>2022A</c:v>
                </c:pt>
                <c:pt idx="8">
                  <c:v>2023A</c:v>
                </c:pt>
                <c:pt idx="9">
                  <c:v>2024A</c:v>
                </c:pt>
                <c:pt idx="10">
                  <c:v>2025E</c:v>
                </c:pt>
                <c:pt idx="11">
                  <c:v>2026E</c:v>
                </c:pt>
                <c:pt idx="12">
                  <c:v>2027E</c:v>
                </c:pt>
                <c:pt idx="13">
                  <c:v>2028E</c:v>
                </c:pt>
                <c:pt idx="14">
                  <c:v>2029E</c:v>
                </c:pt>
                <c:pt idx="15">
                  <c:v>2030E</c:v>
                </c:pt>
              </c:strCache>
            </c:strRef>
          </c:cat>
          <c:val>
            <c:numRef>
              <c:f>'ייצור שנתי בעתיד'!$B$30:$R$30</c:f>
              <c:numCache>
                <c:formatCode>0.0</c:formatCode>
                <c:ptCount val="16"/>
                <c:pt idx="0">
                  <c:v>67.383559999999989</c:v>
                </c:pt>
                <c:pt idx="1">
                  <c:v>67.272239999999996</c:v>
                </c:pt>
                <c:pt idx="2">
                  <c:v>71.890639999999991</c:v>
                </c:pt>
                <c:pt idx="3">
                  <c:v>71.928360000000026</c:v>
                </c:pt>
                <c:pt idx="4">
                  <c:v>73.050760000000011</c:v>
                </c:pt>
                <c:pt idx="5">
                  <c:v>74.743560000000031</c:v>
                </c:pt>
                <c:pt idx="6">
                  <c:v>75.994759999999999</c:v>
                </c:pt>
                <c:pt idx="7">
                  <c:v>68.632000000000005</c:v>
                </c:pt>
                <c:pt idx="8">
                  <c:v>73.438999999999993</c:v>
                </c:pt>
                <c:pt idx="9">
                  <c:v>76.432680000000005</c:v>
                </c:pt>
                <c:pt idx="10">
                  <c:v>77.858679999999993</c:v>
                </c:pt>
                <c:pt idx="11">
                  <c:v>83.781639999999996</c:v>
                </c:pt>
                <c:pt idx="12">
                  <c:v>88.662239999999997</c:v>
                </c:pt>
                <c:pt idx="13">
                  <c:v>91.649479999999997</c:v>
                </c:pt>
                <c:pt idx="14">
                  <c:v>95.817080000000004</c:v>
                </c:pt>
                <c:pt idx="15">
                  <c:v>96.474879999999999</c:v>
                </c:pt>
              </c:numCache>
            </c:numRef>
          </c:val>
          <c:extLst>
            <c:ext xmlns:c16="http://schemas.microsoft.com/office/drawing/2014/chart" uri="{C3380CC4-5D6E-409C-BE32-E72D297353CC}">
              <c16:uniqueId val="{00000000-002C-43B7-BA08-01023396B9BF}"/>
            </c:ext>
          </c:extLst>
        </c:ser>
        <c:dLbls>
          <c:showLegendKey val="0"/>
          <c:showVal val="0"/>
          <c:showCatName val="0"/>
          <c:showSerName val="0"/>
          <c:showPercent val="0"/>
          <c:showBubbleSize val="0"/>
        </c:dLbls>
        <c:gapWidth val="150"/>
        <c:axId val="367572496"/>
        <c:axId val="367572888"/>
      </c:barChart>
      <c:lineChart>
        <c:grouping val="standard"/>
        <c:varyColors val="0"/>
        <c:ser>
          <c:idx val="1"/>
          <c:order val="1"/>
          <c:tx>
            <c:strRef>
              <c:f>'ייצור שנתי בעתיד'!$A$33</c:f>
              <c:strCache>
                <c:ptCount val="1"/>
                <c:pt idx="0">
                  <c:v>ניצולת - צמיחה של 2.5%</c:v>
                </c:pt>
              </c:strCache>
            </c:strRef>
          </c:tx>
          <c:spPr>
            <a:ln w="25400">
              <a:solidFill>
                <a:srgbClr val="800080"/>
              </a:solidFill>
              <a:prstDash val="solid"/>
            </a:ln>
          </c:spPr>
          <c:marker>
            <c:symbol val="square"/>
            <c:size val="7"/>
            <c:spPr>
              <a:solidFill>
                <a:srgbClr val="FF0000"/>
              </a:solidFill>
              <a:ln>
                <a:solidFill>
                  <a:srgbClr val="800080"/>
                </a:solidFill>
                <a:prstDash val="solid"/>
              </a:ln>
            </c:spPr>
          </c:marker>
          <c:val>
            <c:numRef>
              <c:f>'ייצור שנתי בעתיד'!$B$33:$R$33</c:f>
              <c:numCache>
                <c:formatCode>0.0%</c:formatCode>
                <c:ptCount val="16"/>
                <c:pt idx="0">
                  <c:v>0.9275259425296023</c:v>
                </c:pt>
                <c:pt idx="1">
                  <c:v>0.92162829719955819</c:v>
                </c:pt>
                <c:pt idx="2">
                  <c:v>0.92501610779929078</c:v>
                </c:pt>
                <c:pt idx="3">
                  <c:v>0.96623918576761625</c:v>
                </c:pt>
                <c:pt idx="4">
                  <c:v>0.91032591584262768</c:v>
                </c:pt>
                <c:pt idx="5">
                  <c:v>0.96329369379783314</c:v>
                </c:pt>
                <c:pt idx="6">
                  <c:v>0.93427494211442996</c:v>
                </c:pt>
                <c:pt idx="7" formatCode="0%">
                  <c:v>0.87422776547383141</c:v>
                </c:pt>
                <c:pt idx="8">
                  <c:v>0.88508830457931076</c:v>
                </c:pt>
                <c:pt idx="9">
                  <c:v>0.91583861772215758</c:v>
                </c:pt>
                <c:pt idx="10">
                  <c:v>0.9504399509470236</c:v>
                </c:pt>
                <c:pt idx="11">
                  <c:v>0.90532961636940978</c:v>
                </c:pt>
                <c:pt idx="12">
                  <c:v>0.87688118414332861</c:v>
                </c:pt>
                <c:pt idx="13">
                  <c:v>0.86950745656167372</c:v>
                </c:pt>
                <c:pt idx="14">
                  <c:v>0.85248009964663884</c:v>
                </c:pt>
                <c:pt idx="15">
                  <c:v>0.86783427721191475</c:v>
                </c:pt>
              </c:numCache>
            </c:numRef>
          </c:val>
          <c:smooth val="0"/>
          <c:extLst>
            <c:ext xmlns:c16="http://schemas.microsoft.com/office/drawing/2014/chart" uri="{C3380CC4-5D6E-409C-BE32-E72D297353CC}">
              <c16:uniqueId val="{00000001-002C-43B7-BA08-01023396B9BF}"/>
            </c:ext>
          </c:extLst>
        </c:ser>
        <c:ser>
          <c:idx val="2"/>
          <c:order val="2"/>
          <c:tx>
            <c:strRef>
              <c:f>'ייצור שנתי בעתיד'!$A$34</c:f>
              <c:strCache>
                <c:ptCount val="1"/>
                <c:pt idx="0">
                  <c:v>ניצולת - צמיחה של 3%</c:v>
                </c:pt>
              </c:strCache>
            </c:strRef>
          </c:tx>
          <c:spPr>
            <a:ln w="25400">
              <a:solidFill>
                <a:srgbClr val="000080"/>
              </a:solidFill>
              <a:prstDash val="solid"/>
            </a:ln>
          </c:spPr>
          <c:marker>
            <c:symbol val="triangle"/>
            <c:size val="7"/>
            <c:spPr>
              <a:solidFill>
                <a:schemeClr val="tx2"/>
              </a:solidFill>
              <a:ln>
                <a:solidFill>
                  <a:srgbClr val="000080"/>
                </a:solidFill>
                <a:prstDash val="solid"/>
              </a:ln>
            </c:spPr>
          </c:marker>
          <c:val>
            <c:numRef>
              <c:f>'ייצור שנתי בעתיד'!$B$34:$R$34</c:f>
              <c:numCache>
                <c:formatCode>0.0%</c:formatCode>
                <c:ptCount val="16"/>
                <c:pt idx="0">
                  <c:v>0.9275259425296023</c:v>
                </c:pt>
                <c:pt idx="1">
                  <c:v>0.92162829719955819</c:v>
                </c:pt>
                <c:pt idx="2">
                  <c:v>0.92501610779929078</c:v>
                </c:pt>
                <c:pt idx="3">
                  <c:v>0.96623918576761625</c:v>
                </c:pt>
                <c:pt idx="4">
                  <c:v>0.91032591584262768</c:v>
                </c:pt>
                <c:pt idx="5">
                  <c:v>0.96329369379783314</c:v>
                </c:pt>
                <c:pt idx="6">
                  <c:v>0.93427494211442996</c:v>
                </c:pt>
                <c:pt idx="7" formatCode="0%">
                  <c:v>0.87422776547383141</c:v>
                </c:pt>
                <c:pt idx="8">
                  <c:v>0.88508830457931076</c:v>
                </c:pt>
                <c:pt idx="9">
                  <c:v>0.91583861772215758</c:v>
                </c:pt>
                <c:pt idx="10">
                  <c:v>0.9504399509470236</c:v>
                </c:pt>
                <c:pt idx="11">
                  <c:v>0.90974585840048017</c:v>
                </c:pt>
                <c:pt idx="12">
                  <c:v>0.88545698822858532</c:v>
                </c:pt>
                <c:pt idx="13">
                  <c:v>0.88229412758261161</c:v>
                </c:pt>
                <c:pt idx="14">
                  <c:v>0.86923596440217132</c:v>
                </c:pt>
                <c:pt idx="15">
                  <c:v>0.88920848098696792</c:v>
                </c:pt>
              </c:numCache>
            </c:numRef>
          </c:val>
          <c:smooth val="0"/>
          <c:extLst>
            <c:ext xmlns:c16="http://schemas.microsoft.com/office/drawing/2014/chart" uri="{C3380CC4-5D6E-409C-BE32-E72D297353CC}">
              <c16:uniqueId val="{00000002-002C-43B7-BA08-01023396B9BF}"/>
            </c:ext>
          </c:extLst>
        </c:ser>
        <c:dLbls>
          <c:showLegendKey val="0"/>
          <c:showVal val="0"/>
          <c:showCatName val="0"/>
          <c:showSerName val="0"/>
          <c:showPercent val="0"/>
          <c:showBubbleSize val="0"/>
        </c:dLbls>
        <c:marker val="1"/>
        <c:smooth val="0"/>
        <c:axId val="367573280"/>
        <c:axId val="367573672"/>
      </c:lineChart>
      <c:catAx>
        <c:axId val="3675724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2888"/>
        <c:crosses val="autoZero"/>
        <c:auto val="1"/>
        <c:lblAlgn val="ctr"/>
        <c:lblOffset val="100"/>
        <c:tickLblSkip val="1"/>
        <c:tickMarkSkip val="1"/>
        <c:noMultiLvlLbl val="0"/>
      </c:catAx>
      <c:valAx>
        <c:axId val="367572888"/>
        <c:scaling>
          <c:orientation val="minMax"/>
          <c:max val="100"/>
        </c:scaling>
        <c:delete val="0"/>
        <c:axPos val="l"/>
        <c:numFmt formatCode="0"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2496"/>
        <c:crosses val="autoZero"/>
        <c:crossBetween val="between"/>
      </c:valAx>
      <c:catAx>
        <c:axId val="367573280"/>
        <c:scaling>
          <c:orientation val="minMax"/>
        </c:scaling>
        <c:delete val="1"/>
        <c:axPos val="b"/>
        <c:numFmt formatCode="General" sourceLinked="1"/>
        <c:majorTickMark val="out"/>
        <c:minorTickMark val="none"/>
        <c:tickLblPos val="none"/>
        <c:crossAx val="367573672"/>
        <c:crosses val="autoZero"/>
        <c:auto val="1"/>
        <c:lblAlgn val="ctr"/>
        <c:lblOffset val="100"/>
        <c:noMultiLvlLbl val="0"/>
      </c:catAx>
      <c:valAx>
        <c:axId val="367573672"/>
        <c:scaling>
          <c:orientation val="minMax"/>
          <c:max val="1"/>
          <c:min val="0.75000000000000011"/>
        </c:scaling>
        <c:delete val="0"/>
        <c:axPos val="r"/>
        <c:numFmt formatCode="0%" sourceLinked="0"/>
        <c:majorTickMark val="cross"/>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3280"/>
        <c:crosses val="max"/>
        <c:crossBetween val="between"/>
        <c:majorUnit val="1.0000000000000002E-2"/>
      </c:valAx>
      <c:spPr>
        <a:noFill/>
        <a:ln w="25400">
          <a:noFill/>
        </a:ln>
      </c:spPr>
    </c:plotArea>
    <c:legend>
      <c:legendPos val="b"/>
      <c:layout>
        <c:manualLayout>
          <c:xMode val="edge"/>
          <c:yMode val="edge"/>
          <c:x val="3.8673990887751059E-2"/>
          <c:y val="0.88627780350985563"/>
          <c:w val="0.91098222011865981"/>
          <c:h val="6.5359888837424732E-2"/>
        </c:manualLayout>
      </c:layout>
      <c:overlay val="0"/>
      <c:spPr>
        <a:solidFill>
          <a:srgbClr val="FFFFFF"/>
        </a:solidFill>
        <a:ln w="3175">
          <a:solidFill>
            <a:srgbClr val="000000"/>
          </a:solidFill>
          <a:prstDash val="solid"/>
        </a:ln>
      </c:spPr>
      <c:txPr>
        <a:bodyPr/>
        <a:lstStyle/>
        <a:p>
          <a:pPr>
            <a:defRPr sz="90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1" r="0.750000000000001"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b="1">
                <a:solidFill>
                  <a:schemeClr val="tx1"/>
                </a:solidFill>
              </a:rPr>
              <a:t>תחזית</a:t>
            </a:r>
            <a:r>
              <a:rPr lang="he-IL" b="1" baseline="0">
                <a:solidFill>
                  <a:schemeClr val="tx1"/>
                </a:solidFill>
              </a:rPr>
              <a:t> ה- </a:t>
            </a:r>
            <a:r>
              <a:rPr lang="en-US" b="1" baseline="0">
                <a:solidFill>
                  <a:schemeClr val="tx1"/>
                </a:solidFill>
              </a:rPr>
              <a:t>EBITDA</a:t>
            </a:r>
            <a:r>
              <a:rPr lang="he-IL" b="1" baseline="0">
                <a:solidFill>
                  <a:schemeClr val="tx1"/>
                </a:solidFill>
              </a:rPr>
              <a:t> (מ' $)</a:t>
            </a:r>
            <a:endParaRPr lang="he-IL"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'ריכוז תוצאות EBITDA ו- FFO'!$F$5:$F$12</c:f>
              <c:strCache>
                <c:ptCount val="8"/>
                <c:pt idx="0">
                  <c:v>2020A</c:v>
                </c:pt>
                <c:pt idx="1">
                  <c:v>2021A</c:v>
                </c:pt>
                <c:pt idx="2">
                  <c:v>2022A</c:v>
                </c:pt>
                <c:pt idx="3">
                  <c:v>2023A</c:v>
                </c:pt>
                <c:pt idx="4">
                  <c:v>2024A</c:v>
                </c:pt>
                <c:pt idx="5">
                  <c:v>2025E</c:v>
                </c:pt>
                <c:pt idx="6">
                  <c:v>2026E</c:v>
                </c:pt>
                <c:pt idx="7">
                  <c:v>2027E</c:v>
                </c:pt>
              </c:strCache>
            </c:strRef>
          </c:cat>
          <c:val>
            <c:numRef>
              <c:f>'ריכוז תוצאות EBITDA ו- FFO'!$G$5:$G$12</c:f>
              <c:numCache>
                <c:formatCode>#,##0</c:formatCode>
                <c:ptCount val="8"/>
                <c:pt idx="0">
                  <c:v>781</c:v>
                </c:pt>
                <c:pt idx="1">
                  <c:v>1694</c:v>
                </c:pt>
                <c:pt idx="2">
                  <c:v>4014</c:v>
                </c:pt>
                <c:pt idx="3">
                  <c:v>1677</c:v>
                </c:pt>
                <c:pt idx="4">
                  <c:v>1371</c:v>
                </c:pt>
                <c:pt idx="5">
                  <c:v>1496.3788977342315</c:v>
                </c:pt>
                <c:pt idx="6">
                  <c:v>1659.7800845423592</c:v>
                </c:pt>
                <c:pt idx="7">
                  <c:v>1620.26367802</c:v>
                </c:pt>
              </c:numCache>
            </c:numRef>
          </c:val>
          <c:extLst>
            <c:ext xmlns:c16="http://schemas.microsoft.com/office/drawing/2014/chart" uri="{C3380CC4-5D6E-409C-BE32-E72D297353CC}">
              <c16:uniqueId val="{00000000-22F8-47C4-A316-DF821780FC0D}"/>
            </c:ext>
          </c:extLst>
        </c:ser>
        <c:dLbls>
          <c:showLegendKey val="0"/>
          <c:showVal val="0"/>
          <c:showCatName val="0"/>
          <c:showSerName val="0"/>
          <c:showPercent val="0"/>
          <c:showBubbleSize val="0"/>
        </c:dLbls>
        <c:gapWidth val="150"/>
        <c:shape val="box"/>
        <c:axId val="290983504"/>
        <c:axId val="54541456"/>
        <c:axId val="604333584"/>
      </c:bar3DChart>
      <c:catAx>
        <c:axId val="290983504"/>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4541456"/>
        <c:crosses val="autoZero"/>
        <c:auto val="1"/>
        <c:lblAlgn val="ctr"/>
        <c:lblOffset val="100"/>
        <c:noMultiLvlLbl val="0"/>
      </c:catAx>
      <c:valAx>
        <c:axId val="54541456"/>
        <c:scaling>
          <c:orientation val="minMax"/>
          <c:max val="4200"/>
          <c:min val="0"/>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90983504"/>
        <c:crosses val="autoZero"/>
        <c:crossBetween val="between"/>
        <c:majorUnit val="500"/>
      </c:valAx>
      <c:serAx>
        <c:axId val="604333584"/>
        <c:scaling>
          <c:orientation val="minMax"/>
        </c:scaling>
        <c:delete val="1"/>
        <c:axPos val="b"/>
        <c:majorTickMark val="none"/>
        <c:minorTickMark val="none"/>
        <c:tickLblPos val="nextTo"/>
        <c:crossAx val="5454145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b="1">
                <a:solidFill>
                  <a:schemeClr val="tx1"/>
                </a:solidFill>
              </a:rPr>
              <a:t>תחזית</a:t>
            </a:r>
            <a:r>
              <a:rPr lang="he-IL" b="1" baseline="0">
                <a:solidFill>
                  <a:schemeClr val="tx1"/>
                </a:solidFill>
              </a:rPr>
              <a:t> ה- </a:t>
            </a:r>
            <a:r>
              <a:rPr lang="en-US" b="1" baseline="0">
                <a:solidFill>
                  <a:schemeClr val="tx1"/>
                </a:solidFill>
              </a:rPr>
              <a:t>FFO</a:t>
            </a:r>
            <a:r>
              <a:rPr lang="he-IL" b="1" baseline="0">
                <a:solidFill>
                  <a:schemeClr val="tx1"/>
                </a:solidFill>
              </a:rPr>
              <a:t> (מ' $)</a:t>
            </a:r>
            <a:endParaRPr lang="he-IL"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3">
                <a:lumMod val="5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'ריכוז תוצאות EBITDA ו- FFO'!$F$15:$F$22</c:f>
              <c:strCache>
                <c:ptCount val="8"/>
                <c:pt idx="0">
                  <c:v>2020A</c:v>
                </c:pt>
                <c:pt idx="1">
                  <c:v>2021A</c:v>
                </c:pt>
                <c:pt idx="2">
                  <c:v>2022A</c:v>
                </c:pt>
                <c:pt idx="3">
                  <c:v>2023A</c:v>
                </c:pt>
                <c:pt idx="4">
                  <c:v>2024E</c:v>
                </c:pt>
                <c:pt idx="5">
                  <c:v>2025E</c:v>
                </c:pt>
                <c:pt idx="6">
                  <c:v>2026E</c:v>
                </c:pt>
                <c:pt idx="7">
                  <c:v>2027E</c:v>
                </c:pt>
              </c:strCache>
            </c:strRef>
          </c:cat>
          <c:val>
            <c:numRef>
              <c:f>'ריכוז תוצאות EBITDA ו- FFO'!$G$15:$G$22</c:f>
              <c:numCache>
                <c:formatCode>#,##0</c:formatCode>
                <c:ptCount val="8"/>
                <c:pt idx="0">
                  <c:v>696</c:v>
                </c:pt>
                <c:pt idx="1">
                  <c:v>1368</c:v>
                </c:pt>
                <c:pt idx="2">
                  <c:v>2670</c:v>
                </c:pt>
                <c:pt idx="3">
                  <c:v>1163</c:v>
                </c:pt>
                <c:pt idx="4">
                  <c:v>1158</c:v>
                </c:pt>
                <c:pt idx="5">
                  <c:v>1163.3720630740968</c:v>
                </c:pt>
                <c:pt idx="6">
                  <c:v>1279.6674701701581</c:v>
                </c:pt>
                <c:pt idx="7">
                  <c:v>1227.9635791962</c:v>
                </c:pt>
              </c:numCache>
            </c:numRef>
          </c:val>
          <c:extLst>
            <c:ext xmlns:c16="http://schemas.microsoft.com/office/drawing/2014/chart" uri="{C3380CC4-5D6E-409C-BE32-E72D297353CC}">
              <c16:uniqueId val="{00000000-DD6A-483B-87CC-15A274828F4D}"/>
            </c:ext>
          </c:extLst>
        </c:ser>
        <c:dLbls>
          <c:showLegendKey val="0"/>
          <c:showVal val="0"/>
          <c:showCatName val="0"/>
          <c:showSerName val="0"/>
          <c:showPercent val="0"/>
          <c:showBubbleSize val="0"/>
        </c:dLbls>
        <c:gapWidth val="150"/>
        <c:shape val="box"/>
        <c:axId val="290983504"/>
        <c:axId val="54541456"/>
        <c:axId val="604333584"/>
      </c:bar3DChart>
      <c:catAx>
        <c:axId val="290983504"/>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4541456"/>
        <c:crosses val="autoZero"/>
        <c:auto val="1"/>
        <c:lblAlgn val="ctr"/>
        <c:lblOffset val="100"/>
        <c:noMultiLvlLbl val="0"/>
      </c:catAx>
      <c:valAx>
        <c:axId val="54541456"/>
        <c:scaling>
          <c:orientation val="minMax"/>
          <c:max val="2700"/>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90983504"/>
        <c:crosses val="autoZero"/>
        <c:crossBetween val="between"/>
        <c:majorUnit val="300"/>
      </c:valAx>
      <c:serAx>
        <c:axId val="604333584"/>
        <c:scaling>
          <c:orientation val="minMax"/>
        </c:scaling>
        <c:delete val="1"/>
        <c:axPos val="b"/>
        <c:majorTickMark val="none"/>
        <c:minorTickMark val="none"/>
        <c:tickLblPos val="nextTo"/>
        <c:crossAx val="5454145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he-IL" b="1">
                <a:solidFill>
                  <a:schemeClr val="tx1"/>
                </a:solidFill>
              </a:rPr>
              <a:t>תחזית ה- </a:t>
            </a:r>
            <a:r>
              <a:rPr lang="en-US" b="1">
                <a:solidFill>
                  <a:schemeClr val="tx1"/>
                </a:solidFill>
              </a:rPr>
              <a:t>EBITDA </a:t>
            </a:r>
            <a:r>
              <a:rPr lang="he-IL" b="1" baseline="0">
                <a:solidFill>
                  <a:schemeClr val="tx1"/>
                </a:solidFill>
              </a:rPr>
              <a:t> (מ'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dLbl>
              <c:idx val="0"/>
              <c:layout>
                <c:manualLayout>
                  <c:x val="-1.3888888888888788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62-4ED9-A03D-5EC5B0C55F5C}"/>
                </c:ext>
              </c:extLst>
            </c:dLbl>
            <c:dLbl>
              <c:idx val="1"/>
              <c:layout>
                <c:manualLayout>
                  <c:x val="-8.3333333333333332E-3"/>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62-4ED9-A03D-5EC5B0C55F5C}"/>
                </c:ext>
              </c:extLst>
            </c:dLbl>
            <c:dLbl>
              <c:idx val="2"/>
              <c:layout>
                <c:manualLayout>
                  <c:x val="0"/>
                  <c:y val="-2.3148148148148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62-4ED9-A03D-5EC5B0C55F5C}"/>
                </c:ext>
              </c:extLst>
            </c:dLbl>
            <c:dLbl>
              <c:idx val="3"/>
              <c:layout>
                <c:manualLayout>
                  <c:x val="-5.0925337632079971E-1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62-4ED9-A03D-5EC5B0C55F5C}"/>
                </c:ext>
              </c:extLst>
            </c:dLbl>
            <c:dLbl>
              <c:idx val="4"/>
              <c:layout>
                <c:manualLayout>
                  <c:x val="-1.111111111111105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C62-4ED9-A03D-5EC5B0C55F5C}"/>
                </c:ext>
              </c:extLst>
            </c:dLbl>
            <c:dLbl>
              <c:idx val="5"/>
              <c:layout>
                <c:manualLayout>
                  <c:x val="-1.111111111111111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62-4ED9-A03D-5EC5B0C55F5C}"/>
                </c:ext>
              </c:extLst>
            </c:dLbl>
            <c:dLbl>
              <c:idx val="6"/>
              <c:layout>
                <c:manualLayout>
                  <c:x val="-1.111111111111109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C62-4ED9-A03D-5EC5B0C55F5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'ביצועים מול Peer'!$H$20:$H$26</c:f>
              <c:numCache>
                <c:formatCode>General</c:formatCode>
                <c:ptCount val="7"/>
                <c:pt idx="0">
                  <c:v>2020</c:v>
                </c:pt>
                <c:pt idx="1">
                  <c:v>2021</c:v>
                </c:pt>
                <c:pt idx="2">
                  <c:v>2022</c:v>
                </c:pt>
                <c:pt idx="3">
                  <c:v>2023</c:v>
                </c:pt>
                <c:pt idx="4">
                  <c:v>2024</c:v>
                </c:pt>
                <c:pt idx="5">
                  <c:v>2025</c:v>
                </c:pt>
                <c:pt idx="6">
                  <c:v>2026</c:v>
                </c:pt>
              </c:numCache>
            </c:numRef>
          </c:cat>
          <c:val>
            <c:numRef>
              <c:f>'ביצועים מול Peer'!$I$20:$I$26</c:f>
              <c:numCache>
                <c:formatCode>#,##0</c:formatCode>
                <c:ptCount val="7"/>
                <c:pt idx="0">
                  <c:v>781</c:v>
                </c:pt>
                <c:pt idx="1">
                  <c:v>1694</c:v>
                </c:pt>
                <c:pt idx="2">
                  <c:v>4014</c:v>
                </c:pt>
                <c:pt idx="3">
                  <c:v>1677</c:v>
                </c:pt>
                <c:pt idx="4">
                  <c:v>1371</c:v>
                </c:pt>
                <c:pt idx="5">
                  <c:v>1496.3788977342315</c:v>
                </c:pt>
                <c:pt idx="6">
                  <c:v>1659.7800845423592</c:v>
                </c:pt>
              </c:numCache>
            </c:numRef>
          </c:val>
          <c:extLst>
            <c:ext xmlns:c16="http://schemas.microsoft.com/office/drawing/2014/chart" uri="{C3380CC4-5D6E-409C-BE32-E72D297353CC}">
              <c16:uniqueId val="{00000000-9C62-4ED9-A03D-5EC5B0C55F5C}"/>
            </c:ext>
          </c:extLst>
        </c:ser>
        <c:dLbls>
          <c:showLegendKey val="0"/>
          <c:showVal val="0"/>
          <c:showCatName val="0"/>
          <c:showSerName val="0"/>
          <c:showPercent val="0"/>
          <c:showBubbleSize val="0"/>
        </c:dLbls>
        <c:gapWidth val="150"/>
        <c:shape val="box"/>
        <c:axId val="1784848719"/>
        <c:axId val="1792424719"/>
        <c:axId val="0"/>
      </c:bar3DChart>
      <c:catAx>
        <c:axId val="1784848719"/>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92424719"/>
        <c:crosses val="autoZero"/>
        <c:auto val="1"/>
        <c:lblAlgn val="ctr"/>
        <c:lblOffset val="100"/>
        <c:noMultiLvlLbl val="0"/>
      </c:catAx>
      <c:valAx>
        <c:axId val="1792424719"/>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84848719"/>
        <c:crosses val="autoZero"/>
        <c:crossBetween val="between"/>
        <c:majorUnit val="3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he-IL" b="1">
                <a:solidFill>
                  <a:schemeClr val="tx1"/>
                </a:solidFill>
              </a:rPr>
              <a:t>תחזית ה- </a:t>
            </a:r>
            <a:r>
              <a:rPr lang="en-US" b="1">
                <a:solidFill>
                  <a:schemeClr val="tx1"/>
                </a:solidFill>
              </a:rPr>
              <a:t>FFO </a:t>
            </a:r>
            <a:r>
              <a:rPr lang="he-IL" b="1" baseline="0">
                <a:solidFill>
                  <a:schemeClr val="tx1"/>
                </a:solidFill>
              </a:rPr>
              <a:t> (מ'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rgbClr val="004821"/>
            </a:solidFill>
            <a:ln>
              <a:noFill/>
            </a:ln>
            <a:effectLst/>
            <a:sp3d/>
          </c:spPr>
          <c:invertIfNegative val="0"/>
          <c:dLbls>
            <c:dLbl>
              <c:idx val="0"/>
              <c:layout>
                <c:manualLayout>
                  <c:x val="-1.3888888888888788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5A-409D-B742-21F543A59C10}"/>
                </c:ext>
              </c:extLst>
            </c:dLbl>
            <c:dLbl>
              <c:idx val="1"/>
              <c:layout>
                <c:manualLayout>
                  <c:x val="-8.3333333333333332E-3"/>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5A-409D-B742-21F543A59C10}"/>
                </c:ext>
              </c:extLst>
            </c:dLbl>
            <c:dLbl>
              <c:idx val="2"/>
              <c:layout>
                <c:manualLayout>
                  <c:x val="0"/>
                  <c:y val="-2.3148148148148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5A-409D-B742-21F543A59C10}"/>
                </c:ext>
              </c:extLst>
            </c:dLbl>
            <c:dLbl>
              <c:idx val="3"/>
              <c:layout>
                <c:manualLayout>
                  <c:x val="-5.0925337632079971E-1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5A-409D-B742-21F543A59C10}"/>
                </c:ext>
              </c:extLst>
            </c:dLbl>
            <c:dLbl>
              <c:idx val="4"/>
              <c:layout>
                <c:manualLayout>
                  <c:x val="-1.111111111111105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5A-409D-B742-21F543A59C10}"/>
                </c:ext>
              </c:extLst>
            </c:dLbl>
            <c:dLbl>
              <c:idx val="5"/>
              <c:layout>
                <c:manualLayout>
                  <c:x val="-1.111111111111111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5A-409D-B742-21F543A59C10}"/>
                </c:ext>
              </c:extLst>
            </c:dLbl>
            <c:dLbl>
              <c:idx val="6"/>
              <c:layout>
                <c:manualLayout>
                  <c:x val="-1.1110787334315681E-2"/>
                  <c:y val="-2.27299450359550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75A-409D-B742-21F543A59C1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'ביצועים מול Peer'!$H$20:$H$26</c:f>
              <c:numCache>
                <c:formatCode>General</c:formatCode>
                <c:ptCount val="7"/>
                <c:pt idx="0">
                  <c:v>2020</c:v>
                </c:pt>
                <c:pt idx="1">
                  <c:v>2021</c:v>
                </c:pt>
                <c:pt idx="2">
                  <c:v>2022</c:v>
                </c:pt>
                <c:pt idx="3">
                  <c:v>2023</c:v>
                </c:pt>
                <c:pt idx="4">
                  <c:v>2024</c:v>
                </c:pt>
                <c:pt idx="5">
                  <c:v>2025</c:v>
                </c:pt>
                <c:pt idx="6">
                  <c:v>2026</c:v>
                </c:pt>
              </c:numCache>
            </c:numRef>
          </c:cat>
          <c:val>
            <c:numRef>
              <c:f>'ביצועים מול Peer'!$J$20:$J$26</c:f>
              <c:numCache>
                <c:formatCode>#,##0</c:formatCode>
                <c:ptCount val="7"/>
                <c:pt idx="0">
                  <c:v>696</c:v>
                </c:pt>
                <c:pt idx="1">
                  <c:v>1368</c:v>
                </c:pt>
                <c:pt idx="2">
                  <c:v>2670</c:v>
                </c:pt>
                <c:pt idx="3">
                  <c:v>1163</c:v>
                </c:pt>
                <c:pt idx="4">
                  <c:v>1158</c:v>
                </c:pt>
                <c:pt idx="5">
                  <c:v>1163.3720630740968</c:v>
                </c:pt>
                <c:pt idx="6">
                  <c:v>1279.6674701701581</c:v>
                </c:pt>
              </c:numCache>
            </c:numRef>
          </c:val>
          <c:extLst>
            <c:ext xmlns:c16="http://schemas.microsoft.com/office/drawing/2014/chart" uri="{C3380CC4-5D6E-409C-BE32-E72D297353CC}">
              <c16:uniqueId val="{00000007-075A-409D-B742-21F543A59C10}"/>
            </c:ext>
          </c:extLst>
        </c:ser>
        <c:dLbls>
          <c:showLegendKey val="0"/>
          <c:showVal val="0"/>
          <c:showCatName val="0"/>
          <c:showSerName val="0"/>
          <c:showPercent val="0"/>
          <c:showBubbleSize val="0"/>
        </c:dLbls>
        <c:gapWidth val="150"/>
        <c:shape val="box"/>
        <c:axId val="1784848719"/>
        <c:axId val="1792424719"/>
        <c:axId val="0"/>
      </c:bar3DChart>
      <c:catAx>
        <c:axId val="1784848719"/>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92424719"/>
        <c:crosses val="autoZero"/>
        <c:auto val="1"/>
        <c:lblAlgn val="ctr"/>
        <c:lblOffset val="100"/>
        <c:noMultiLvlLbl val="0"/>
      </c:catAx>
      <c:valAx>
        <c:axId val="1792424719"/>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84848719"/>
        <c:crosses val="autoZero"/>
        <c:crossBetween val="between"/>
        <c:majorUnit val="3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Potash!$O$6</c:f>
              <c:strCache>
                <c:ptCount val="1"/>
                <c:pt idx="0">
                  <c:v>World production (K2O)</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Potash!$O$29:$O$115</c:f>
              <c:numCache>
                <c:formatCode>#,##0</c:formatCode>
                <c:ptCount val="87"/>
                <c:pt idx="0">
                  <c:v>1400000</c:v>
                </c:pt>
                <c:pt idx="1">
                  <c:v>1250000</c:v>
                </c:pt>
                <c:pt idx="2">
                  <c:v>1100000</c:v>
                </c:pt>
                <c:pt idx="3">
                  <c:v>1590000</c:v>
                </c:pt>
                <c:pt idx="4">
                  <c:v>1710000</c:v>
                </c:pt>
                <c:pt idx="5">
                  <c:v>2000000</c:v>
                </c:pt>
                <c:pt idx="6">
                  <c:v>2030000</c:v>
                </c:pt>
                <c:pt idx="7">
                  <c:v>2200000</c:v>
                </c:pt>
                <c:pt idx="8">
                  <c:v>2050000</c:v>
                </c:pt>
                <c:pt idx="9">
                  <c:v>1400000</c:v>
                </c:pt>
                <c:pt idx="10">
                  <c:v>1250000</c:v>
                </c:pt>
                <c:pt idx="11">
                  <c:v>1670000</c:v>
                </c:pt>
                <c:pt idx="12">
                  <c:v>1980000</c:v>
                </c:pt>
                <c:pt idx="13">
                  <c:v>2270000</c:v>
                </c:pt>
                <c:pt idx="14">
                  <c:v>2310000</c:v>
                </c:pt>
                <c:pt idx="15">
                  <c:v>2820000</c:v>
                </c:pt>
                <c:pt idx="16">
                  <c:v>3010000</c:v>
                </c:pt>
                <c:pt idx="17">
                  <c:v>2730000</c:v>
                </c:pt>
                <c:pt idx="18">
                  <c:v>2810000</c:v>
                </c:pt>
                <c:pt idx="19">
                  <c:v>3210000</c:v>
                </c:pt>
                <c:pt idx="20">
                  <c:v>3170000</c:v>
                </c:pt>
                <c:pt idx="21">
                  <c:v>3270000</c:v>
                </c:pt>
                <c:pt idx="22">
                  <c:v>3040000</c:v>
                </c:pt>
                <c:pt idx="23">
                  <c:v>1910000</c:v>
                </c:pt>
                <c:pt idx="24">
                  <c:v>2310000</c:v>
                </c:pt>
                <c:pt idx="25">
                  <c:v>2620000</c:v>
                </c:pt>
                <c:pt idx="26">
                  <c:v>2940000</c:v>
                </c:pt>
                <c:pt idx="27">
                  <c:v>2540000</c:v>
                </c:pt>
                <c:pt idx="28">
                  <c:v>3130000</c:v>
                </c:pt>
                <c:pt idx="29">
                  <c:v>5080000</c:v>
                </c:pt>
                <c:pt idx="30">
                  <c:v>5620000</c:v>
                </c:pt>
                <c:pt idx="31">
                  <c:v>5900000</c:v>
                </c:pt>
                <c:pt idx="32">
                  <c:v>6620000</c:v>
                </c:pt>
                <c:pt idx="33">
                  <c:v>7260000</c:v>
                </c:pt>
                <c:pt idx="34">
                  <c:v>7530000</c:v>
                </c:pt>
                <c:pt idx="35">
                  <c:v>7890000</c:v>
                </c:pt>
                <c:pt idx="36">
                  <c:v>7980000</c:v>
                </c:pt>
                <c:pt idx="37">
                  <c:v>8530000</c:v>
                </c:pt>
                <c:pt idx="38">
                  <c:v>9070000</c:v>
                </c:pt>
                <c:pt idx="39">
                  <c:v>9710000</c:v>
                </c:pt>
                <c:pt idx="40">
                  <c:v>9800000</c:v>
                </c:pt>
                <c:pt idx="41">
                  <c:v>11300000</c:v>
                </c:pt>
                <c:pt idx="42">
                  <c:v>12300000</c:v>
                </c:pt>
                <c:pt idx="43">
                  <c:v>13700000</c:v>
                </c:pt>
                <c:pt idx="44">
                  <c:v>14600000</c:v>
                </c:pt>
                <c:pt idx="45">
                  <c:v>15700000</c:v>
                </c:pt>
                <c:pt idx="46">
                  <c:v>16200000</c:v>
                </c:pt>
                <c:pt idx="47">
                  <c:v>17400000</c:v>
                </c:pt>
                <c:pt idx="48">
                  <c:v>18200000</c:v>
                </c:pt>
                <c:pt idx="49">
                  <c:v>19900000</c:v>
                </c:pt>
                <c:pt idx="50">
                  <c:v>20000000</c:v>
                </c:pt>
                <c:pt idx="51">
                  <c:v>18900000</c:v>
                </c:pt>
                <c:pt idx="52">
                  <c:v>21100000</c:v>
                </c:pt>
                <c:pt idx="53">
                  <c:v>24700000</c:v>
                </c:pt>
                <c:pt idx="54">
                  <c:v>24300000</c:v>
                </c:pt>
                <c:pt idx="55">
                  <c:v>25200000</c:v>
                </c:pt>
                <c:pt idx="56">
                  <c:v>26100000</c:v>
                </c:pt>
                <c:pt idx="57">
                  <c:v>25700000</c:v>
                </c:pt>
                <c:pt idx="58">
                  <c:v>27900000</c:v>
                </c:pt>
                <c:pt idx="59">
                  <c:v>27100000</c:v>
                </c:pt>
                <c:pt idx="60">
                  <c:v>24500000</c:v>
                </c:pt>
                <c:pt idx="61">
                  <c:v>27400000</c:v>
                </c:pt>
                <c:pt idx="62">
                  <c:v>29300000</c:v>
                </c:pt>
                <c:pt idx="63">
                  <c:v>29200000</c:v>
                </c:pt>
                <c:pt idx="64">
                  <c:v>28800000</c:v>
                </c:pt>
                <c:pt idx="65">
                  <c:v>30500000</c:v>
                </c:pt>
                <c:pt idx="66">
                  <c:v>31800000</c:v>
                </c:pt>
                <c:pt idx="67">
                  <c:v>29300000</c:v>
                </c:pt>
                <c:pt idx="68">
                  <c:v>27500000</c:v>
                </c:pt>
                <c:pt idx="69">
                  <c:v>26100000</c:v>
                </c:pt>
                <c:pt idx="70">
                  <c:v>23900000</c:v>
                </c:pt>
                <c:pt idx="71">
                  <c:v>20400000</c:v>
                </c:pt>
                <c:pt idx="72">
                  <c:v>23100000</c:v>
                </c:pt>
                <c:pt idx="73">
                  <c:v>24700000</c:v>
                </c:pt>
                <c:pt idx="74">
                  <c:v>23900000</c:v>
                </c:pt>
                <c:pt idx="75">
                  <c:v>25500000</c:v>
                </c:pt>
                <c:pt idx="76">
                  <c:v>26000000</c:v>
                </c:pt>
                <c:pt idx="77">
                  <c:v>27200000</c:v>
                </c:pt>
                <c:pt idx="78">
                  <c:v>27000000</c:v>
                </c:pt>
                <c:pt idx="79">
                  <c:v>26400000</c:v>
                </c:pt>
                <c:pt idx="80">
                  <c:v>27100000</c:v>
                </c:pt>
                <c:pt idx="81">
                  <c:v>28600000</c:v>
                </c:pt>
                <c:pt idx="82">
                  <c:v>32100000</c:v>
                </c:pt>
                <c:pt idx="83">
                  <c:v>33800000</c:v>
                </c:pt>
                <c:pt idx="84">
                  <c:v>31200000</c:v>
                </c:pt>
                <c:pt idx="85">
                  <c:v>35800000</c:v>
                </c:pt>
                <c:pt idx="86">
                  <c:v>34800000</c:v>
                </c:pt>
              </c:numCache>
            </c:numRef>
          </c:val>
          <c:smooth val="0"/>
          <c:extLst>
            <c:ext xmlns:c16="http://schemas.microsoft.com/office/drawing/2014/chart" uri="{C3380CC4-5D6E-409C-BE32-E72D297353CC}">
              <c16:uniqueId val="{00000000-F77B-47E0-8336-564069A5644A}"/>
            </c:ext>
          </c:extLst>
        </c:ser>
        <c:dLbls>
          <c:showLegendKey val="0"/>
          <c:showVal val="0"/>
          <c:showCatName val="0"/>
          <c:showSerName val="0"/>
          <c:showPercent val="0"/>
          <c:showBubbleSize val="0"/>
        </c:dLbls>
        <c:smooth val="0"/>
        <c:axId val="371046616"/>
        <c:axId val="373687928"/>
      </c:lineChart>
      <c:catAx>
        <c:axId val="371046616"/>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87928"/>
        <c:crosses val="autoZero"/>
        <c:auto val="1"/>
        <c:lblAlgn val="ctr"/>
        <c:lblOffset val="100"/>
        <c:noMultiLvlLbl val="0"/>
      </c:catAx>
      <c:valAx>
        <c:axId val="37368792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1046616"/>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0988" l="0.70000000000000062" r="0.70000000000000062" t="0.75000000000000988"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Potash!$G$6</c:f>
              <c:strCache>
                <c:ptCount val="1"/>
                <c:pt idx="0">
                  <c:v>potash value ($/t)</c:v>
                </c:pt>
              </c:strCache>
            </c:strRef>
          </c:tx>
          <c:marker>
            <c:symbol val="none"/>
          </c:marker>
          <c:cat>
            <c:numRef>
              <c:f>Potash!$A$29:$A$117</c:f>
              <c:numCache>
                <c:formatCode>0</c:formatCode>
                <c:ptCount val="89"/>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pt idx="87">
                  <c:v>2009</c:v>
                </c:pt>
                <c:pt idx="88">
                  <c:v>2010</c:v>
                </c:pt>
              </c:numCache>
            </c:numRef>
          </c:cat>
          <c:val>
            <c:numRef>
              <c:f>Potash!$G$29:$G$117</c:f>
              <c:numCache>
                <c:formatCode>#,##0.00</c:formatCode>
                <c:ptCount val="89"/>
                <c:pt idx="0">
                  <c:v>63.4</c:v>
                </c:pt>
                <c:pt idx="1">
                  <c:v>64</c:v>
                </c:pt>
                <c:pt idx="2">
                  <c:v>60.3</c:v>
                </c:pt>
                <c:pt idx="3">
                  <c:v>61</c:v>
                </c:pt>
                <c:pt idx="4">
                  <c:v>73.8</c:v>
                </c:pt>
                <c:pt idx="5">
                  <c:v>78.2</c:v>
                </c:pt>
                <c:pt idx="6">
                  <c:v>72.099999999999994</c:v>
                </c:pt>
                <c:pt idx="7">
                  <c:v>76.900000000000006</c:v>
                </c:pt>
                <c:pt idx="8">
                  <c:v>75.900000000000006</c:v>
                </c:pt>
                <c:pt idx="9">
                  <c:v>77.5</c:v>
                </c:pt>
                <c:pt idx="10">
                  <c:v>71.3</c:v>
                </c:pt>
                <c:pt idx="11">
                  <c:v>60.7</c:v>
                </c:pt>
                <c:pt idx="12">
                  <c:v>55.6</c:v>
                </c:pt>
                <c:pt idx="13">
                  <c:v>41.4</c:v>
                </c:pt>
                <c:pt idx="14">
                  <c:v>48.9</c:v>
                </c:pt>
                <c:pt idx="15">
                  <c:v>49.5</c:v>
                </c:pt>
                <c:pt idx="16">
                  <c:v>51.9</c:v>
                </c:pt>
                <c:pt idx="17">
                  <c:v>43</c:v>
                </c:pt>
                <c:pt idx="18">
                  <c:v>34.1</c:v>
                </c:pt>
                <c:pt idx="19">
                  <c:v>39.4</c:v>
                </c:pt>
                <c:pt idx="20">
                  <c:v>33.6</c:v>
                </c:pt>
                <c:pt idx="21">
                  <c:v>33.299999999999997</c:v>
                </c:pt>
                <c:pt idx="22">
                  <c:v>36.9</c:v>
                </c:pt>
                <c:pt idx="23">
                  <c:v>36.799999999999997</c:v>
                </c:pt>
                <c:pt idx="24">
                  <c:v>33.700000000000003</c:v>
                </c:pt>
                <c:pt idx="25">
                  <c:v>31.1</c:v>
                </c:pt>
                <c:pt idx="26">
                  <c:v>30.8</c:v>
                </c:pt>
                <c:pt idx="27">
                  <c:v>31.3</c:v>
                </c:pt>
                <c:pt idx="28">
                  <c:v>41.7</c:v>
                </c:pt>
                <c:pt idx="29">
                  <c:v>41.3</c:v>
                </c:pt>
                <c:pt idx="30">
                  <c:v>43.1</c:v>
                </c:pt>
                <c:pt idx="31">
                  <c:v>43.4</c:v>
                </c:pt>
                <c:pt idx="32">
                  <c:v>41.8</c:v>
                </c:pt>
                <c:pt idx="33">
                  <c:v>42.3</c:v>
                </c:pt>
                <c:pt idx="34">
                  <c:v>41.2</c:v>
                </c:pt>
                <c:pt idx="35">
                  <c:v>39.200000000000003</c:v>
                </c:pt>
                <c:pt idx="36">
                  <c:v>36.799999999999997</c:v>
                </c:pt>
                <c:pt idx="37">
                  <c:v>37.700000000000003</c:v>
                </c:pt>
                <c:pt idx="38">
                  <c:v>36.700000000000003</c:v>
                </c:pt>
                <c:pt idx="39">
                  <c:v>38.9</c:v>
                </c:pt>
                <c:pt idx="40">
                  <c:v>41.7</c:v>
                </c:pt>
                <c:pt idx="41">
                  <c:v>41.9</c:v>
                </c:pt>
                <c:pt idx="42">
                  <c:v>41.3</c:v>
                </c:pt>
                <c:pt idx="43">
                  <c:v>42.7</c:v>
                </c:pt>
                <c:pt idx="44">
                  <c:v>41.3</c:v>
                </c:pt>
                <c:pt idx="45">
                  <c:v>34.1</c:v>
                </c:pt>
                <c:pt idx="46">
                  <c:v>28</c:v>
                </c:pt>
                <c:pt idx="47">
                  <c:v>23.7</c:v>
                </c:pt>
                <c:pt idx="48">
                  <c:v>35.200000000000003</c:v>
                </c:pt>
                <c:pt idx="49">
                  <c:v>39.6</c:v>
                </c:pt>
                <c:pt idx="50">
                  <c:v>39.4</c:v>
                </c:pt>
                <c:pt idx="51">
                  <c:v>39.9</c:v>
                </c:pt>
                <c:pt idx="52">
                  <c:v>57.1</c:v>
                </c:pt>
                <c:pt idx="53">
                  <c:v>74.599999999999994</c:v>
                </c:pt>
                <c:pt idx="54">
                  <c:v>79.8</c:v>
                </c:pt>
                <c:pt idx="55">
                  <c:v>79</c:v>
                </c:pt>
                <c:pt idx="56">
                  <c:v>86.5</c:v>
                </c:pt>
                <c:pt idx="57" formatCode="#,##0">
                  <c:v>104</c:v>
                </c:pt>
                <c:pt idx="58" formatCode="#,##0">
                  <c:v>129</c:v>
                </c:pt>
                <c:pt idx="59" formatCode="#,##0">
                  <c:v>156</c:v>
                </c:pt>
                <c:pt idx="60" formatCode="#,##0">
                  <c:v>146</c:v>
                </c:pt>
                <c:pt idx="61" formatCode="#,##0">
                  <c:v>135</c:v>
                </c:pt>
                <c:pt idx="62" formatCode="#,##0">
                  <c:v>135</c:v>
                </c:pt>
                <c:pt idx="63" formatCode="#,##0">
                  <c:v>127</c:v>
                </c:pt>
                <c:pt idx="64" formatCode="#,##0">
                  <c:v>110</c:v>
                </c:pt>
                <c:pt idx="65" formatCode="#,##0">
                  <c:v>124</c:v>
                </c:pt>
                <c:pt idx="66" formatCode="#,##0">
                  <c:v>164</c:v>
                </c:pt>
                <c:pt idx="67" formatCode="#,##0">
                  <c:v>172</c:v>
                </c:pt>
                <c:pt idx="68" formatCode="#,##0">
                  <c:v>132</c:v>
                </c:pt>
                <c:pt idx="69" formatCode="#,##0">
                  <c:v>163</c:v>
                </c:pt>
                <c:pt idx="70" formatCode="#,##0">
                  <c:v>171</c:v>
                </c:pt>
                <c:pt idx="71" formatCode="#,##0">
                  <c:v>159</c:v>
                </c:pt>
                <c:pt idx="72" formatCode="#,##0">
                  <c:v>159</c:v>
                </c:pt>
                <c:pt idx="73" formatCode="#,##0">
                  <c:v>152</c:v>
                </c:pt>
                <c:pt idx="74" formatCode="#,##0">
                  <c:v>146</c:v>
                </c:pt>
                <c:pt idx="75" formatCode="#,##0">
                  <c:v>145</c:v>
                </c:pt>
                <c:pt idx="76" formatCode="#,##0">
                  <c:v>174</c:v>
                </c:pt>
                <c:pt idx="77" formatCode="#,##0">
                  <c:v>162</c:v>
                </c:pt>
                <c:pt idx="78" formatCode="#,##0">
                  <c:v>155</c:v>
                </c:pt>
                <c:pt idx="79" formatCode="#,##0">
                  <c:v>151</c:v>
                </c:pt>
                <c:pt idx="80" formatCode="#,##0">
                  <c:v>110</c:v>
                </c:pt>
                <c:pt idx="81" formatCode="#,##0">
                  <c:v>110</c:v>
                </c:pt>
                <c:pt idx="82" formatCode="#,##0">
                  <c:v>125</c:v>
                </c:pt>
                <c:pt idx="83" formatCode="#,##0">
                  <c:v>165</c:v>
                </c:pt>
                <c:pt idx="84" formatCode="#,##0">
                  <c:v>170</c:v>
                </c:pt>
                <c:pt idx="85" formatCode="#,##0">
                  <c:v>185</c:v>
                </c:pt>
                <c:pt idx="86" formatCode="#,##0">
                  <c:v>640</c:v>
                </c:pt>
                <c:pt idx="87" formatCode="#,##0">
                  <c:v>494</c:v>
                </c:pt>
                <c:pt idx="88" formatCode="#,##0">
                  <c:v>360</c:v>
                </c:pt>
              </c:numCache>
            </c:numRef>
          </c:val>
          <c:smooth val="0"/>
          <c:extLst>
            <c:ext xmlns:c16="http://schemas.microsoft.com/office/drawing/2014/chart" uri="{C3380CC4-5D6E-409C-BE32-E72D297353CC}">
              <c16:uniqueId val="{00000000-2573-4B27-9ECF-0141AAAF6C2B}"/>
            </c:ext>
          </c:extLst>
        </c:ser>
        <c:dLbls>
          <c:showLegendKey val="0"/>
          <c:showVal val="0"/>
          <c:showCatName val="0"/>
          <c:showSerName val="0"/>
          <c:showPercent val="0"/>
          <c:showBubbleSize val="0"/>
        </c:dLbls>
        <c:smooth val="0"/>
        <c:axId val="373688712"/>
        <c:axId val="373689104"/>
      </c:lineChart>
      <c:catAx>
        <c:axId val="373688712"/>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89104"/>
        <c:crosses val="autoZero"/>
        <c:auto val="1"/>
        <c:lblAlgn val="ctr"/>
        <c:lblOffset val="100"/>
        <c:noMultiLvlLbl val="0"/>
      </c:catAx>
      <c:valAx>
        <c:axId val="373689104"/>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8871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55" l="0.70000000000000062" r="0.70000000000000062" t="0.75000000000001055"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7.9166666666666913E-2"/>
          <c:y val="0.19444444444444947"/>
          <c:w val="0.88958333333333328"/>
          <c:h val="0.496527777777789"/>
        </c:manualLayout>
      </c:layout>
      <c:lineChart>
        <c:grouping val="standard"/>
        <c:varyColors val="0"/>
        <c:ser>
          <c:idx val="0"/>
          <c:order val="0"/>
          <c:tx>
            <c:strRef>
              <c:f>Potash!$N$6</c:f>
              <c:strCache>
                <c:ptCount val="1"/>
                <c:pt idx="0">
                  <c:v>potash value (98$/t)</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Potash!$N$29:$N$115</c:f>
              <c:numCache>
                <c:formatCode>#,##0</c:formatCode>
                <c:ptCount val="87"/>
                <c:pt idx="0">
                  <c:v>615</c:v>
                </c:pt>
                <c:pt idx="1">
                  <c:v>610</c:v>
                </c:pt>
                <c:pt idx="2">
                  <c:v>575</c:v>
                </c:pt>
                <c:pt idx="3">
                  <c:v>568</c:v>
                </c:pt>
                <c:pt idx="4">
                  <c:v>680</c:v>
                </c:pt>
                <c:pt idx="5">
                  <c:v>732</c:v>
                </c:pt>
                <c:pt idx="6">
                  <c:v>687</c:v>
                </c:pt>
                <c:pt idx="7">
                  <c:v>733</c:v>
                </c:pt>
                <c:pt idx="8">
                  <c:v>741</c:v>
                </c:pt>
                <c:pt idx="9">
                  <c:v>831</c:v>
                </c:pt>
                <c:pt idx="10">
                  <c:v>849</c:v>
                </c:pt>
                <c:pt idx="11">
                  <c:v>760</c:v>
                </c:pt>
                <c:pt idx="12">
                  <c:v>676</c:v>
                </c:pt>
                <c:pt idx="13">
                  <c:v>493</c:v>
                </c:pt>
                <c:pt idx="14">
                  <c:v>573</c:v>
                </c:pt>
                <c:pt idx="15">
                  <c:v>560</c:v>
                </c:pt>
                <c:pt idx="16">
                  <c:v>600</c:v>
                </c:pt>
                <c:pt idx="17">
                  <c:v>504</c:v>
                </c:pt>
                <c:pt idx="18">
                  <c:v>397</c:v>
                </c:pt>
                <c:pt idx="19">
                  <c:v>437</c:v>
                </c:pt>
                <c:pt idx="20">
                  <c:v>336</c:v>
                </c:pt>
                <c:pt idx="21">
                  <c:v>314</c:v>
                </c:pt>
                <c:pt idx="22">
                  <c:v>342</c:v>
                </c:pt>
                <c:pt idx="23">
                  <c:v>333</c:v>
                </c:pt>
                <c:pt idx="24">
                  <c:v>282</c:v>
                </c:pt>
                <c:pt idx="25">
                  <c:v>227</c:v>
                </c:pt>
                <c:pt idx="26">
                  <c:v>208</c:v>
                </c:pt>
                <c:pt idx="27">
                  <c:v>214</c:v>
                </c:pt>
                <c:pt idx="28">
                  <c:v>282</c:v>
                </c:pt>
                <c:pt idx="29">
                  <c:v>259</c:v>
                </c:pt>
                <c:pt idx="30">
                  <c:v>265</c:v>
                </c:pt>
                <c:pt idx="31">
                  <c:v>265</c:v>
                </c:pt>
                <c:pt idx="32">
                  <c:v>253</c:v>
                </c:pt>
                <c:pt idx="33">
                  <c:v>257</c:v>
                </c:pt>
                <c:pt idx="34">
                  <c:v>247</c:v>
                </c:pt>
                <c:pt idx="35">
                  <c:v>227</c:v>
                </c:pt>
                <c:pt idx="36">
                  <c:v>208</c:v>
                </c:pt>
                <c:pt idx="37">
                  <c:v>211</c:v>
                </c:pt>
                <c:pt idx="38">
                  <c:v>202</c:v>
                </c:pt>
                <c:pt idx="39">
                  <c:v>212</c:v>
                </c:pt>
                <c:pt idx="40">
                  <c:v>225</c:v>
                </c:pt>
                <c:pt idx="41">
                  <c:v>223</c:v>
                </c:pt>
                <c:pt idx="42">
                  <c:v>217</c:v>
                </c:pt>
                <c:pt idx="43">
                  <c:v>221</c:v>
                </c:pt>
                <c:pt idx="44">
                  <c:v>208</c:v>
                </c:pt>
                <c:pt idx="45">
                  <c:v>166</c:v>
                </c:pt>
                <c:pt idx="46">
                  <c:v>131</c:v>
                </c:pt>
                <c:pt idx="47">
                  <c:v>105</c:v>
                </c:pt>
                <c:pt idx="48">
                  <c:v>148</c:v>
                </c:pt>
                <c:pt idx="49">
                  <c:v>159</c:v>
                </c:pt>
                <c:pt idx="50">
                  <c:v>154</c:v>
                </c:pt>
                <c:pt idx="51">
                  <c:v>146</c:v>
                </c:pt>
                <c:pt idx="52">
                  <c:v>189</c:v>
                </c:pt>
                <c:pt idx="53">
                  <c:v>226</c:v>
                </c:pt>
                <c:pt idx="54">
                  <c:v>229</c:v>
                </c:pt>
                <c:pt idx="55">
                  <c:v>213</c:v>
                </c:pt>
                <c:pt idx="56">
                  <c:v>216</c:v>
                </c:pt>
                <c:pt idx="57">
                  <c:v>234</c:v>
                </c:pt>
                <c:pt idx="58">
                  <c:v>256</c:v>
                </c:pt>
                <c:pt idx="59">
                  <c:v>280</c:v>
                </c:pt>
                <c:pt idx="60">
                  <c:v>247</c:v>
                </c:pt>
                <c:pt idx="61">
                  <c:v>222</c:v>
                </c:pt>
                <c:pt idx="62">
                  <c:v>212</c:v>
                </c:pt>
                <c:pt idx="63">
                  <c:v>192</c:v>
                </c:pt>
                <c:pt idx="64">
                  <c:v>164</c:v>
                </c:pt>
                <c:pt idx="65">
                  <c:v>178</c:v>
                </c:pt>
                <c:pt idx="66">
                  <c:v>226</c:v>
                </c:pt>
                <c:pt idx="67">
                  <c:v>226</c:v>
                </c:pt>
                <c:pt idx="68">
                  <c:v>164</c:v>
                </c:pt>
                <c:pt idx="69">
                  <c:v>195</c:v>
                </c:pt>
                <c:pt idx="70">
                  <c:v>198</c:v>
                </c:pt>
                <c:pt idx="71">
                  <c:v>180</c:v>
                </c:pt>
                <c:pt idx="72">
                  <c:v>175</c:v>
                </c:pt>
                <c:pt idx="73">
                  <c:v>163</c:v>
                </c:pt>
                <c:pt idx="74">
                  <c:v>152</c:v>
                </c:pt>
                <c:pt idx="75">
                  <c:v>147</c:v>
                </c:pt>
                <c:pt idx="76">
                  <c:v>174</c:v>
                </c:pt>
                <c:pt idx="77">
                  <c:v>158</c:v>
                </c:pt>
                <c:pt idx="78">
                  <c:v>147</c:v>
                </c:pt>
                <c:pt idx="79">
                  <c:v>139</c:v>
                </c:pt>
                <c:pt idx="80">
                  <c:v>100</c:v>
                </c:pt>
                <c:pt idx="81">
                  <c:v>97</c:v>
                </c:pt>
                <c:pt idx="82">
                  <c:v>108</c:v>
                </c:pt>
                <c:pt idx="83">
                  <c:v>138</c:v>
                </c:pt>
                <c:pt idx="84">
                  <c:v>137</c:v>
                </c:pt>
                <c:pt idx="85">
                  <c:v>145</c:v>
                </c:pt>
                <c:pt idx="86">
                  <c:v>485</c:v>
                </c:pt>
              </c:numCache>
            </c:numRef>
          </c:val>
          <c:smooth val="0"/>
          <c:extLst>
            <c:ext xmlns:c16="http://schemas.microsoft.com/office/drawing/2014/chart" uri="{C3380CC4-5D6E-409C-BE32-E72D297353CC}">
              <c16:uniqueId val="{00000000-048F-4F9C-97C8-0B2C30DEF023}"/>
            </c:ext>
          </c:extLst>
        </c:ser>
        <c:dLbls>
          <c:showLegendKey val="0"/>
          <c:showVal val="0"/>
          <c:showCatName val="0"/>
          <c:showSerName val="0"/>
          <c:showPercent val="0"/>
          <c:showBubbleSize val="0"/>
        </c:dLbls>
        <c:smooth val="0"/>
        <c:axId val="373689888"/>
        <c:axId val="373690280"/>
      </c:lineChart>
      <c:catAx>
        <c:axId val="37368988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90280"/>
        <c:crosses val="autoZero"/>
        <c:auto val="1"/>
        <c:lblAlgn val="ctr"/>
        <c:lblOffset val="100"/>
        <c:noMultiLvlLbl val="0"/>
      </c:catAx>
      <c:valAx>
        <c:axId val="37369028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8988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55" l="0.70000000000000062" r="0.70000000000000062" t="0.7500000000000105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Potash!$I$6</c:f>
              <c:strCache>
                <c:ptCount val="1"/>
                <c:pt idx="0">
                  <c:v>real potash value</c:v>
                </c:pt>
              </c:strCache>
            </c:strRef>
          </c:tx>
          <c:marker>
            <c:symbol val="none"/>
          </c:marker>
          <c:cat>
            <c:numRef>
              <c:f>Potash!$A$29:$A$117</c:f>
              <c:numCache>
                <c:formatCode>0</c:formatCode>
                <c:ptCount val="89"/>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pt idx="87">
                  <c:v>2009</c:v>
                </c:pt>
                <c:pt idx="88">
                  <c:v>2010</c:v>
                </c:pt>
              </c:numCache>
            </c:numRef>
          </c:cat>
          <c:val>
            <c:numRef>
              <c:f>Potash!$I$29:$I$117</c:f>
              <c:numCache>
                <c:formatCode>#,##0</c:formatCode>
                <c:ptCount val="89"/>
                <c:pt idx="0">
                  <c:v>815.8717159763313</c:v>
                </c:pt>
                <c:pt idx="1">
                  <c:v>828.49523809523805</c:v>
                </c:pt>
                <c:pt idx="2">
                  <c:v>758.03722543352592</c:v>
                </c:pt>
                <c:pt idx="3">
                  <c:v>766.83699421965309</c:v>
                </c:pt>
                <c:pt idx="4">
                  <c:v>896.64938547486042</c:v>
                </c:pt>
                <c:pt idx="5">
                  <c:v>971.82491428571439</c:v>
                </c:pt>
                <c:pt idx="6">
                  <c:v>906.37618497109804</c:v>
                </c:pt>
                <c:pt idx="7">
                  <c:v>978.02409356725138</c:v>
                </c:pt>
                <c:pt idx="8">
                  <c:v>965.30596491228061</c:v>
                </c:pt>
                <c:pt idx="9">
                  <c:v>1060.0440251572327</c:v>
                </c:pt>
                <c:pt idx="10">
                  <c:v>1084.3583216783215</c:v>
                </c:pt>
                <c:pt idx="11">
                  <c:v>1023.3361240310078</c:v>
                </c:pt>
                <c:pt idx="12">
                  <c:v>916.05212121212116</c:v>
                </c:pt>
                <c:pt idx="13">
                  <c:v>662.03470588235291</c:v>
                </c:pt>
                <c:pt idx="14">
                  <c:v>770.63565217391294</c:v>
                </c:pt>
                <c:pt idx="15">
                  <c:v>763.49361702127658</c:v>
                </c:pt>
                <c:pt idx="16">
                  <c:v>794.87408450704231</c:v>
                </c:pt>
                <c:pt idx="17">
                  <c:v>667.97428571428566</c:v>
                </c:pt>
                <c:pt idx="18">
                  <c:v>533.53007194244606</c:v>
                </c:pt>
                <c:pt idx="19">
                  <c:v>607.71007092198579</c:v>
                </c:pt>
                <c:pt idx="20">
                  <c:v>465.43490445859874</c:v>
                </c:pt>
                <c:pt idx="21">
                  <c:v>428.52568047337274</c:v>
                </c:pt>
                <c:pt idx="22">
                  <c:v>461.20758620689656</c:v>
                </c:pt>
                <c:pt idx="23">
                  <c:v>449.62157303370782</c:v>
                </c:pt>
                <c:pt idx="24">
                  <c:v>402.69648351648351</c:v>
                </c:pt>
                <c:pt idx="25">
                  <c:v>314.58734883720928</c:v>
                </c:pt>
                <c:pt idx="26">
                  <c:v>282.63223628691986</c:v>
                </c:pt>
                <c:pt idx="27">
                  <c:v>283.63016666666664</c:v>
                </c:pt>
                <c:pt idx="28">
                  <c:v>385.91131914893623</c:v>
                </c:pt>
                <c:pt idx="29">
                  <c:v>353.61905511811023</c:v>
                </c:pt>
                <c:pt idx="30">
                  <c:v>353.71275471698107</c:v>
                </c:pt>
                <c:pt idx="31">
                  <c:v>354.8357894736842</c:v>
                </c:pt>
                <c:pt idx="32">
                  <c:v>337.94289962825275</c:v>
                </c:pt>
                <c:pt idx="33">
                  <c:v>344.54696629213481</c:v>
                </c:pt>
                <c:pt idx="34">
                  <c:v>334.3349253731343</c:v>
                </c:pt>
                <c:pt idx="35">
                  <c:v>308.8846376811594</c:v>
                </c:pt>
                <c:pt idx="36">
                  <c:v>279.83440559440555</c:v>
                </c:pt>
                <c:pt idx="37">
                  <c:v>282.72400000000005</c:v>
                </c:pt>
                <c:pt idx="38">
                  <c:v>272.40668941979521</c:v>
                </c:pt>
                <c:pt idx="39">
                  <c:v>283.89167785234901</c:v>
                </c:pt>
                <c:pt idx="40">
                  <c:v>302.29720000000003</c:v>
                </c:pt>
                <c:pt idx="41">
                  <c:v>299.75039473684205</c:v>
                </c:pt>
                <c:pt idx="42">
                  <c:v>290.67715210355988</c:v>
                </c:pt>
                <c:pt idx="43">
                  <c:v>297.64089743589744</c:v>
                </c:pt>
                <c:pt idx="44">
                  <c:v>282.45044025157227</c:v>
                </c:pt>
                <c:pt idx="45">
                  <c:v>225.41240121580549</c:v>
                </c:pt>
                <c:pt idx="46">
                  <c:v>178.57595307917887</c:v>
                </c:pt>
                <c:pt idx="47">
                  <c:v>144.78303370786517</c:v>
                </c:pt>
                <c:pt idx="48">
                  <c:v>202.52105820105822</c:v>
                </c:pt>
                <c:pt idx="49">
                  <c:v>216.38713567839199</c:v>
                </c:pt>
                <c:pt idx="50">
                  <c:v>208.48447688564474</c:v>
                </c:pt>
                <c:pt idx="51">
                  <c:v>203.69605633802814</c:v>
                </c:pt>
                <c:pt idx="52">
                  <c:v>266.48300429184548</c:v>
                </c:pt>
                <c:pt idx="53">
                  <c:v>311.40130518234162</c:v>
                </c:pt>
                <c:pt idx="54">
                  <c:v>312.1385611510791</c:v>
                </c:pt>
                <c:pt idx="55">
                  <c:v>293.69094017094017</c:v>
                </c:pt>
                <c:pt idx="56">
                  <c:v>300.99232000000001</c:v>
                </c:pt>
                <c:pt idx="57">
                  <c:v>331.15549048316251</c:v>
                </c:pt>
                <c:pt idx="58">
                  <c:v>360.60308483290487</c:v>
                </c:pt>
                <c:pt idx="59">
                  <c:v>389.96413793103443</c:v>
                </c:pt>
                <c:pt idx="60">
                  <c:v>336.71346765641567</c:v>
                </c:pt>
                <c:pt idx="61">
                  <c:v>300.20245398773005</c:v>
                </c:pt>
                <c:pt idx="62">
                  <c:v>288.12365063788025</c:v>
                </c:pt>
                <c:pt idx="63">
                  <c:v>261.80056872037915</c:v>
                </c:pt>
                <c:pt idx="64">
                  <c:v>218.27372262773724</c:v>
                </c:pt>
                <c:pt idx="65">
                  <c:v>242.5136690647482</c:v>
                </c:pt>
                <c:pt idx="66">
                  <c:v>308.26897147796024</c:v>
                </c:pt>
                <c:pt idx="67">
                  <c:v>308.889843104872</c:v>
                </c:pt>
                <c:pt idx="68">
                  <c:v>225.33249607535319</c:v>
                </c:pt>
                <c:pt idx="69">
                  <c:v>263.36731054977713</c:v>
                </c:pt>
                <c:pt idx="70">
                  <c:v>269.29094858797976</c:v>
                </c:pt>
                <c:pt idx="71">
                  <c:v>242.49172510518935</c:v>
                </c:pt>
                <c:pt idx="72">
                  <c:v>236.52065663474693</c:v>
                </c:pt>
                <c:pt idx="73">
                  <c:v>219.93985362608115</c:v>
                </c:pt>
                <c:pt idx="74">
                  <c:v>205.64818652849738</c:v>
                </c:pt>
                <c:pt idx="75">
                  <c:v>198.2061596480201</c:v>
                </c:pt>
                <c:pt idx="76">
                  <c:v>234.16782178217821</c:v>
                </c:pt>
                <c:pt idx="77">
                  <c:v>214.43554473524037</c:v>
                </c:pt>
                <c:pt idx="78">
                  <c:v>199.70023696682463</c:v>
                </c:pt>
                <c:pt idx="79">
                  <c:v>187.54700171330666</c:v>
                </c:pt>
                <c:pt idx="80">
                  <c:v>135.08074534161491</c:v>
                </c:pt>
                <c:pt idx="81">
                  <c:v>131.6609796367639</c:v>
                </c:pt>
                <c:pt idx="82">
                  <c:v>146.78725701943844</c:v>
                </c:pt>
                <c:pt idx="83">
                  <c:v>188.17094913476666</c:v>
                </c:pt>
                <c:pt idx="84">
                  <c:v>186.4427634896621</c:v>
                </c:pt>
                <c:pt idx="85">
                  <c:v>194.75734476369809</c:v>
                </c:pt>
                <c:pt idx="86">
                  <c:v>645.55076295162553</c:v>
                </c:pt>
                <c:pt idx="87">
                  <c:v>500.88638164949413</c:v>
                </c:pt>
                <c:pt idx="88">
                  <c:v>360.00000000000006</c:v>
                </c:pt>
              </c:numCache>
            </c:numRef>
          </c:val>
          <c:smooth val="0"/>
          <c:extLst>
            <c:ext xmlns:c16="http://schemas.microsoft.com/office/drawing/2014/chart" uri="{C3380CC4-5D6E-409C-BE32-E72D297353CC}">
              <c16:uniqueId val="{00000000-E6DA-435F-B8C9-D11D445D1F4D}"/>
            </c:ext>
          </c:extLst>
        </c:ser>
        <c:dLbls>
          <c:showLegendKey val="0"/>
          <c:showVal val="0"/>
          <c:showCatName val="0"/>
          <c:showSerName val="0"/>
          <c:showPercent val="0"/>
          <c:showBubbleSize val="0"/>
        </c:dLbls>
        <c:smooth val="0"/>
        <c:axId val="373691064"/>
        <c:axId val="373691456"/>
      </c:lineChart>
      <c:catAx>
        <c:axId val="3736910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91456"/>
        <c:crosses val="autoZero"/>
        <c:auto val="1"/>
        <c:lblAlgn val="ctr"/>
        <c:lblOffset val="100"/>
        <c:noMultiLvlLbl val="0"/>
      </c:catAx>
      <c:valAx>
        <c:axId val="3736914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910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77" l="0.70000000000000062" r="0.70000000000000062" t="0.75000000000001077"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FbKolya Regular"/>
                <a:ea typeface="FbKolya Regular"/>
                <a:cs typeface="FbKolya Regular"/>
              </a:defRPr>
            </a:pPr>
            <a:r>
              <a:rPr lang="en-US"/>
              <a:t>Real potash value ($/t)</a:t>
            </a:r>
          </a:p>
        </c:rich>
      </c:tx>
      <c:overlay val="0"/>
    </c:title>
    <c:autoTitleDeleted val="0"/>
    <c:plotArea>
      <c:layout>
        <c:manualLayout>
          <c:layoutTarget val="inner"/>
          <c:xMode val="edge"/>
          <c:yMode val="edge"/>
          <c:x val="9.7116843702579725E-2"/>
          <c:y val="4.8611111111111112E-2"/>
          <c:w val="0.86798179059181713"/>
          <c:h val="0.63541666666666652"/>
        </c:manualLayout>
      </c:layout>
      <c:lineChart>
        <c:grouping val="standard"/>
        <c:varyColors val="0"/>
        <c:ser>
          <c:idx val="0"/>
          <c:order val="0"/>
          <c:tx>
            <c:strRef>
              <c:f>Potash!$I$6</c:f>
              <c:strCache>
                <c:ptCount val="1"/>
                <c:pt idx="0">
                  <c:v>real potash value</c:v>
                </c:pt>
              </c:strCache>
            </c:strRef>
          </c:tx>
          <c:spPr>
            <a:ln w="38100">
              <a:solidFill>
                <a:schemeClr val="tx1"/>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Potash!$I$67:$I$117</c:f>
              <c:numCache>
                <c:formatCode>#,##0</c:formatCode>
                <c:ptCount val="51"/>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pt idx="49">
                  <c:v>500.88638164949413</c:v>
                </c:pt>
                <c:pt idx="50">
                  <c:v>360.00000000000006</c:v>
                </c:pt>
              </c:numCache>
            </c:numRef>
          </c:val>
          <c:smooth val="0"/>
          <c:extLst>
            <c:ext xmlns:c16="http://schemas.microsoft.com/office/drawing/2014/chart" uri="{C3380CC4-5D6E-409C-BE32-E72D297353CC}">
              <c16:uniqueId val="{00000000-0B25-475D-9728-49789A6BF0A6}"/>
            </c:ext>
          </c:extLst>
        </c:ser>
        <c:ser>
          <c:idx val="1"/>
          <c:order val="1"/>
          <c:tx>
            <c:strRef>
              <c:f>Potash!$L$6</c:f>
              <c:strCache>
                <c:ptCount val="1"/>
                <c:pt idx="0">
                  <c:v>Max = 390</c:v>
                </c:pt>
              </c:strCache>
            </c:strRef>
          </c:tx>
          <c:spPr>
            <a:ln w="19050">
              <a:solidFill>
                <a:srgbClr val="00B05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Potash!$L$67:$L$117</c:f>
              <c:numCache>
                <c:formatCode>#,##0</c:formatCode>
                <c:ptCount val="51"/>
                <c:pt idx="0">
                  <c:v>389.96413793103443</c:v>
                </c:pt>
                <c:pt idx="1">
                  <c:v>389.96413793103443</c:v>
                </c:pt>
                <c:pt idx="2">
                  <c:v>389.96413793103443</c:v>
                </c:pt>
                <c:pt idx="3">
                  <c:v>389.96413793103443</c:v>
                </c:pt>
                <c:pt idx="4">
                  <c:v>389.96413793103443</c:v>
                </c:pt>
                <c:pt idx="5">
                  <c:v>389.96413793103443</c:v>
                </c:pt>
                <c:pt idx="6">
                  <c:v>389.96413793103443</c:v>
                </c:pt>
                <c:pt idx="7">
                  <c:v>389.96413793103443</c:v>
                </c:pt>
                <c:pt idx="8">
                  <c:v>389.96413793103443</c:v>
                </c:pt>
                <c:pt idx="9">
                  <c:v>389.96413793103443</c:v>
                </c:pt>
                <c:pt idx="10">
                  <c:v>389.96413793103443</c:v>
                </c:pt>
                <c:pt idx="11">
                  <c:v>389.96413793103443</c:v>
                </c:pt>
                <c:pt idx="12">
                  <c:v>389.96413793103443</c:v>
                </c:pt>
                <c:pt idx="13">
                  <c:v>389.96413793103443</c:v>
                </c:pt>
                <c:pt idx="14">
                  <c:v>389.96413793103443</c:v>
                </c:pt>
                <c:pt idx="15">
                  <c:v>389.96413793103443</c:v>
                </c:pt>
                <c:pt idx="16">
                  <c:v>389.96413793103443</c:v>
                </c:pt>
                <c:pt idx="17">
                  <c:v>389.96413793103443</c:v>
                </c:pt>
                <c:pt idx="18">
                  <c:v>389.96413793103443</c:v>
                </c:pt>
                <c:pt idx="19">
                  <c:v>389.96413793103443</c:v>
                </c:pt>
                <c:pt idx="20">
                  <c:v>389.96413793103443</c:v>
                </c:pt>
                <c:pt idx="21">
                  <c:v>389.96413793103443</c:v>
                </c:pt>
                <c:pt idx="22">
                  <c:v>389.96413793103443</c:v>
                </c:pt>
                <c:pt idx="23">
                  <c:v>389.96413793103443</c:v>
                </c:pt>
                <c:pt idx="24">
                  <c:v>389.96413793103443</c:v>
                </c:pt>
                <c:pt idx="25">
                  <c:v>389.96413793103443</c:v>
                </c:pt>
                <c:pt idx="26">
                  <c:v>389.96413793103443</c:v>
                </c:pt>
                <c:pt idx="27">
                  <c:v>389.96413793103443</c:v>
                </c:pt>
                <c:pt idx="28">
                  <c:v>389.96413793103443</c:v>
                </c:pt>
                <c:pt idx="29">
                  <c:v>389.96413793103443</c:v>
                </c:pt>
                <c:pt idx="30">
                  <c:v>389.96413793103443</c:v>
                </c:pt>
                <c:pt idx="31">
                  <c:v>389.96413793103443</c:v>
                </c:pt>
                <c:pt idx="32">
                  <c:v>389.96413793103443</c:v>
                </c:pt>
                <c:pt idx="33">
                  <c:v>389.96413793103443</c:v>
                </c:pt>
                <c:pt idx="34">
                  <c:v>389.96413793103443</c:v>
                </c:pt>
                <c:pt idx="35">
                  <c:v>389.96413793103443</c:v>
                </c:pt>
                <c:pt idx="36">
                  <c:v>389.96413793103443</c:v>
                </c:pt>
                <c:pt idx="37">
                  <c:v>389.96413793103443</c:v>
                </c:pt>
                <c:pt idx="38">
                  <c:v>389.96413793103443</c:v>
                </c:pt>
                <c:pt idx="39">
                  <c:v>389.96413793103443</c:v>
                </c:pt>
                <c:pt idx="40">
                  <c:v>389.96413793103443</c:v>
                </c:pt>
                <c:pt idx="41">
                  <c:v>389.96413793103443</c:v>
                </c:pt>
                <c:pt idx="42">
                  <c:v>389.96413793103443</c:v>
                </c:pt>
                <c:pt idx="43">
                  <c:v>389.96413793103443</c:v>
                </c:pt>
                <c:pt idx="44">
                  <c:v>389.96413793103443</c:v>
                </c:pt>
                <c:pt idx="45">
                  <c:v>389.96413793103443</c:v>
                </c:pt>
                <c:pt idx="46">
                  <c:v>389.96413793103443</c:v>
                </c:pt>
                <c:pt idx="47">
                  <c:v>389.96413793103443</c:v>
                </c:pt>
                <c:pt idx="48">
                  <c:v>389.96413793103443</c:v>
                </c:pt>
                <c:pt idx="49">
                  <c:v>389.96413793103443</c:v>
                </c:pt>
                <c:pt idx="50">
                  <c:v>389.96413793103443</c:v>
                </c:pt>
              </c:numCache>
            </c:numRef>
          </c:val>
          <c:smooth val="0"/>
          <c:extLst>
            <c:ext xmlns:c16="http://schemas.microsoft.com/office/drawing/2014/chart" uri="{C3380CC4-5D6E-409C-BE32-E72D297353CC}">
              <c16:uniqueId val="{00000001-0B25-475D-9728-49789A6BF0A6}"/>
            </c:ext>
          </c:extLst>
        </c:ser>
        <c:ser>
          <c:idx val="2"/>
          <c:order val="2"/>
          <c:tx>
            <c:strRef>
              <c:f>Potash!$M$6</c:f>
              <c:strCache>
                <c:ptCount val="1"/>
                <c:pt idx="0">
                  <c:v>Min = 132</c:v>
                </c:pt>
              </c:strCache>
            </c:strRef>
          </c:tx>
          <c:spPr>
            <a:ln w="1905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Potash!$M$67:$M$117</c:f>
              <c:numCache>
                <c:formatCode>#,##0</c:formatCode>
                <c:ptCount val="51"/>
                <c:pt idx="0">
                  <c:v>131.6609796367639</c:v>
                </c:pt>
                <c:pt idx="1">
                  <c:v>131.6609796367639</c:v>
                </c:pt>
                <c:pt idx="2">
                  <c:v>131.6609796367639</c:v>
                </c:pt>
                <c:pt idx="3">
                  <c:v>131.6609796367639</c:v>
                </c:pt>
                <c:pt idx="4">
                  <c:v>131.6609796367639</c:v>
                </c:pt>
                <c:pt idx="5">
                  <c:v>131.6609796367639</c:v>
                </c:pt>
                <c:pt idx="6">
                  <c:v>131.6609796367639</c:v>
                </c:pt>
                <c:pt idx="7">
                  <c:v>131.6609796367639</c:v>
                </c:pt>
                <c:pt idx="8">
                  <c:v>131.6609796367639</c:v>
                </c:pt>
                <c:pt idx="9">
                  <c:v>131.6609796367639</c:v>
                </c:pt>
                <c:pt idx="10">
                  <c:v>131.6609796367639</c:v>
                </c:pt>
                <c:pt idx="11">
                  <c:v>131.6609796367639</c:v>
                </c:pt>
                <c:pt idx="12">
                  <c:v>131.6609796367639</c:v>
                </c:pt>
                <c:pt idx="13">
                  <c:v>131.6609796367639</c:v>
                </c:pt>
                <c:pt idx="14">
                  <c:v>131.6609796367639</c:v>
                </c:pt>
                <c:pt idx="15">
                  <c:v>131.6609796367639</c:v>
                </c:pt>
                <c:pt idx="16">
                  <c:v>131.6609796367639</c:v>
                </c:pt>
                <c:pt idx="17">
                  <c:v>131.6609796367639</c:v>
                </c:pt>
                <c:pt idx="18">
                  <c:v>131.6609796367639</c:v>
                </c:pt>
                <c:pt idx="19">
                  <c:v>131.6609796367639</c:v>
                </c:pt>
                <c:pt idx="20">
                  <c:v>131.6609796367639</c:v>
                </c:pt>
                <c:pt idx="21">
                  <c:v>131.6609796367639</c:v>
                </c:pt>
                <c:pt idx="22">
                  <c:v>131.6609796367639</c:v>
                </c:pt>
                <c:pt idx="23">
                  <c:v>131.6609796367639</c:v>
                </c:pt>
                <c:pt idx="24">
                  <c:v>131.6609796367639</c:v>
                </c:pt>
                <c:pt idx="25">
                  <c:v>131.6609796367639</c:v>
                </c:pt>
                <c:pt idx="26">
                  <c:v>131.6609796367639</c:v>
                </c:pt>
                <c:pt idx="27">
                  <c:v>131.6609796367639</c:v>
                </c:pt>
                <c:pt idx="28">
                  <c:v>131.6609796367639</c:v>
                </c:pt>
                <c:pt idx="29">
                  <c:v>131.6609796367639</c:v>
                </c:pt>
                <c:pt idx="30">
                  <c:v>131.6609796367639</c:v>
                </c:pt>
                <c:pt idx="31">
                  <c:v>131.6609796367639</c:v>
                </c:pt>
                <c:pt idx="32">
                  <c:v>131.6609796367639</c:v>
                </c:pt>
                <c:pt idx="33">
                  <c:v>131.6609796367639</c:v>
                </c:pt>
                <c:pt idx="34">
                  <c:v>131.6609796367639</c:v>
                </c:pt>
                <c:pt idx="35">
                  <c:v>131.6609796367639</c:v>
                </c:pt>
                <c:pt idx="36">
                  <c:v>131.6609796367639</c:v>
                </c:pt>
                <c:pt idx="37">
                  <c:v>131.6609796367639</c:v>
                </c:pt>
                <c:pt idx="38">
                  <c:v>131.6609796367639</c:v>
                </c:pt>
                <c:pt idx="39">
                  <c:v>131.6609796367639</c:v>
                </c:pt>
                <c:pt idx="40">
                  <c:v>131.6609796367639</c:v>
                </c:pt>
                <c:pt idx="41">
                  <c:v>131.6609796367639</c:v>
                </c:pt>
                <c:pt idx="42">
                  <c:v>131.6609796367639</c:v>
                </c:pt>
                <c:pt idx="43">
                  <c:v>131.6609796367639</c:v>
                </c:pt>
                <c:pt idx="44">
                  <c:v>131.6609796367639</c:v>
                </c:pt>
                <c:pt idx="45">
                  <c:v>131.6609796367639</c:v>
                </c:pt>
                <c:pt idx="46">
                  <c:v>131.6609796367639</c:v>
                </c:pt>
                <c:pt idx="47">
                  <c:v>131.6609796367639</c:v>
                </c:pt>
                <c:pt idx="48">
                  <c:v>131.6609796367639</c:v>
                </c:pt>
                <c:pt idx="49">
                  <c:v>131.6609796367639</c:v>
                </c:pt>
                <c:pt idx="50">
                  <c:v>131.6609796367639</c:v>
                </c:pt>
              </c:numCache>
            </c:numRef>
          </c:val>
          <c:smooth val="0"/>
          <c:extLst>
            <c:ext xmlns:c16="http://schemas.microsoft.com/office/drawing/2014/chart" uri="{C3380CC4-5D6E-409C-BE32-E72D297353CC}">
              <c16:uniqueId val="{00000002-0B25-475D-9728-49789A6BF0A6}"/>
            </c:ext>
          </c:extLst>
        </c:ser>
        <c:dLbls>
          <c:showLegendKey val="0"/>
          <c:showVal val="0"/>
          <c:showCatName val="0"/>
          <c:showSerName val="0"/>
          <c:showPercent val="0"/>
          <c:showBubbleSize val="0"/>
        </c:dLbls>
        <c:smooth val="0"/>
        <c:axId val="455184328"/>
        <c:axId val="455184720"/>
      </c:lineChart>
      <c:catAx>
        <c:axId val="455184328"/>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5184720"/>
        <c:crosses val="autoZero"/>
        <c:auto val="1"/>
        <c:lblAlgn val="ctr"/>
        <c:lblOffset val="100"/>
        <c:noMultiLvlLbl val="0"/>
      </c:catAx>
      <c:valAx>
        <c:axId val="455184720"/>
        <c:scaling>
          <c:orientation val="minMax"/>
        </c:scaling>
        <c:delete val="0"/>
        <c:axPos val="l"/>
        <c:numFmt formatCode="#,##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5184328"/>
        <c:crosses val="autoZero"/>
        <c:crossBetween val="between"/>
      </c:valAx>
    </c:plotArea>
    <c:legend>
      <c:legendPos val="b"/>
      <c:legendEntry>
        <c:idx val="1"/>
        <c:txPr>
          <a:bodyPr/>
          <a:lstStyle/>
          <a:p>
            <a:pPr>
              <a:defRPr sz="920" b="1" i="0" u="none" strike="noStrike" baseline="0">
                <a:solidFill>
                  <a:srgbClr val="000000"/>
                </a:solidFill>
                <a:latin typeface="FbKolya Regular"/>
                <a:ea typeface="FbKolya Regular"/>
                <a:cs typeface="FbKolya Regular"/>
              </a:defRPr>
            </a:pPr>
            <a:endParaRPr lang="en-US"/>
          </a:p>
        </c:txPr>
      </c:legendEntry>
      <c:legendEntry>
        <c:idx val="2"/>
        <c:txPr>
          <a:bodyPr/>
          <a:lstStyle/>
          <a:p>
            <a:pPr>
              <a:defRPr sz="920" b="1" i="0" u="none" strike="noStrike" baseline="0">
                <a:solidFill>
                  <a:srgbClr val="000000"/>
                </a:solidFill>
                <a:latin typeface="FbKolya Regular"/>
                <a:ea typeface="FbKolya Regular"/>
                <a:cs typeface="FbKolya Regular"/>
              </a:defRPr>
            </a:pPr>
            <a:endParaRPr lang="en-US"/>
          </a:p>
        </c:txPr>
      </c:legendEntry>
      <c:overlay val="0"/>
      <c:txPr>
        <a:bodyPr/>
        <a:lstStyle/>
        <a:p>
          <a:pPr>
            <a:defRPr sz="92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116843702579725E-2"/>
          <c:y val="4.8611111111111112E-2"/>
          <c:w val="0.86798179059181713"/>
          <c:h val="0.63888888888890005"/>
        </c:manualLayout>
      </c:layout>
      <c:lineChart>
        <c:grouping val="standard"/>
        <c:varyColors val="0"/>
        <c:ser>
          <c:idx val="0"/>
          <c:order val="0"/>
          <c:tx>
            <c:strRef>
              <c:f>Potash!$I$6</c:f>
              <c:strCache>
                <c:ptCount val="1"/>
                <c:pt idx="0">
                  <c:v>real potash value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Potash!$I$67:$I$115</c:f>
              <c:numCache>
                <c:formatCode>#,##0</c:formatCode>
                <c:ptCount val="49"/>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numCache>
            </c:numRef>
          </c:val>
          <c:smooth val="0"/>
          <c:extLst>
            <c:ext xmlns:c16="http://schemas.microsoft.com/office/drawing/2014/chart" uri="{C3380CC4-5D6E-409C-BE32-E72D297353CC}">
              <c16:uniqueId val="{00000000-0C68-423B-8975-7E05E18E79AA}"/>
            </c:ext>
          </c:extLst>
        </c:ser>
        <c:ser>
          <c:idx val="1"/>
          <c:order val="1"/>
          <c:tx>
            <c:strRef>
              <c:f>Potash!$K$6</c:f>
              <c:strCache>
                <c:ptCount val="1"/>
                <c:pt idx="0">
                  <c:v>average sice 1960</c:v>
                </c:pt>
              </c:strCache>
            </c:strRef>
          </c:tx>
          <c:marker>
            <c:symbol val="none"/>
          </c:marker>
          <c:val>
            <c:numRef>
              <c:f>Potash!$K$67:$K$115</c:f>
              <c:numCache>
                <c:formatCode>#,##0</c:formatCode>
                <c:ptCount val="49"/>
                <c:pt idx="0">
                  <c:v>261.32349768334552</c:v>
                </c:pt>
                <c:pt idx="1">
                  <c:v>261.32349768334552</c:v>
                </c:pt>
                <c:pt idx="2">
                  <c:v>261.32349768334552</c:v>
                </c:pt>
                <c:pt idx="3">
                  <c:v>261.32349768334552</c:v>
                </c:pt>
                <c:pt idx="4">
                  <c:v>261.32349768334552</c:v>
                </c:pt>
                <c:pt idx="5">
                  <c:v>261.32349768334552</c:v>
                </c:pt>
                <c:pt idx="6">
                  <c:v>261.32349768334552</c:v>
                </c:pt>
                <c:pt idx="7">
                  <c:v>261.32349768334552</c:v>
                </c:pt>
                <c:pt idx="8">
                  <c:v>261.32349768334552</c:v>
                </c:pt>
                <c:pt idx="9">
                  <c:v>261.32349768334552</c:v>
                </c:pt>
                <c:pt idx="10">
                  <c:v>261.32349768334552</c:v>
                </c:pt>
                <c:pt idx="11">
                  <c:v>261.32349768334552</c:v>
                </c:pt>
                <c:pt idx="12">
                  <c:v>261.32349768334552</c:v>
                </c:pt>
                <c:pt idx="13">
                  <c:v>261.32349768334552</c:v>
                </c:pt>
                <c:pt idx="14">
                  <c:v>261.32349768334552</c:v>
                </c:pt>
                <c:pt idx="15">
                  <c:v>261.32349768334552</c:v>
                </c:pt>
                <c:pt idx="16">
                  <c:v>261.32349768334552</c:v>
                </c:pt>
                <c:pt idx="17">
                  <c:v>261.32349768334552</c:v>
                </c:pt>
                <c:pt idx="18">
                  <c:v>261.32349768334552</c:v>
                </c:pt>
                <c:pt idx="19">
                  <c:v>261.32349768334552</c:v>
                </c:pt>
                <c:pt idx="20">
                  <c:v>261.32349768334552</c:v>
                </c:pt>
                <c:pt idx="21">
                  <c:v>261.32349768334552</c:v>
                </c:pt>
                <c:pt idx="22">
                  <c:v>261.32349768334552</c:v>
                </c:pt>
                <c:pt idx="23">
                  <c:v>261.32349768334552</c:v>
                </c:pt>
                <c:pt idx="24">
                  <c:v>261.32349768334552</c:v>
                </c:pt>
                <c:pt idx="25">
                  <c:v>261.32349768334552</c:v>
                </c:pt>
                <c:pt idx="26">
                  <c:v>261.32349768334552</c:v>
                </c:pt>
                <c:pt idx="27">
                  <c:v>261.32349768334552</c:v>
                </c:pt>
                <c:pt idx="28">
                  <c:v>261.32349768334552</c:v>
                </c:pt>
                <c:pt idx="29">
                  <c:v>261.32349768334552</c:v>
                </c:pt>
                <c:pt idx="30">
                  <c:v>261.32349768334552</c:v>
                </c:pt>
                <c:pt idx="31">
                  <c:v>261.32349768334552</c:v>
                </c:pt>
                <c:pt idx="32">
                  <c:v>261.32349768334552</c:v>
                </c:pt>
                <c:pt idx="33">
                  <c:v>261.32349768334552</c:v>
                </c:pt>
                <c:pt idx="34">
                  <c:v>261.32349768334552</c:v>
                </c:pt>
                <c:pt idx="35">
                  <c:v>261.32349768334552</c:v>
                </c:pt>
                <c:pt idx="36">
                  <c:v>261.32349768334552</c:v>
                </c:pt>
                <c:pt idx="37">
                  <c:v>261.32349768334552</c:v>
                </c:pt>
                <c:pt idx="38">
                  <c:v>261.32349768334552</c:v>
                </c:pt>
                <c:pt idx="39">
                  <c:v>261.32349768334552</c:v>
                </c:pt>
                <c:pt idx="40">
                  <c:v>261.32349768334552</c:v>
                </c:pt>
                <c:pt idx="41">
                  <c:v>261.32349768334552</c:v>
                </c:pt>
                <c:pt idx="42">
                  <c:v>261.32349768334552</c:v>
                </c:pt>
                <c:pt idx="43">
                  <c:v>261.32349768334552</c:v>
                </c:pt>
                <c:pt idx="44">
                  <c:v>261.32349768334552</c:v>
                </c:pt>
                <c:pt idx="45">
                  <c:v>261.32349768334552</c:v>
                </c:pt>
                <c:pt idx="46">
                  <c:v>261.32349768334552</c:v>
                </c:pt>
                <c:pt idx="47">
                  <c:v>261.32349768334552</c:v>
                </c:pt>
                <c:pt idx="48">
                  <c:v>263.25833106210348</c:v>
                </c:pt>
              </c:numCache>
            </c:numRef>
          </c:val>
          <c:smooth val="0"/>
          <c:extLst>
            <c:ext xmlns:c16="http://schemas.microsoft.com/office/drawing/2014/chart" uri="{C3380CC4-5D6E-409C-BE32-E72D297353CC}">
              <c16:uniqueId val="{00000001-0C68-423B-8975-7E05E18E79AA}"/>
            </c:ext>
          </c:extLst>
        </c:ser>
        <c:dLbls>
          <c:showLegendKey val="0"/>
          <c:showVal val="0"/>
          <c:showCatName val="0"/>
          <c:showSerName val="0"/>
          <c:showPercent val="0"/>
          <c:showBubbleSize val="0"/>
        </c:dLbls>
        <c:smooth val="0"/>
        <c:axId val="455185504"/>
        <c:axId val="455185896"/>
      </c:lineChart>
      <c:catAx>
        <c:axId val="455185504"/>
        <c:scaling>
          <c:orientation val="minMax"/>
        </c:scaling>
        <c:delete val="0"/>
        <c:axPos val="b"/>
        <c:numFmt formatCode="0" sourceLinked="1"/>
        <c:majorTickMark val="out"/>
        <c:minorTickMark val="none"/>
        <c:tickLblPos val="nextTo"/>
        <c:txPr>
          <a:bodyPr rot="-2700000" vert="horz"/>
          <a:lstStyle/>
          <a:p>
            <a:pPr>
              <a:defRPr sz="1000" b="0" i="0" u="none" strike="noStrike" baseline="0">
                <a:solidFill>
                  <a:srgbClr val="000000"/>
                </a:solidFill>
                <a:latin typeface="Arial"/>
                <a:ea typeface="Arial"/>
                <a:cs typeface="Arial"/>
              </a:defRPr>
            </a:pPr>
            <a:endParaRPr lang="en-US"/>
          </a:p>
        </c:txPr>
        <c:crossAx val="455185896"/>
        <c:crosses val="autoZero"/>
        <c:auto val="1"/>
        <c:lblAlgn val="ctr"/>
        <c:lblOffset val="100"/>
        <c:noMultiLvlLbl val="0"/>
      </c:catAx>
      <c:valAx>
        <c:axId val="45518589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18550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Potash!$I$6</c:f>
              <c:strCache>
                <c:ptCount val="1"/>
                <c:pt idx="0">
                  <c:v>real potash value</c:v>
                </c:pt>
              </c:strCache>
            </c:strRef>
          </c:tx>
          <c:marker>
            <c:symbol val="none"/>
          </c:marker>
          <c:trendline>
            <c:trendlineType val="linear"/>
            <c:forward val="2"/>
            <c:dispRSqr val="0"/>
            <c:dispEq val="0"/>
          </c:trendline>
          <c:trendline>
            <c:trendlineType val="linear"/>
            <c:forward val="5"/>
            <c:dispRSqr val="1"/>
            <c:dispEq val="1"/>
            <c:trendlineLbl>
              <c:layout>
                <c:manualLayout>
                  <c:x val="-0.41512707786527436"/>
                  <c:y val="-0.26186351706036748"/>
                </c:manualLayout>
              </c:layout>
              <c:numFmt formatCode="General" sourceLinked="0"/>
              <c:txPr>
                <a:bodyPr/>
                <a:lstStyle/>
                <a:p>
                  <a:pPr>
                    <a:defRPr sz="1000" b="0" i="0" u="none" strike="noStrike" baseline="0">
                      <a:solidFill>
                        <a:srgbClr val="000000"/>
                      </a:solidFill>
                      <a:latin typeface="Arial"/>
                      <a:ea typeface="Arial"/>
                      <a:cs typeface="Arial"/>
                    </a:defRPr>
                  </a:pPr>
                  <a:endParaRPr lang="en-US"/>
                </a:p>
              </c:txPr>
            </c:trendlineLbl>
          </c:trendline>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Potash!$I$67:$I$115</c:f>
              <c:numCache>
                <c:formatCode>#,##0</c:formatCode>
                <c:ptCount val="49"/>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numCache>
            </c:numRef>
          </c:val>
          <c:smooth val="0"/>
          <c:extLst>
            <c:ext xmlns:c16="http://schemas.microsoft.com/office/drawing/2014/chart" uri="{C3380CC4-5D6E-409C-BE32-E72D297353CC}">
              <c16:uniqueId val="{00000000-6318-4D7C-8CA0-8736BBE9ED5B}"/>
            </c:ext>
          </c:extLst>
        </c:ser>
        <c:dLbls>
          <c:showLegendKey val="0"/>
          <c:showVal val="0"/>
          <c:showCatName val="0"/>
          <c:showSerName val="0"/>
          <c:showPercent val="0"/>
          <c:showBubbleSize val="0"/>
        </c:dLbls>
        <c:smooth val="0"/>
        <c:axId val="455186680"/>
        <c:axId val="455187072"/>
      </c:lineChart>
      <c:catAx>
        <c:axId val="455186680"/>
        <c:scaling>
          <c:orientation val="minMax"/>
        </c:scaling>
        <c:delete val="0"/>
        <c:axPos val="b"/>
        <c:numFmt formatCode="0" sourceLinked="1"/>
        <c:majorTickMark val="out"/>
        <c:minorTickMark val="none"/>
        <c:tickLblPos val="nextTo"/>
        <c:txPr>
          <a:bodyPr rot="-2700000" vert="horz"/>
          <a:lstStyle/>
          <a:p>
            <a:pPr>
              <a:defRPr sz="1000" b="0" i="0" u="none" strike="noStrike" baseline="0">
                <a:solidFill>
                  <a:srgbClr val="000000"/>
                </a:solidFill>
                <a:latin typeface="Arial"/>
                <a:ea typeface="Arial"/>
                <a:cs typeface="Arial"/>
              </a:defRPr>
            </a:pPr>
            <a:endParaRPr lang="en-US"/>
          </a:p>
        </c:txPr>
        <c:crossAx val="455187072"/>
        <c:crosses val="autoZero"/>
        <c:auto val="1"/>
        <c:lblAlgn val="ctr"/>
        <c:lblOffset val="100"/>
        <c:noMultiLvlLbl val="0"/>
      </c:catAx>
      <c:valAx>
        <c:axId val="45518707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18668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Potash!$X$6</c:f>
              <c:strCache>
                <c:ptCount val="1"/>
                <c:pt idx="0">
                  <c:v>Corn Price per bushel</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Potash!$X$29:$X$115</c:f>
              <c:numCache>
                <c:formatCode>"$"#,##0.00</c:formatCode>
                <c:ptCount val="87"/>
                <c:pt idx="0">
                  <c:v>0.68799999999999994</c:v>
                </c:pt>
                <c:pt idx="1">
                  <c:v>0.76</c:v>
                </c:pt>
                <c:pt idx="2">
                  <c:v>1.02</c:v>
                </c:pt>
                <c:pt idx="3">
                  <c:v>0.65400000000000003</c:v>
                </c:pt>
                <c:pt idx="4">
                  <c:v>0.71499999999999997</c:v>
                </c:pt>
                <c:pt idx="5">
                  <c:v>0.80400000000000005</c:v>
                </c:pt>
                <c:pt idx="6">
                  <c:v>0.79800000000000004</c:v>
                </c:pt>
                <c:pt idx="7">
                  <c:v>0.76400000000000001</c:v>
                </c:pt>
                <c:pt idx="8">
                  <c:v>0.55000000000000004</c:v>
                </c:pt>
                <c:pt idx="9">
                  <c:v>0.29399999999999998</c:v>
                </c:pt>
                <c:pt idx="10">
                  <c:v>0.29199999999999998</c:v>
                </c:pt>
                <c:pt idx="11">
                  <c:v>0.49399999999999999</c:v>
                </c:pt>
                <c:pt idx="12">
                  <c:v>0.80200000000000005</c:v>
                </c:pt>
                <c:pt idx="13">
                  <c:v>0.63200000000000001</c:v>
                </c:pt>
                <c:pt idx="14">
                  <c:v>1.03</c:v>
                </c:pt>
                <c:pt idx="15">
                  <c:v>0.49</c:v>
                </c:pt>
                <c:pt idx="16">
                  <c:v>0.46899999999999997</c:v>
                </c:pt>
                <c:pt idx="17">
                  <c:v>0.54200000000000004</c:v>
                </c:pt>
                <c:pt idx="18">
                  <c:v>0.60099999999999998</c:v>
                </c:pt>
                <c:pt idx="19">
                  <c:v>0.73599999999999999</c:v>
                </c:pt>
                <c:pt idx="20">
                  <c:v>0.89400000000000002</c:v>
                </c:pt>
                <c:pt idx="21">
                  <c:v>1.08</c:v>
                </c:pt>
                <c:pt idx="22">
                  <c:v>1.03</c:v>
                </c:pt>
                <c:pt idx="23">
                  <c:v>1.23</c:v>
                </c:pt>
                <c:pt idx="24">
                  <c:v>1.53</c:v>
                </c:pt>
                <c:pt idx="25">
                  <c:v>2.16</c:v>
                </c:pt>
                <c:pt idx="26">
                  <c:v>1.28</c:v>
                </c:pt>
                <c:pt idx="27">
                  <c:v>1.24</c:v>
                </c:pt>
                <c:pt idx="28">
                  <c:v>1.52</c:v>
                </c:pt>
                <c:pt idx="29">
                  <c:v>1.66</c:v>
                </c:pt>
                <c:pt idx="30">
                  <c:v>1.52</c:v>
                </c:pt>
                <c:pt idx="31">
                  <c:v>1.48</c:v>
                </c:pt>
                <c:pt idx="32">
                  <c:v>1.43</c:v>
                </c:pt>
                <c:pt idx="33">
                  <c:v>1.35</c:v>
                </c:pt>
                <c:pt idx="34">
                  <c:v>1.29</c:v>
                </c:pt>
                <c:pt idx="35">
                  <c:v>1.1100000000000001</c:v>
                </c:pt>
                <c:pt idx="36">
                  <c:v>1.1200000000000001</c:v>
                </c:pt>
                <c:pt idx="37">
                  <c:v>1.05</c:v>
                </c:pt>
                <c:pt idx="38">
                  <c:v>1</c:v>
                </c:pt>
                <c:pt idx="39">
                  <c:v>1.1000000000000001</c:v>
                </c:pt>
                <c:pt idx="40">
                  <c:v>1.1200000000000001</c:v>
                </c:pt>
                <c:pt idx="41">
                  <c:v>1.1100000000000001</c:v>
                </c:pt>
                <c:pt idx="42">
                  <c:v>1.17</c:v>
                </c:pt>
                <c:pt idx="43">
                  <c:v>1.1599999999999999</c:v>
                </c:pt>
                <c:pt idx="44">
                  <c:v>1.24</c:v>
                </c:pt>
                <c:pt idx="45">
                  <c:v>1.03</c:v>
                </c:pt>
                <c:pt idx="46">
                  <c:v>1.08</c:v>
                </c:pt>
                <c:pt idx="47">
                  <c:v>1.1599999999999999</c:v>
                </c:pt>
                <c:pt idx="48">
                  <c:v>1.33</c:v>
                </c:pt>
                <c:pt idx="49">
                  <c:v>1.08</c:v>
                </c:pt>
                <c:pt idx="50">
                  <c:v>1.57</c:v>
                </c:pt>
                <c:pt idx="51">
                  <c:v>2.5499999999999998</c:v>
                </c:pt>
                <c:pt idx="52">
                  <c:v>3.02</c:v>
                </c:pt>
                <c:pt idx="53">
                  <c:v>2.54</c:v>
                </c:pt>
                <c:pt idx="54">
                  <c:v>2.15</c:v>
                </c:pt>
                <c:pt idx="55">
                  <c:v>2.02</c:v>
                </c:pt>
                <c:pt idx="56">
                  <c:v>2.25</c:v>
                </c:pt>
                <c:pt idx="57">
                  <c:v>2.52</c:v>
                </c:pt>
                <c:pt idx="58">
                  <c:v>3.11</c:v>
                </c:pt>
                <c:pt idx="59">
                  <c:v>2.5</c:v>
                </c:pt>
                <c:pt idx="60">
                  <c:v>2.5499999999999998</c:v>
                </c:pt>
                <c:pt idx="61">
                  <c:v>3.21</c:v>
                </c:pt>
                <c:pt idx="62">
                  <c:v>2.63</c:v>
                </c:pt>
                <c:pt idx="63">
                  <c:v>2.23</c:v>
                </c:pt>
                <c:pt idx="64">
                  <c:v>1.5</c:v>
                </c:pt>
                <c:pt idx="65">
                  <c:v>1.94</c:v>
                </c:pt>
                <c:pt idx="66">
                  <c:v>2.54</c:v>
                </c:pt>
                <c:pt idx="67">
                  <c:v>2.36</c:v>
                </c:pt>
                <c:pt idx="68">
                  <c:v>2.2799999999999998</c:v>
                </c:pt>
                <c:pt idx="69">
                  <c:v>2.37</c:v>
                </c:pt>
                <c:pt idx="70">
                  <c:v>2.0699999999999998</c:v>
                </c:pt>
                <c:pt idx="71">
                  <c:v>2.5</c:v>
                </c:pt>
                <c:pt idx="72">
                  <c:v>2.2599999999999998</c:v>
                </c:pt>
                <c:pt idx="73">
                  <c:v>3.24</c:v>
                </c:pt>
                <c:pt idx="74">
                  <c:v>2.71</c:v>
                </c:pt>
                <c:pt idx="75">
                  <c:v>2.4300000000000002</c:v>
                </c:pt>
                <c:pt idx="76">
                  <c:v>1.94</c:v>
                </c:pt>
                <c:pt idx="77">
                  <c:v>1.82</c:v>
                </c:pt>
                <c:pt idx="78">
                  <c:v>1.85</c:v>
                </c:pt>
                <c:pt idx="79">
                  <c:v>1.97</c:v>
                </c:pt>
                <c:pt idx="80">
                  <c:v>2.3199999999999998</c:v>
                </c:pt>
                <c:pt idx="81">
                  <c:v>2.42</c:v>
                </c:pt>
                <c:pt idx="82">
                  <c:v>2.06</c:v>
                </c:pt>
                <c:pt idx="83">
                  <c:v>2</c:v>
                </c:pt>
                <c:pt idx="84">
                  <c:v>3.04</c:v>
                </c:pt>
                <c:pt idx="85">
                  <c:v>4.2</c:v>
                </c:pt>
                <c:pt idx="86">
                  <c:v>5.24</c:v>
                </c:pt>
              </c:numCache>
            </c:numRef>
          </c:val>
          <c:smooth val="0"/>
          <c:extLst>
            <c:ext xmlns:c16="http://schemas.microsoft.com/office/drawing/2014/chart" uri="{C3380CC4-5D6E-409C-BE32-E72D297353CC}">
              <c16:uniqueId val="{00000000-A0CF-44D0-B002-A13FF0F67840}"/>
            </c:ext>
          </c:extLst>
        </c:ser>
        <c:dLbls>
          <c:showLegendKey val="0"/>
          <c:showVal val="0"/>
          <c:showCatName val="0"/>
          <c:showSerName val="0"/>
          <c:showPercent val="0"/>
          <c:showBubbleSize val="0"/>
        </c:dLbls>
        <c:smooth val="0"/>
        <c:axId val="455488112"/>
        <c:axId val="455488504"/>
      </c:lineChart>
      <c:catAx>
        <c:axId val="455488112"/>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88504"/>
        <c:crosses val="autoZero"/>
        <c:auto val="1"/>
        <c:lblAlgn val="ctr"/>
        <c:lblOffset val="100"/>
        <c:noMultiLvlLbl val="0"/>
      </c:catAx>
      <c:valAx>
        <c:axId val="455488504"/>
        <c:scaling>
          <c:orientation val="minMax"/>
        </c:scaling>
        <c:delete val="0"/>
        <c:axPos val="l"/>
        <c:majorGridlines/>
        <c:numFmt formatCode="&quot;$&quot;#,##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8811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77" l="0.70000000000000062" r="0.70000000000000062" t="0.75000000000001077"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Potash!$Y$6</c:f>
              <c:strCache>
                <c:ptCount val="1"/>
                <c:pt idx="0">
                  <c:v>real corn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Potash!$Y$29:$Y$115</c:f>
              <c:numCache>
                <c:formatCode>#,##0</c:formatCode>
                <c:ptCount val="87"/>
                <c:pt idx="0">
                  <c:v>8.8536236686390524</c:v>
                </c:pt>
                <c:pt idx="1">
                  <c:v>9.8383809523809518</c:v>
                </c:pt>
                <c:pt idx="2">
                  <c:v>12.822520231213872</c:v>
                </c:pt>
                <c:pt idx="3">
                  <c:v>8.2214982658959528</c:v>
                </c:pt>
                <c:pt idx="4">
                  <c:v>8.6870502793296094</c:v>
                </c:pt>
                <c:pt idx="5">
                  <c:v>9.9916525714285704</c:v>
                </c:pt>
                <c:pt idx="6">
                  <c:v>10.03173641618497</c:v>
                </c:pt>
                <c:pt idx="7">
                  <c:v>9.7166502923976594</c:v>
                </c:pt>
                <c:pt idx="8">
                  <c:v>6.994970760233918</c:v>
                </c:pt>
                <c:pt idx="9">
                  <c:v>4.0213283018867925</c:v>
                </c:pt>
                <c:pt idx="10">
                  <c:v>4.4408503496503489</c:v>
                </c:pt>
                <c:pt idx="11">
                  <c:v>8.3283038759689916</c:v>
                </c:pt>
                <c:pt idx="12">
                  <c:v>13.213557575757577</c:v>
                </c:pt>
                <c:pt idx="13">
                  <c:v>10.106423529411765</c:v>
                </c:pt>
                <c:pt idx="14">
                  <c:v>16.232202898550725</c:v>
                </c:pt>
                <c:pt idx="15">
                  <c:v>7.5578156028368788</c:v>
                </c:pt>
                <c:pt idx="16">
                  <c:v>7.1829661971830978</c:v>
                </c:pt>
                <c:pt idx="17">
                  <c:v>8.4195828571428581</c:v>
                </c:pt>
                <c:pt idx="18">
                  <c:v>9.4032719424460431</c:v>
                </c:pt>
                <c:pt idx="19">
                  <c:v>11.352147517730497</c:v>
                </c:pt>
                <c:pt idx="20">
                  <c:v>12.383892993630575</c:v>
                </c:pt>
                <c:pt idx="21">
                  <c:v>13.898130177514794</c:v>
                </c:pt>
                <c:pt idx="22">
                  <c:v>12.873816091954025</c:v>
                </c:pt>
                <c:pt idx="23">
                  <c:v>15.028112359550558</c:v>
                </c:pt>
                <c:pt idx="24">
                  <c:v>18.28265934065934</c:v>
                </c:pt>
                <c:pt idx="25">
                  <c:v>21.849153488372092</c:v>
                </c:pt>
                <c:pt idx="26">
                  <c:v>11.745755274261603</c:v>
                </c:pt>
                <c:pt idx="27">
                  <c:v>11.236466666666665</c:v>
                </c:pt>
                <c:pt idx="28">
                  <c:v>14.066791489361702</c:v>
                </c:pt>
                <c:pt idx="29">
                  <c:v>14.213259842519685</c:v>
                </c:pt>
                <c:pt idx="30">
                  <c:v>12.474324528301887</c:v>
                </c:pt>
                <c:pt idx="31">
                  <c:v>12.100390977443606</c:v>
                </c:pt>
                <c:pt idx="32">
                  <c:v>11.561204460966543</c:v>
                </c:pt>
                <c:pt idx="33">
                  <c:v>10.996179775280901</c:v>
                </c:pt>
                <c:pt idx="34">
                  <c:v>10.468253731343284</c:v>
                </c:pt>
                <c:pt idx="35">
                  <c:v>8.7464782608695657</c:v>
                </c:pt>
                <c:pt idx="36">
                  <c:v>8.516699300699301</c:v>
                </c:pt>
                <c:pt idx="37">
                  <c:v>7.8742758620689646</c:v>
                </c:pt>
                <c:pt idx="38">
                  <c:v>7.4225255972696242</c:v>
                </c:pt>
                <c:pt idx="39">
                  <c:v>8.0277852348993282</c:v>
                </c:pt>
                <c:pt idx="40">
                  <c:v>8.1192533333333348</c:v>
                </c:pt>
                <c:pt idx="41">
                  <c:v>7.9408815789473692</c:v>
                </c:pt>
                <c:pt idx="42">
                  <c:v>8.2346796116504848</c:v>
                </c:pt>
                <c:pt idx="43">
                  <c:v>8.0857948717948709</c:v>
                </c:pt>
                <c:pt idx="44">
                  <c:v>8.48035220125786</c:v>
                </c:pt>
                <c:pt idx="45">
                  <c:v>6.8086443768996965</c:v>
                </c:pt>
                <c:pt idx="46">
                  <c:v>6.8879296187683279</c:v>
                </c:pt>
                <c:pt idx="47">
                  <c:v>7.0864269662921338</c:v>
                </c:pt>
                <c:pt idx="48">
                  <c:v>7.6520740740740747</c:v>
                </c:pt>
                <c:pt idx="49">
                  <c:v>5.9014673366834174</c:v>
                </c:pt>
                <c:pt idx="50">
                  <c:v>8.3076301703163011</c:v>
                </c:pt>
                <c:pt idx="51">
                  <c:v>13.018169014084506</c:v>
                </c:pt>
                <c:pt idx="52">
                  <c:v>14.094197424892702</c:v>
                </c:pt>
                <c:pt idx="53">
                  <c:v>10.602671785028789</c:v>
                </c:pt>
                <c:pt idx="54">
                  <c:v>8.4097482014388483</c:v>
                </c:pt>
                <c:pt idx="55">
                  <c:v>7.5095658119658122</c:v>
                </c:pt>
                <c:pt idx="56">
                  <c:v>7.8292799999999998</c:v>
                </c:pt>
                <c:pt idx="57">
                  <c:v>8.0241522693997069</c:v>
                </c:pt>
                <c:pt idx="58">
                  <c:v>8.693609254498714</c:v>
                </c:pt>
                <c:pt idx="59">
                  <c:v>6.2494252873563214</c:v>
                </c:pt>
                <c:pt idx="60">
                  <c:v>5.8809544008483563</c:v>
                </c:pt>
                <c:pt idx="61">
                  <c:v>7.1381472392638035</c:v>
                </c:pt>
                <c:pt idx="62">
                  <c:v>5.613075564278704</c:v>
                </c:pt>
                <c:pt idx="63">
                  <c:v>4.5969706161137438</c:v>
                </c:pt>
                <c:pt idx="64">
                  <c:v>2.9764598540145983</c:v>
                </c:pt>
                <c:pt idx="65">
                  <c:v>3.7941654676258989</c:v>
                </c:pt>
                <c:pt idx="66">
                  <c:v>4.7744096802074321</c:v>
                </c:pt>
                <c:pt idx="67">
                  <c:v>4.2382559867877792</c:v>
                </c:pt>
                <c:pt idx="68">
                  <c:v>3.8921067503924642</c:v>
                </c:pt>
                <c:pt idx="69">
                  <c:v>3.8293283803863298</c:v>
                </c:pt>
                <c:pt idx="70">
                  <c:v>3.2598377986965965</c:v>
                </c:pt>
                <c:pt idx="71">
                  <c:v>3.8127629733520334</c:v>
                </c:pt>
                <c:pt idx="72">
                  <c:v>3.361865937072503</c:v>
                </c:pt>
                <c:pt idx="73">
                  <c:v>4.688191616766467</c:v>
                </c:pt>
                <c:pt idx="74">
                  <c:v>3.8171683937823828</c:v>
                </c:pt>
                <c:pt idx="75">
                  <c:v>3.3216618478944064</c:v>
                </c:pt>
                <c:pt idx="76">
                  <c:v>2.6108366336633662</c:v>
                </c:pt>
                <c:pt idx="77">
                  <c:v>2.4090906877662812</c:v>
                </c:pt>
                <c:pt idx="78">
                  <c:v>2.3835189573459714</c:v>
                </c:pt>
                <c:pt idx="79">
                  <c:v>2.4468052541404912</c:v>
                </c:pt>
                <c:pt idx="80">
                  <c:v>2.8489757199322416</c:v>
                </c:pt>
                <c:pt idx="81">
                  <c:v>2.8965415520088058</c:v>
                </c:pt>
                <c:pt idx="82">
                  <c:v>2.4190539956803456</c:v>
                </c:pt>
                <c:pt idx="83">
                  <c:v>2.2808599895123232</c:v>
                </c:pt>
                <c:pt idx="84">
                  <c:v>3.3340353000504281</c:v>
                </c:pt>
                <c:pt idx="85">
                  <c:v>4.4215180973380104</c:v>
                </c:pt>
                <c:pt idx="86">
                  <c:v>5.2854468716664353</c:v>
                </c:pt>
              </c:numCache>
            </c:numRef>
          </c:val>
          <c:smooth val="0"/>
          <c:extLst>
            <c:ext xmlns:c16="http://schemas.microsoft.com/office/drawing/2014/chart" uri="{C3380CC4-5D6E-409C-BE32-E72D297353CC}">
              <c16:uniqueId val="{00000000-D627-4660-83AA-BAE66F982767}"/>
            </c:ext>
          </c:extLst>
        </c:ser>
        <c:dLbls>
          <c:showLegendKey val="0"/>
          <c:showVal val="0"/>
          <c:showCatName val="0"/>
          <c:showSerName val="0"/>
          <c:showPercent val="0"/>
          <c:showBubbleSize val="0"/>
        </c:dLbls>
        <c:smooth val="0"/>
        <c:axId val="455489288"/>
        <c:axId val="455489680"/>
      </c:lineChart>
      <c:catAx>
        <c:axId val="45548928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89680"/>
        <c:crosses val="autoZero"/>
        <c:auto val="1"/>
        <c:lblAlgn val="ctr"/>
        <c:lblOffset val="100"/>
        <c:noMultiLvlLbl val="0"/>
      </c:catAx>
      <c:valAx>
        <c:axId val="45548968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8928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99" l="0.70000000000000062" r="0.70000000000000062" t="0.75000000000001099"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Potash!$AC$6</c:f>
              <c:strCache>
                <c:ptCount val="1"/>
                <c:pt idx="0">
                  <c:v>Soy Price   per bushel</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Potash!$AC$29:$AC$115</c:f>
              <c:numCache>
                <c:formatCode>#,##0.0</c:formatCode>
                <c:ptCount val="87"/>
                <c:pt idx="0">
                  <c:v>2.0099999999999998</c:v>
                </c:pt>
                <c:pt idx="1">
                  <c:v>2.2799999999999998</c:v>
                </c:pt>
                <c:pt idx="2">
                  <c:v>2.5</c:v>
                </c:pt>
                <c:pt idx="3">
                  <c:v>2.34</c:v>
                </c:pt>
                <c:pt idx="4">
                  <c:v>2</c:v>
                </c:pt>
                <c:pt idx="5">
                  <c:v>1.8</c:v>
                </c:pt>
                <c:pt idx="6">
                  <c:v>1.86</c:v>
                </c:pt>
                <c:pt idx="7">
                  <c:v>1.86</c:v>
                </c:pt>
                <c:pt idx="8">
                  <c:v>1.34</c:v>
                </c:pt>
                <c:pt idx="9">
                  <c:v>0.48099999999999998</c:v>
                </c:pt>
                <c:pt idx="10">
                  <c:v>0.52900000000000003</c:v>
                </c:pt>
                <c:pt idx="11">
                  <c:v>0.91700000000000004</c:v>
                </c:pt>
                <c:pt idx="12">
                  <c:v>0.96299999999999997</c:v>
                </c:pt>
                <c:pt idx="13">
                  <c:v>0.71399999999999997</c:v>
                </c:pt>
                <c:pt idx="14">
                  <c:v>1.25</c:v>
                </c:pt>
                <c:pt idx="15">
                  <c:v>0.83699999999999997</c:v>
                </c:pt>
                <c:pt idx="16">
                  <c:v>0.66400000000000003</c:v>
                </c:pt>
                <c:pt idx="17">
                  <c:v>0.80200000000000005</c:v>
                </c:pt>
                <c:pt idx="18">
                  <c:v>0.89200000000000002</c:v>
                </c:pt>
                <c:pt idx="19">
                  <c:v>1.55</c:v>
                </c:pt>
                <c:pt idx="20">
                  <c:v>1.6</c:v>
                </c:pt>
                <c:pt idx="21">
                  <c:v>1.81</c:v>
                </c:pt>
                <c:pt idx="22">
                  <c:v>2.0499999999999998</c:v>
                </c:pt>
                <c:pt idx="23">
                  <c:v>2.08</c:v>
                </c:pt>
                <c:pt idx="24">
                  <c:v>2.57</c:v>
                </c:pt>
                <c:pt idx="25">
                  <c:v>3.33</c:v>
                </c:pt>
                <c:pt idx="26">
                  <c:v>2.27</c:v>
                </c:pt>
                <c:pt idx="27">
                  <c:v>2.16</c:v>
                </c:pt>
                <c:pt idx="28">
                  <c:v>2.4700000000000002</c:v>
                </c:pt>
                <c:pt idx="29">
                  <c:v>2.73</c:v>
                </c:pt>
                <c:pt idx="30">
                  <c:v>2.72</c:v>
                </c:pt>
                <c:pt idx="31">
                  <c:v>2.72</c:v>
                </c:pt>
                <c:pt idx="32">
                  <c:v>2.46</c:v>
                </c:pt>
                <c:pt idx="33">
                  <c:v>2.2200000000000002</c:v>
                </c:pt>
                <c:pt idx="34">
                  <c:v>2.1800000000000002</c:v>
                </c:pt>
                <c:pt idx="35">
                  <c:v>2.0699999999999998</c:v>
                </c:pt>
                <c:pt idx="36">
                  <c:v>2</c:v>
                </c:pt>
                <c:pt idx="37">
                  <c:v>1.96</c:v>
                </c:pt>
                <c:pt idx="38">
                  <c:v>2.13</c:v>
                </c:pt>
                <c:pt idx="39">
                  <c:v>2.2799999999999998</c:v>
                </c:pt>
                <c:pt idx="40">
                  <c:v>2.34</c:v>
                </c:pt>
                <c:pt idx="41">
                  <c:v>2.5099999999999998</c:v>
                </c:pt>
                <c:pt idx="42">
                  <c:v>2.62</c:v>
                </c:pt>
                <c:pt idx="43">
                  <c:v>2.54</c:v>
                </c:pt>
                <c:pt idx="44">
                  <c:v>2.75</c:v>
                </c:pt>
                <c:pt idx="45">
                  <c:v>2.4900000000000002</c:v>
                </c:pt>
                <c:pt idx="46">
                  <c:v>2.4300000000000002</c:v>
                </c:pt>
                <c:pt idx="47">
                  <c:v>2.35</c:v>
                </c:pt>
                <c:pt idx="48">
                  <c:v>2.85</c:v>
                </c:pt>
                <c:pt idx="49">
                  <c:v>3.03</c:v>
                </c:pt>
                <c:pt idx="50">
                  <c:v>4.37</c:v>
                </c:pt>
                <c:pt idx="51">
                  <c:v>5.68</c:v>
                </c:pt>
                <c:pt idx="52">
                  <c:v>6.64</c:v>
                </c:pt>
                <c:pt idx="53">
                  <c:v>4.92</c:v>
                </c:pt>
                <c:pt idx="54">
                  <c:v>6.81</c:v>
                </c:pt>
                <c:pt idx="55">
                  <c:v>5.88</c:v>
                </c:pt>
                <c:pt idx="56">
                  <c:v>6.66</c:v>
                </c:pt>
                <c:pt idx="57">
                  <c:v>6.29</c:v>
                </c:pt>
                <c:pt idx="58">
                  <c:v>7.6</c:v>
                </c:pt>
                <c:pt idx="59">
                  <c:v>6.07</c:v>
                </c:pt>
                <c:pt idx="60">
                  <c:v>5.71</c:v>
                </c:pt>
                <c:pt idx="61">
                  <c:v>7.83</c:v>
                </c:pt>
                <c:pt idx="62">
                  <c:v>5.84</c:v>
                </c:pt>
                <c:pt idx="63">
                  <c:v>5.05</c:v>
                </c:pt>
                <c:pt idx="64">
                  <c:v>4.78</c:v>
                </c:pt>
                <c:pt idx="65">
                  <c:v>5.88</c:v>
                </c:pt>
                <c:pt idx="66">
                  <c:v>7.42</c:v>
                </c:pt>
                <c:pt idx="67">
                  <c:v>5.69</c:v>
                </c:pt>
                <c:pt idx="68">
                  <c:v>5.74</c:v>
                </c:pt>
                <c:pt idx="69">
                  <c:v>5.58</c:v>
                </c:pt>
                <c:pt idx="70">
                  <c:v>5.56</c:v>
                </c:pt>
                <c:pt idx="71">
                  <c:v>6.4</c:v>
                </c:pt>
                <c:pt idx="72">
                  <c:v>5.48</c:v>
                </c:pt>
                <c:pt idx="73">
                  <c:v>6.72</c:v>
                </c:pt>
                <c:pt idx="74">
                  <c:v>7.35</c:v>
                </c:pt>
                <c:pt idx="75">
                  <c:v>6.47</c:v>
                </c:pt>
                <c:pt idx="76">
                  <c:v>4.93</c:v>
                </c:pt>
                <c:pt idx="77">
                  <c:v>4.63</c:v>
                </c:pt>
                <c:pt idx="78">
                  <c:v>4.54</c:v>
                </c:pt>
                <c:pt idx="79">
                  <c:v>4.38</c:v>
                </c:pt>
                <c:pt idx="80">
                  <c:v>5.53</c:v>
                </c:pt>
                <c:pt idx="81">
                  <c:v>7.34</c:v>
                </c:pt>
                <c:pt idx="82">
                  <c:v>5.74</c:v>
                </c:pt>
                <c:pt idx="83">
                  <c:v>5.66</c:v>
                </c:pt>
                <c:pt idx="84">
                  <c:v>6.43</c:v>
                </c:pt>
                <c:pt idx="85">
                  <c:v>10.1</c:v>
                </c:pt>
                <c:pt idx="86">
                  <c:v>9.25</c:v>
                </c:pt>
              </c:numCache>
            </c:numRef>
          </c:val>
          <c:smooth val="0"/>
          <c:extLst>
            <c:ext xmlns:c16="http://schemas.microsoft.com/office/drawing/2014/chart" uri="{C3380CC4-5D6E-409C-BE32-E72D297353CC}">
              <c16:uniqueId val="{00000000-BB5B-4C0E-B29C-EF1D39517D45}"/>
            </c:ext>
          </c:extLst>
        </c:ser>
        <c:dLbls>
          <c:showLegendKey val="0"/>
          <c:showVal val="0"/>
          <c:showCatName val="0"/>
          <c:showSerName val="0"/>
          <c:showPercent val="0"/>
          <c:showBubbleSize val="0"/>
        </c:dLbls>
        <c:smooth val="0"/>
        <c:axId val="455490464"/>
        <c:axId val="455490856"/>
      </c:lineChart>
      <c:catAx>
        <c:axId val="4554904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90856"/>
        <c:crosses val="autoZero"/>
        <c:auto val="1"/>
        <c:lblAlgn val="ctr"/>
        <c:lblOffset val="100"/>
        <c:noMultiLvlLbl val="0"/>
      </c:catAx>
      <c:valAx>
        <c:axId val="455490856"/>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904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99" l="0.70000000000000062" r="0.70000000000000062" t="0.75000000000001099"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Potash!$AD$6</c:f>
              <c:strCache>
                <c:ptCount val="1"/>
                <c:pt idx="0">
                  <c:v>real soy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Potash!$AD$29:$AD$115</c:f>
              <c:numCache>
                <c:formatCode>#,##0.0</c:formatCode>
                <c:ptCount val="87"/>
                <c:pt idx="0">
                  <c:v>25.643556213017749</c:v>
                </c:pt>
                <c:pt idx="1">
                  <c:v>29.26135714285714</c:v>
                </c:pt>
                <c:pt idx="2">
                  <c:v>31.157514450867051</c:v>
                </c:pt>
                <c:pt idx="3">
                  <c:v>29.163433526011556</c:v>
                </c:pt>
                <c:pt idx="4">
                  <c:v>24.090502793296089</c:v>
                </c:pt>
                <c:pt idx="5">
                  <c:v>22.177028571428568</c:v>
                </c:pt>
                <c:pt idx="6">
                  <c:v>23.181190751445087</c:v>
                </c:pt>
                <c:pt idx="7">
                  <c:v>23.452315789473683</c:v>
                </c:pt>
                <c:pt idx="8">
                  <c:v>16.89575438596491</c:v>
                </c:pt>
                <c:pt idx="9">
                  <c:v>6.5225415094339612</c:v>
                </c:pt>
                <c:pt idx="10">
                  <c:v>7.9760622377622372</c:v>
                </c:pt>
                <c:pt idx="11">
                  <c:v>15.326695348837209</c:v>
                </c:pt>
                <c:pt idx="12">
                  <c:v>15.729729545454544</c:v>
                </c:pt>
                <c:pt idx="13">
                  <c:v>11.319525000000001</c:v>
                </c:pt>
                <c:pt idx="14">
                  <c:v>19.529891304347824</c:v>
                </c:pt>
                <c:pt idx="15">
                  <c:v>12.79897659574468</c:v>
                </c:pt>
                <c:pt idx="16">
                  <c:v>10.082045070422536</c:v>
                </c:pt>
                <c:pt idx="17">
                  <c:v>12.351372857142858</c:v>
                </c:pt>
                <c:pt idx="18">
                  <c:v>13.83626762589928</c:v>
                </c:pt>
                <c:pt idx="19">
                  <c:v>23.701808510638298</c:v>
                </c:pt>
                <c:pt idx="20">
                  <c:v>21.972993630573249</c:v>
                </c:pt>
                <c:pt idx="21">
                  <c:v>23.091958579881659</c:v>
                </c:pt>
                <c:pt idx="22">
                  <c:v>25.402327586206894</c:v>
                </c:pt>
                <c:pt idx="23">
                  <c:v>25.19487640449438</c:v>
                </c:pt>
                <c:pt idx="24">
                  <c:v>30.446027472527469</c:v>
                </c:pt>
                <c:pt idx="25">
                  <c:v>33.394479069767435</c:v>
                </c:pt>
                <c:pt idx="26">
                  <c:v>20.651253164556962</c:v>
                </c:pt>
                <c:pt idx="27">
                  <c:v>19.404900000000001</c:v>
                </c:pt>
                <c:pt idx="28">
                  <c:v>22.661987234042552</c:v>
                </c:pt>
                <c:pt idx="29">
                  <c:v>23.173830708661416</c:v>
                </c:pt>
                <c:pt idx="30">
                  <c:v>22.130535849056603</c:v>
                </c:pt>
                <c:pt idx="31">
                  <c:v>22.047338345864659</c:v>
                </c:pt>
                <c:pt idx="32">
                  <c:v>19.71749442379182</c:v>
                </c:pt>
                <c:pt idx="33">
                  <c:v>17.92712359550562</c:v>
                </c:pt>
                <c:pt idx="34">
                  <c:v>17.538425373134327</c:v>
                </c:pt>
                <c:pt idx="35">
                  <c:v>16.170749999999998</c:v>
                </c:pt>
                <c:pt idx="36">
                  <c:v>15.077622377622376</c:v>
                </c:pt>
                <c:pt idx="37">
                  <c:v>14.572262068965516</c:v>
                </c:pt>
                <c:pt idx="38">
                  <c:v>15.674037542662115</c:v>
                </c:pt>
                <c:pt idx="39">
                  <c:v>16.496335570469796</c:v>
                </c:pt>
                <c:pt idx="40">
                  <c:v>16.81758</c:v>
                </c:pt>
                <c:pt idx="41">
                  <c:v>17.802009868421049</c:v>
                </c:pt>
                <c:pt idx="42">
                  <c:v>18.281495145631069</c:v>
                </c:pt>
                <c:pt idx="43">
                  <c:v>17.552865384615384</c:v>
                </c:pt>
                <c:pt idx="44">
                  <c:v>18.64551886792453</c:v>
                </c:pt>
                <c:pt idx="45">
                  <c:v>16.318203647416414</c:v>
                </c:pt>
                <c:pt idx="46">
                  <c:v>15.364583577712612</c:v>
                </c:pt>
                <c:pt idx="47">
                  <c:v>14.232682584269662</c:v>
                </c:pt>
                <c:pt idx="48">
                  <c:v>16.256309523809524</c:v>
                </c:pt>
                <c:pt idx="49">
                  <c:v>16.41453015075377</c:v>
                </c:pt>
                <c:pt idx="50">
                  <c:v>22.924956204379562</c:v>
                </c:pt>
                <c:pt idx="51">
                  <c:v>28.747999999999994</c:v>
                </c:pt>
                <c:pt idx="52">
                  <c:v>30.722111587982827</c:v>
                </c:pt>
                <c:pt idx="53">
                  <c:v>20.360867562380037</c:v>
                </c:pt>
                <c:pt idx="54">
                  <c:v>26.408347122302153</c:v>
                </c:pt>
                <c:pt idx="55">
                  <c:v>21.671569230769229</c:v>
                </c:pt>
                <c:pt idx="56">
                  <c:v>22.975401599999998</c:v>
                </c:pt>
                <c:pt idx="57">
                  <c:v>19.856323572474377</c:v>
                </c:pt>
                <c:pt idx="58">
                  <c:v>21.062159383033418</c:v>
                </c:pt>
                <c:pt idx="59">
                  <c:v>15.043134482758621</c:v>
                </c:pt>
                <c:pt idx="60">
                  <c:v>13.055494167550371</c:v>
                </c:pt>
                <c:pt idx="61">
                  <c:v>17.262027607361961</c:v>
                </c:pt>
                <c:pt idx="62">
                  <c:v>12.356843964671246</c:v>
                </c:pt>
                <c:pt idx="63">
                  <c:v>10.320668246445496</c:v>
                </c:pt>
                <c:pt idx="64">
                  <c:v>9.4034288321167896</c:v>
                </c:pt>
                <c:pt idx="65">
                  <c:v>11.400960431654674</c:v>
                </c:pt>
                <c:pt idx="66">
                  <c:v>13.827365600691444</c:v>
                </c:pt>
                <c:pt idx="67">
                  <c:v>10.130643270024773</c:v>
                </c:pt>
                <c:pt idx="68">
                  <c:v>9.7142967032967036</c:v>
                </c:pt>
                <c:pt idx="69">
                  <c:v>8.9383640416047534</c:v>
                </c:pt>
                <c:pt idx="70">
                  <c:v>8.6806053584359155</c:v>
                </c:pt>
                <c:pt idx="71">
                  <c:v>9.6767461430575032</c:v>
                </c:pt>
                <c:pt idx="72">
                  <c:v>8.0816880984952117</c:v>
                </c:pt>
                <c:pt idx="73">
                  <c:v>9.6400479041916149</c:v>
                </c:pt>
                <c:pt idx="74">
                  <c:v>10.263818005181346</c:v>
                </c:pt>
                <c:pt idx="75">
                  <c:v>8.768049654305468</c:v>
                </c:pt>
                <c:pt idx="76">
                  <c:v>6.5777060643564349</c:v>
                </c:pt>
                <c:pt idx="77">
                  <c:v>6.075923919659159</c:v>
                </c:pt>
                <c:pt idx="78">
                  <c:v>5.7989893364928902</c:v>
                </c:pt>
                <c:pt idx="79">
                  <c:v>5.3933283837806965</c:v>
                </c:pt>
                <c:pt idx="80">
                  <c:v>6.7324861660079058</c:v>
                </c:pt>
                <c:pt idx="81">
                  <c:v>8.7098370941111725</c:v>
                </c:pt>
                <c:pt idx="82">
                  <c:v>6.682512958963283</c:v>
                </c:pt>
                <c:pt idx="83">
                  <c:v>6.3993319349764031</c:v>
                </c:pt>
                <c:pt idx="84">
                  <c:v>6.9912874432677743</c:v>
                </c:pt>
                <c:pt idx="85">
                  <c:v>10.541273112543671</c:v>
                </c:pt>
                <c:pt idx="86">
                  <c:v>9.25</c:v>
                </c:pt>
              </c:numCache>
            </c:numRef>
          </c:val>
          <c:smooth val="0"/>
          <c:extLst>
            <c:ext xmlns:c16="http://schemas.microsoft.com/office/drawing/2014/chart" uri="{C3380CC4-5D6E-409C-BE32-E72D297353CC}">
              <c16:uniqueId val="{00000000-438C-4F75-8B7D-D29BFDA96F6B}"/>
            </c:ext>
          </c:extLst>
        </c:ser>
        <c:dLbls>
          <c:showLegendKey val="0"/>
          <c:showVal val="0"/>
          <c:showCatName val="0"/>
          <c:showSerName val="0"/>
          <c:showPercent val="0"/>
          <c:showBubbleSize val="0"/>
        </c:dLbls>
        <c:smooth val="0"/>
        <c:axId val="455491640"/>
        <c:axId val="456057480"/>
      </c:lineChart>
      <c:catAx>
        <c:axId val="45549164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7480"/>
        <c:crosses val="autoZero"/>
        <c:auto val="1"/>
        <c:lblAlgn val="ctr"/>
        <c:lblOffset val="100"/>
        <c:noMultiLvlLbl val="0"/>
      </c:catAx>
      <c:valAx>
        <c:axId val="456057480"/>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9164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684210526315749E-2"/>
          <c:y val="4.8611111111111112E-2"/>
          <c:w val="0.86842105263160418"/>
          <c:h val="0.63888888888890005"/>
        </c:manualLayout>
      </c:layout>
      <c:lineChart>
        <c:grouping val="standard"/>
        <c:varyColors val="0"/>
        <c:ser>
          <c:idx val="0"/>
          <c:order val="0"/>
          <c:tx>
            <c:strRef>
              <c:f>Potash!$Y$6</c:f>
              <c:strCache>
                <c:ptCount val="1"/>
                <c:pt idx="0">
                  <c:v>real corn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Potash!$Y$67:$Y$115</c:f>
              <c:numCache>
                <c:formatCode>#,##0</c:formatCode>
                <c:ptCount val="49"/>
                <c:pt idx="0">
                  <c:v>7.4225255972696242</c:v>
                </c:pt>
                <c:pt idx="1">
                  <c:v>8.0277852348993282</c:v>
                </c:pt>
                <c:pt idx="2">
                  <c:v>8.1192533333333348</c:v>
                </c:pt>
                <c:pt idx="3">
                  <c:v>7.9408815789473692</c:v>
                </c:pt>
                <c:pt idx="4">
                  <c:v>8.2346796116504848</c:v>
                </c:pt>
                <c:pt idx="5">
                  <c:v>8.0857948717948709</c:v>
                </c:pt>
                <c:pt idx="6">
                  <c:v>8.48035220125786</c:v>
                </c:pt>
                <c:pt idx="7">
                  <c:v>6.8086443768996965</c:v>
                </c:pt>
                <c:pt idx="8">
                  <c:v>6.8879296187683279</c:v>
                </c:pt>
                <c:pt idx="9">
                  <c:v>7.0864269662921338</c:v>
                </c:pt>
                <c:pt idx="10">
                  <c:v>7.6520740740740747</c:v>
                </c:pt>
                <c:pt idx="11">
                  <c:v>5.9014673366834174</c:v>
                </c:pt>
                <c:pt idx="12">
                  <c:v>8.3076301703163011</c:v>
                </c:pt>
                <c:pt idx="13">
                  <c:v>13.018169014084506</c:v>
                </c:pt>
                <c:pt idx="14">
                  <c:v>14.094197424892702</c:v>
                </c:pt>
                <c:pt idx="15">
                  <c:v>10.602671785028789</c:v>
                </c:pt>
                <c:pt idx="16">
                  <c:v>8.4097482014388483</c:v>
                </c:pt>
                <c:pt idx="17">
                  <c:v>7.5095658119658122</c:v>
                </c:pt>
                <c:pt idx="18">
                  <c:v>7.8292799999999998</c:v>
                </c:pt>
                <c:pt idx="19">
                  <c:v>8.0241522693997069</c:v>
                </c:pt>
                <c:pt idx="20">
                  <c:v>8.693609254498714</c:v>
                </c:pt>
                <c:pt idx="21">
                  <c:v>6.2494252873563214</c:v>
                </c:pt>
                <c:pt idx="22">
                  <c:v>5.8809544008483563</c:v>
                </c:pt>
                <c:pt idx="23">
                  <c:v>7.1381472392638035</c:v>
                </c:pt>
                <c:pt idx="24">
                  <c:v>5.613075564278704</c:v>
                </c:pt>
                <c:pt idx="25">
                  <c:v>4.5969706161137438</c:v>
                </c:pt>
                <c:pt idx="26">
                  <c:v>2.9764598540145983</c:v>
                </c:pt>
                <c:pt idx="27">
                  <c:v>3.7941654676258989</c:v>
                </c:pt>
                <c:pt idx="28">
                  <c:v>4.7744096802074321</c:v>
                </c:pt>
                <c:pt idx="29">
                  <c:v>4.2382559867877792</c:v>
                </c:pt>
                <c:pt idx="30">
                  <c:v>3.8921067503924642</c:v>
                </c:pt>
                <c:pt idx="31">
                  <c:v>3.8293283803863298</c:v>
                </c:pt>
                <c:pt idx="32">
                  <c:v>3.2598377986965965</c:v>
                </c:pt>
                <c:pt idx="33">
                  <c:v>3.8127629733520334</c:v>
                </c:pt>
                <c:pt idx="34">
                  <c:v>3.361865937072503</c:v>
                </c:pt>
                <c:pt idx="35">
                  <c:v>4.688191616766467</c:v>
                </c:pt>
                <c:pt idx="36">
                  <c:v>3.8171683937823828</c:v>
                </c:pt>
                <c:pt idx="37">
                  <c:v>3.3216618478944064</c:v>
                </c:pt>
                <c:pt idx="38">
                  <c:v>2.6108366336633662</c:v>
                </c:pt>
                <c:pt idx="39">
                  <c:v>2.4090906877662812</c:v>
                </c:pt>
                <c:pt idx="40">
                  <c:v>2.3835189573459714</c:v>
                </c:pt>
                <c:pt idx="41">
                  <c:v>2.4468052541404912</c:v>
                </c:pt>
                <c:pt idx="42">
                  <c:v>2.8489757199322416</c:v>
                </c:pt>
                <c:pt idx="43">
                  <c:v>2.8965415520088058</c:v>
                </c:pt>
                <c:pt idx="44">
                  <c:v>2.4190539956803456</c:v>
                </c:pt>
                <c:pt idx="45">
                  <c:v>2.2808599895123232</c:v>
                </c:pt>
                <c:pt idx="46">
                  <c:v>3.3340353000504281</c:v>
                </c:pt>
                <c:pt idx="47">
                  <c:v>4.4215180973380104</c:v>
                </c:pt>
                <c:pt idx="48">
                  <c:v>5.2854468716664353</c:v>
                </c:pt>
              </c:numCache>
            </c:numRef>
          </c:val>
          <c:smooth val="0"/>
          <c:extLst>
            <c:ext xmlns:c16="http://schemas.microsoft.com/office/drawing/2014/chart" uri="{C3380CC4-5D6E-409C-BE32-E72D297353CC}">
              <c16:uniqueId val="{00000000-11BF-4056-ADD7-BE269C96FCCE}"/>
            </c:ext>
          </c:extLst>
        </c:ser>
        <c:ser>
          <c:idx val="1"/>
          <c:order val="1"/>
          <c:tx>
            <c:strRef>
              <c:f>Potash!$AA$6</c:f>
              <c:strCache>
                <c:ptCount val="1"/>
                <c:pt idx="0">
                  <c:v>average sice 1960</c:v>
                </c:pt>
              </c:strCache>
            </c:strRef>
          </c:tx>
          <c:marker>
            <c:symbol val="none"/>
          </c:marker>
          <c:val>
            <c:numRef>
              <c:f>Potash!$AA$67:$AA$115</c:f>
              <c:numCache>
                <c:formatCode>#,##0</c:formatCode>
                <c:ptCount val="49"/>
                <c:pt idx="0">
                  <c:v>5.8309859099477643</c:v>
                </c:pt>
                <c:pt idx="1">
                  <c:v>5.8309859099477643</c:v>
                </c:pt>
                <c:pt idx="2">
                  <c:v>5.8309859099477643</c:v>
                </c:pt>
                <c:pt idx="3">
                  <c:v>5.8309859099477643</c:v>
                </c:pt>
                <c:pt idx="4">
                  <c:v>5.8309859099477643</c:v>
                </c:pt>
                <c:pt idx="5">
                  <c:v>5.8309859099477643</c:v>
                </c:pt>
                <c:pt idx="6">
                  <c:v>5.8309859099477643</c:v>
                </c:pt>
                <c:pt idx="7">
                  <c:v>5.8309859099477643</c:v>
                </c:pt>
                <c:pt idx="8">
                  <c:v>5.8309859099477643</c:v>
                </c:pt>
                <c:pt idx="9">
                  <c:v>5.8309859099477643</c:v>
                </c:pt>
                <c:pt idx="10">
                  <c:v>5.8309859099477643</c:v>
                </c:pt>
                <c:pt idx="11">
                  <c:v>5.8309859099477643</c:v>
                </c:pt>
                <c:pt idx="12">
                  <c:v>5.8309859099477643</c:v>
                </c:pt>
                <c:pt idx="13">
                  <c:v>5.8309859099477643</c:v>
                </c:pt>
                <c:pt idx="14">
                  <c:v>5.8309859099477643</c:v>
                </c:pt>
                <c:pt idx="15">
                  <c:v>5.8309859099477643</c:v>
                </c:pt>
                <c:pt idx="16">
                  <c:v>5.8309859099477643</c:v>
                </c:pt>
                <c:pt idx="17">
                  <c:v>5.8309859099477643</c:v>
                </c:pt>
                <c:pt idx="18">
                  <c:v>5.8309859099477643</c:v>
                </c:pt>
                <c:pt idx="19">
                  <c:v>5.8309859099477643</c:v>
                </c:pt>
                <c:pt idx="20">
                  <c:v>5.8309859099477643</c:v>
                </c:pt>
                <c:pt idx="21">
                  <c:v>5.8309859099477643</c:v>
                </c:pt>
                <c:pt idx="22">
                  <c:v>5.8309859099477643</c:v>
                </c:pt>
                <c:pt idx="23">
                  <c:v>5.8309859099477643</c:v>
                </c:pt>
                <c:pt idx="24">
                  <c:v>5.8309859099477643</c:v>
                </c:pt>
                <c:pt idx="25">
                  <c:v>5.8309859099477643</c:v>
                </c:pt>
                <c:pt idx="26">
                  <c:v>5.8309859099477643</c:v>
                </c:pt>
                <c:pt idx="27">
                  <c:v>5.8309859099477643</c:v>
                </c:pt>
                <c:pt idx="28">
                  <c:v>5.8309859099477643</c:v>
                </c:pt>
                <c:pt idx="29">
                  <c:v>5.8309859099477643</c:v>
                </c:pt>
                <c:pt idx="30">
                  <c:v>5.8309859099477643</c:v>
                </c:pt>
                <c:pt idx="31">
                  <c:v>5.8309859099477643</c:v>
                </c:pt>
                <c:pt idx="32">
                  <c:v>5.8309859099477643</c:v>
                </c:pt>
                <c:pt idx="33">
                  <c:v>5.8309859099477643</c:v>
                </c:pt>
                <c:pt idx="34">
                  <c:v>5.8309859099477643</c:v>
                </c:pt>
                <c:pt idx="35">
                  <c:v>5.8309859099477643</c:v>
                </c:pt>
                <c:pt idx="36">
                  <c:v>5.8309859099477643</c:v>
                </c:pt>
                <c:pt idx="37">
                  <c:v>5.8309859099477643</c:v>
                </c:pt>
                <c:pt idx="38">
                  <c:v>5.8309859099477643</c:v>
                </c:pt>
                <c:pt idx="39">
                  <c:v>5.8309859099477643</c:v>
                </c:pt>
                <c:pt idx="40">
                  <c:v>5.8309859099477643</c:v>
                </c:pt>
                <c:pt idx="41">
                  <c:v>5.8309859099477643</c:v>
                </c:pt>
                <c:pt idx="42">
                  <c:v>5.8309859099477643</c:v>
                </c:pt>
                <c:pt idx="43">
                  <c:v>5.8309859099477643</c:v>
                </c:pt>
                <c:pt idx="44">
                  <c:v>5.8309859099477643</c:v>
                </c:pt>
                <c:pt idx="45">
                  <c:v>5.8309859099477643</c:v>
                </c:pt>
                <c:pt idx="46">
                  <c:v>5.8309859099477643</c:v>
                </c:pt>
                <c:pt idx="47">
                  <c:v>5.8309859099477643</c:v>
                </c:pt>
                <c:pt idx="48">
                  <c:v>5.8309859099477643</c:v>
                </c:pt>
              </c:numCache>
            </c:numRef>
          </c:val>
          <c:smooth val="0"/>
          <c:extLst>
            <c:ext xmlns:c16="http://schemas.microsoft.com/office/drawing/2014/chart" uri="{C3380CC4-5D6E-409C-BE32-E72D297353CC}">
              <c16:uniqueId val="{00000001-11BF-4056-ADD7-BE269C96FCCE}"/>
            </c:ext>
          </c:extLst>
        </c:ser>
        <c:dLbls>
          <c:showLegendKey val="0"/>
          <c:showVal val="0"/>
          <c:showCatName val="0"/>
          <c:showSerName val="0"/>
          <c:showPercent val="0"/>
          <c:showBubbleSize val="0"/>
        </c:dLbls>
        <c:smooth val="0"/>
        <c:axId val="456058264"/>
        <c:axId val="456058656"/>
      </c:lineChart>
      <c:catAx>
        <c:axId val="4560582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8656"/>
        <c:crosses val="autoZero"/>
        <c:auto val="1"/>
        <c:lblAlgn val="ctr"/>
        <c:lblOffset val="100"/>
        <c:noMultiLvlLbl val="0"/>
      </c:catAx>
      <c:valAx>
        <c:axId val="4560586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582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9264705882353046E-2"/>
          <c:y val="4.8611111111111112E-2"/>
          <c:w val="0.86764705882354776"/>
          <c:h val="0.63888888888890005"/>
        </c:manualLayout>
      </c:layout>
      <c:lineChart>
        <c:grouping val="standard"/>
        <c:varyColors val="0"/>
        <c:ser>
          <c:idx val="0"/>
          <c:order val="0"/>
          <c:tx>
            <c:strRef>
              <c:f>Potash!$AD$6</c:f>
              <c:strCache>
                <c:ptCount val="1"/>
                <c:pt idx="0">
                  <c:v>real soy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Potash!$AD$67:$AD$115</c:f>
              <c:numCache>
                <c:formatCode>#,##0.0</c:formatCode>
                <c:ptCount val="49"/>
                <c:pt idx="0">
                  <c:v>15.674037542662115</c:v>
                </c:pt>
                <c:pt idx="1">
                  <c:v>16.496335570469796</c:v>
                </c:pt>
                <c:pt idx="2">
                  <c:v>16.81758</c:v>
                </c:pt>
                <c:pt idx="3">
                  <c:v>17.802009868421049</c:v>
                </c:pt>
                <c:pt idx="4">
                  <c:v>18.281495145631069</c:v>
                </c:pt>
                <c:pt idx="5">
                  <c:v>17.552865384615384</c:v>
                </c:pt>
                <c:pt idx="6">
                  <c:v>18.64551886792453</c:v>
                </c:pt>
                <c:pt idx="7">
                  <c:v>16.318203647416414</c:v>
                </c:pt>
                <c:pt idx="8">
                  <c:v>15.364583577712612</c:v>
                </c:pt>
                <c:pt idx="9">
                  <c:v>14.232682584269662</c:v>
                </c:pt>
                <c:pt idx="10">
                  <c:v>16.256309523809524</c:v>
                </c:pt>
                <c:pt idx="11">
                  <c:v>16.41453015075377</c:v>
                </c:pt>
                <c:pt idx="12">
                  <c:v>22.924956204379562</c:v>
                </c:pt>
                <c:pt idx="13">
                  <c:v>28.747999999999994</c:v>
                </c:pt>
                <c:pt idx="14">
                  <c:v>30.722111587982827</c:v>
                </c:pt>
                <c:pt idx="15">
                  <c:v>20.360867562380037</c:v>
                </c:pt>
                <c:pt idx="16">
                  <c:v>26.408347122302153</c:v>
                </c:pt>
                <c:pt idx="17">
                  <c:v>21.671569230769229</c:v>
                </c:pt>
                <c:pt idx="18">
                  <c:v>22.975401599999998</c:v>
                </c:pt>
                <c:pt idx="19">
                  <c:v>19.856323572474377</c:v>
                </c:pt>
                <c:pt idx="20">
                  <c:v>21.062159383033418</c:v>
                </c:pt>
                <c:pt idx="21">
                  <c:v>15.043134482758621</c:v>
                </c:pt>
                <c:pt idx="22">
                  <c:v>13.055494167550371</c:v>
                </c:pt>
                <c:pt idx="23">
                  <c:v>17.262027607361961</c:v>
                </c:pt>
                <c:pt idx="24">
                  <c:v>12.356843964671246</c:v>
                </c:pt>
                <c:pt idx="25">
                  <c:v>10.320668246445496</c:v>
                </c:pt>
                <c:pt idx="26">
                  <c:v>9.4034288321167896</c:v>
                </c:pt>
                <c:pt idx="27">
                  <c:v>11.400960431654674</c:v>
                </c:pt>
                <c:pt idx="28">
                  <c:v>13.827365600691444</c:v>
                </c:pt>
                <c:pt idx="29">
                  <c:v>10.130643270024773</c:v>
                </c:pt>
                <c:pt idx="30">
                  <c:v>9.7142967032967036</c:v>
                </c:pt>
                <c:pt idx="31">
                  <c:v>8.9383640416047534</c:v>
                </c:pt>
                <c:pt idx="32">
                  <c:v>8.6806053584359155</c:v>
                </c:pt>
                <c:pt idx="33">
                  <c:v>9.6767461430575032</c:v>
                </c:pt>
                <c:pt idx="34">
                  <c:v>8.0816880984952117</c:v>
                </c:pt>
                <c:pt idx="35">
                  <c:v>9.6400479041916149</c:v>
                </c:pt>
                <c:pt idx="36">
                  <c:v>10.263818005181346</c:v>
                </c:pt>
                <c:pt idx="37">
                  <c:v>8.768049654305468</c:v>
                </c:pt>
                <c:pt idx="38">
                  <c:v>6.5777060643564349</c:v>
                </c:pt>
                <c:pt idx="39">
                  <c:v>6.075923919659159</c:v>
                </c:pt>
                <c:pt idx="40">
                  <c:v>5.7989893364928902</c:v>
                </c:pt>
                <c:pt idx="41">
                  <c:v>5.3933283837806965</c:v>
                </c:pt>
                <c:pt idx="42">
                  <c:v>6.7324861660079058</c:v>
                </c:pt>
                <c:pt idx="43">
                  <c:v>8.7098370941111725</c:v>
                </c:pt>
                <c:pt idx="44">
                  <c:v>6.682512958963283</c:v>
                </c:pt>
                <c:pt idx="45">
                  <c:v>6.3993319349764031</c:v>
                </c:pt>
                <c:pt idx="46">
                  <c:v>6.9912874432677743</c:v>
                </c:pt>
                <c:pt idx="47">
                  <c:v>10.541273112543671</c:v>
                </c:pt>
                <c:pt idx="48">
                  <c:v>9.25</c:v>
                </c:pt>
              </c:numCache>
            </c:numRef>
          </c:val>
          <c:smooth val="0"/>
          <c:extLst>
            <c:ext xmlns:c16="http://schemas.microsoft.com/office/drawing/2014/chart" uri="{C3380CC4-5D6E-409C-BE32-E72D297353CC}">
              <c16:uniqueId val="{00000000-D95F-40A6-B53C-E1E79C3BD3EC}"/>
            </c:ext>
          </c:extLst>
        </c:ser>
        <c:ser>
          <c:idx val="1"/>
          <c:order val="1"/>
          <c:tx>
            <c:strRef>
              <c:f>Potash!$AE$6</c:f>
              <c:strCache>
                <c:ptCount val="1"/>
                <c:pt idx="0">
                  <c:v>average sice 1960</c:v>
                </c:pt>
              </c:strCache>
            </c:strRef>
          </c:tx>
          <c:marker>
            <c:symbol val="none"/>
          </c:marker>
          <c:val>
            <c:numRef>
              <c:f>Potash!$AE$67:$AE$115</c:f>
              <c:numCache>
                <c:formatCode>#,##0</c:formatCode>
                <c:ptCount val="49"/>
                <c:pt idx="0">
                  <c:v>13.883729531694097</c:v>
                </c:pt>
                <c:pt idx="1">
                  <c:v>13.883729531694097</c:v>
                </c:pt>
                <c:pt idx="2">
                  <c:v>13.883729531694097</c:v>
                </c:pt>
                <c:pt idx="3">
                  <c:v>13.883729531694097</c:v>
                </c:pt>
                <c:pt idx="4">
                  <c:v>13.883729531694097</c:v>
                </c:pt>
                <c:pt idx="5">
                  <c:v>13.883729531694097</c:v>
                </c:pt>
                <c:pt idx="6">
                  <c:v>13.883729531694097</c:v>
                </c:pt>
                <c:pt idx="7">
                  <c:v>13.883729531694097</c:v>
                </c:pt>
                <c:pt idx="8">
                  <c:v>13.883729531694097</c:v>
                </c:pt>
                <c:pt idx="9">
                  <c:v>13.883729531694097</c:v>
                </c:pt>
                <c:pt idx="10">
                  <c:v>13.883729531694097</c:v>
                </c:pt>
                <c:pt idx="11">
                  <c:v>13.883729531694097</c:v>
                </c:pt>
                <c:pt idx="12">
                  <c:v>13.883729531694097</c:v>
                </c:pt>
                <c:pt idx="13">
                  <c:v>13.883729531694097</c:v>
                </c:pt>
                <c:pt idx="14">
                  <c:v>13.883729531694097</c:v>
                </c:pt>
                <c:pt idx="15">
                  <c:v>13.883729531694097</c:v>
                </c:pt>
                <c:pt idx="16">
                  <c:v>13.883729531694097</c:v>
                </c:pt>
                <c:pt idx="17">
                  <c:v>13.883729531694097</c:v>
                </c:pt>
                <c:pt idx="18">
                  <c:v>13.883729531694097</c:v>
                </c:pt>
                <c:pt idx="19">
                  <c:v>13.883729531694097</c:v>
                </c:pt>
                <c:pt idx="20">
                  <c:v>13.883729531694097</c:v>
                </c:pt>
                <c:pt idx="21">
                  <c:v>13.883729531694097</c:v>
                </c:pt>
                <c:pt idx="22">
                  <c:v>13.883729531694097</c:v>
                </c:pt>
                <c:pt idx="23">
                  <c:v>13.883729531694097</c:v>
                </c:pt>
                <c:pt idx="24">
                  <c:v>13.883729531694097</c:v>
                </c:pt>
                <c:pt idx="25">
                  <c:v>13.883729531694097</c:v>
                </c:pt>
                <c:pt idx="26">
                  <c:v>13.883729531694097</c:v>
                </c:pt>
                <c:pt idx="27">
                  <c:v>13.883729531694097</c:v>
                </c:pt>
                <c:pt idx="28">
                  <c:v>13.883729531694097</c:v>
                </c:pt>
                <c:pt idx="29">
                  <c:v>13.883729531694097</c:v>
                </c:pt>
                <c:pt idx="30">
                  <c:v>13.883729531694097</c:v>
                </c:pt>
                <c:pt idx="31">
                  <c:v>13.883729531694097</c:v>
                </c:pt>
                <c:pt idx="32">
                  <c:v>13.883729531694097</c:v>
                </c:pt>
                <c:pt idx="33">
                  <c:v>13.883729531694097</c:v>
                </c:pt>
                <c:pt idx="34">
                  <c:v>13.883729531694097</c:v>
                </c:pt>
                <c:pt idx="35">
                  <c:v>13.883729531694097</c:v>
                </c:pt>
                <c:pt idx="36">
                  <c:v>13.883729531694097</c:v>
                </c:pt>
                <c:pt idx="37">
                  <c:v>13.883729531694097</c:v>
                </c:pt>
                <c:pt idx="38">
                  <c:v>13.883729531694097</c:v>
                </c:pt>
                <c:pt idx="39">
                  <c:v>13.883729531694097</c:v>
                </c:pt>
                <c:pt idx="40">
                  <c:v>13.883729531694097</c:v>
                </c:pt>
                <c:pt idx="41">
                  <c:v>13.883729531694097</c:v>
                </c:pt>
                <c:pt idx="42">
                  <c:v>13.883729531694097</c:v>
                </c:pt>
                <c:pt idx="43">
                  <c:v>13.883729531694097</c:v>
                </c:pt>
                <c:pt idx="44">
                  <c:v>13.883729531694097</c:v>
                </c:pt>
                <c:pt idx="45">
                  <c:v>13.883729531694097</c:v>
                </c:pt>
                <c:pt idx="46">
                  <c:v>13.883729531694097</c:v>
                </c:pt>
                <c:pt idx="47">
                  <c:v>13.883729531694097</c:v>
                </c:pt>
                <c:pt idx="48">
                  <c:v>13.883729531694097</c:v>
                </c:pt>
              </c:numCache>
            </c:numRef>
          </c:val>
          <c:smooth val="0"/>
          <c:extLst>
            <c:ext xmlns:c16="http://schemas.microsoft.com/office/drawing/2014/chart" uri="{C3380CC4-5D6E-409C-BE32-E72D297353CC}">
              <c16:uniqueId val="{00000001-D95F-40A6-B53C-E1E79C3BD3EC}"/>
            </c:ext>
          </c:extLst>
        </c:ser>
        <c:dLbls>
          <c:showLegendKey val="0"/>
          <c:showVal val="0"/>
          <c:showCatName val="0"/>
          <c:showSerName val="0"/>
          <c:showPercent val="0"/>
          <c:showBubbleSize val="0"/>
        </c:dLbls>
        <c:smooth val="0"/>
        <c:axId val="456059440"/>
        <c:axId val="456059832"/>
      </c:lineChart>
      <c:catAx>
        <c:axId val="45605944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9832"/>
        <c:crosses val="autoZero"/>
        <c:auto val="1"/>
        <c:lblAlgn val="ctr"/>
        <c:lblOffset val="100"/>
        <c:noMultiLvlLbl val="0"/>
      </c:catAx>
      <c:valAx>
        <c:axId val="456059832"/>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5944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Potash!$AG$6</c:f>
              <c:strCache>
                <c:ptCount val="1"/>
                <c:pt idx="0">
                  <c:v>oil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Potash!$AG$29:$AG$115</c:f>
              <c:numCache>
                <c:formatCode>0.00</c:formatCode>
                <c:ptCount val="87"/>
                <c:pt idx="0">
                  <c:v>1.61</c:v>
                </c:pt>
                <c:pt idx="1">
                  <c:v>1.34</c:v>
                </c:pt>
                <c:pt idx="2">
                  <c:v>1.43</c:v>
                </c:pt>
                <c:pt idx="3">
                  <c:v>1.68</c:v>
                </c:pt>
                <c:pt idx="4">
                  <c:v>1.88</c:v>
                </c:pt>
                <c:pt idx="5">
                  <c:v>1.3</c:v>
                </c:pt>
                <c:pt idx="6">
                  <c:v>1.17</c:v>
                </c:pt>
                <c:pt idx="7">
                  <c:v>1.27</c:v>
                </c:pt>
                <c:pt idx="8">
                  <c:v>1.19</c:v>
                </c:pt>
                <c:pt idx="9">
                  <c:v>0.65</c:v>
                </c:pt>
                <c:pt idx="10">
                  <c:v>0.87</c:v>
                </c:pt>
                <c:pt idx="11">
                  <c:v>0.67</c:v>
                </c:pt>
                <c:pt idx="12">
                  <c:v>1</c:v>
                </c:pt>
                <c:pt idx="13">
                  <c:v>0.97</c:v>
                </c:pt>
                <c:pt idx="14">
                  <c:v>1.0900000000000001</c:v>
                </c:pt>
                <c:pt idx="15">
                  <c:v>1.18</c:v>
                </c:pt>
                <c:pt idx="16">
                  <c:v>1.1299999999999999</c:v>
                </c:pt>
                <c:pt idx="17">
                  <c:v>1.02</c:v>
                </c:pt>
                <c:pt idx="18">
                  <c:v>1.02</c:v>
                </c:pt>
                <c:pt idx="19">
                  <c:v>1.1399999999999999</c:v>
                </c:pt>
                <c:pt idx="20">
                  <c:v>1.19</c:v>
                </c:pt>
                <c:pt idx="21">
                  <c:v>1.2</c:v>
                </c:pt>
                <c:pt idx="22">
                  <c:v>1.21</c:v>
                </c:pt>
                <c:pt idx="23">
                  <c:v>1.05</c:v>
                </c:pt>
                <c:pt idx="24">
                  <c:v>1.1200000000000001</c:v>
                </c:pt>
                <c:pt idx="25">
                  <c:v>1.9</c:v>
                </c:pt>
                <c:pt idx="26">
                  <c:v>1.99</c:v>
                </c:pt>
                <c:pt idx="27">
                  <c:v>1.78</c:v>
                </c:pt>
                <c:pt idx="28">
                  <c:v>1.71</c:v>
                </c:pt>
                <c:pt idx="29">
                  <c:v>1.71</c:v>
                </c:pt>
                <c:pt idx="30">
                  <c:v>1.71</c:v>
                </c:pt>
                <c:pt idx="31">
                  <c:v>1.93</c:v>
                </c:pt>
                <c:pt idx="32">
                  <c:v>1.93</c:v>
                </c:pt>
                <c:pt idx="33">
                  <c:v>1.93</c:v>
                </c:pt>
                <c:pt idx="34">
                  <c:v>1.93</c:v>
                </c:pt>
                <c:pt idx="35">
                  <c:v>1.9</c:v>
                </c:pt>
                <c:pt idx="36">
                  <c:v>2.08</c:v>
                </c:pt>
                <c:pt idx="37">
                  <c:v>2.08</c:v>
                </c:pt>
                <c:pt idx="38">
                  <c:v>1.9</c:v>
                </c:pt>
                <c:pt idx="39">
                  <c:v>1.8</c:v>
                </c:pt>
                <c:pt idx="40">
                  <c:v>1.8</c:v>
                </c:pt>
                <c:pt idx="41">
                  <c:v>1.8</c:v>
                </c:pt>
                <c:pt idx="42">
                  <c:v>1.8</c:v>
                </c:pt>
                <c:pt idx="43">
                  <c:v>1.8</c:v>
                </c:pt>
                <c:pt idx="44">
                  <c:v>1.8</c:v>
                </c:pt>
                <c:pt idx="45">
                  <c:v>1.8</c:v>
                </c:pt>
                <c:pt idx="46">
                  <c:v>1.8</c:v>
                </c:pt>
                <c:pt idx="47">
                  <c:v>1.8</c:v>
                </c:pt>
                <c:pt idx="48">
                  <c:v>1.8</c:v>
                </c:pt>
                <c:pt idx="49">
                  <c:v>2.2400000000000002</c:v>
                </c:pt>
                <c:pt idx="50">
                  <c:v>2.48</c:v>
                </c:pt>
                <c:pt idx="51">
                  <c:v>3.29</c:v>
                </c:pt>
                <c:pt idx="52">
                  <c:v>11.58</c:v>
                </c:pt>
                <c:pt idx="53">
                  <c:v>11.53</c:v>
                </c:pt>
                <c:pt idx="54">
                  <c:v>12.8</c:v>
                </c:pt>
                <c:pt idx="55">
                  <c:v>13.92</c:v>
                </c:pt>
                <c:pt idx="56">
                  <c:v>14.02</c:v>
                </c:pt>
                <c:pt idx="57">
                  <c:v>31.61</c:v>
                </c:pt>
                <c:pt idx="58">
                  <c:v>36.83</c:v>
                </c:pt>
                <c:pt idx="59">
                  <c:v>35.93</c:v>
                </c:pt>
                <c:pt idx="60">
                  <c:v>32.97</c:v>
                </c:pt>
                <c:pt idx="61">
                  <c:v>29.55</c:v>
                </c:pt>
                <c:pt idx="62">
                  <c:v>28.78</c:v>
                </c:pt>
                <c:pt idx="63">
                  <c:v>27.56</c:v>
                </c:pt>
                <c:pt idx="64">
                  <c:v>14.43</c:v>
                </c:pt>
                <c:pt idx="65">
                  <c:v>18.435039400000001</c:v>
                </c:pt>
                <c:pt idx="66">
                  <c:v>14.923841700000001</c:v>
                </c:pt>
                <c:pt idx="67">
                  <c:v>18.226113300000002</c:v>
                </c:pt>
                <c:pt idx="68">
                  <c:v>23.725820299999999</c:v>
                </c:pt>
                <c:pt idx="69">
                  <c:v>20.0033852</c:v>
                </c:pt>
                <c:pt idx="70">
                  <c:v>19.3208366</c:v>
                </c:pt>
                <c:pt idx="71">
                  <c:v>16.9716342</c:v>
                </c:pt>
                <c:pt idx="72">
                  <c:v>15.817315199999999</c:v>
                </c:pt>
                <c:pt idx="73">
                  <c:v>17.016679700000001</c:v>
                </c:pt>
                <c:pt idx="74">
                  <c:v>20.668488400000001</c:v>
                </c:pt>
                <c:pt idx="75">
                  <c:v>19.0925875</c:v>
                </c:pt>
                <c:pt idx="76">
                  <c:v>12.7156615</c:v>
                </c:pt>
                <c:pt idx="77">
                  <c:v>17.970077799999999</c:v>
                </c:pt>
                <c:pt idx="78">
                  <c:v>28.495449199999999</c:v>
                </c:pt>
                <c:pt idx="79">
                  <c:v>24.443891099999998</c:v>
                </c:pt>
                <c:pt idx="80">
                  <c:v>25.023255800000001</c:v>
                </c:pt>
                <c:pt idx="81">
                  <c:v>28.830703100000001</c:v>
                </c:pt>
                <c:pt idx="82">
                  <c:v>38.265000000000001</c:v>
                </c:pt>
                <c:pt idx="83">
                  <c:v>54.521089500000002</c:v>
                </c:pt>
                <c:pt idx="84">
                  <c:v>65.144062500000004</c:v>
                </c:pt>
                <c:pt idx="85">
                  <c:v>72.389078400000002</c:v>
                </c:pt>
                <c:pt idx="86">
                  <c:v>97.255972799999995</c:v>
                </c:pt>
              </c:numCache>
            </c:numRef>
          </c:val>
          <c:smooth val="0"/>
          <c:extLst>
            <c:ext xmlns:c16="http://schemas.microsoft.com/office/drawing/2014/chart" uri="{C3380CC4-5D6E-409C-BE32-E72D297353CC}">
              <c16:uniqueId val="{00000000-F307-4EC2-82BE-D6B7E479496B}"/>
            </c:ext>
          </c:extLst>
        </c:ser>
        <c:dLbls>
          <c:showLegendKey val="0"/>
          <c:showVal val="0"/>
          <c:showCatName val="0"/>
          <c:showSerName val="0"/>
          <c:showPercent val="0"/>
          <c:showBubbleSize val="0"/>
        </c:dLbls>
        <c:smooth val="0"/>
        <c:axId val="456061008"/>
        <c:axId val="455869056"/>
      </c:lineChart>
      <c:catAx>
        <c:axId val="45606100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69056"/>
        <c:crosses val="autoZero"/>
        <c:auto val="1"/>
        <c:lblAlgn val="ctr"/>
        <c:lblOffset val="100"/>
        <c:noMultiLvlLbl val="0"/>
      </c:catAx>
      <c:valAx>
        <c:axId val="455869056"/>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6100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Potash!$AH$6</c:f>
              <c:strCache>
                <c:ptCount val="1"/>
                <c:pt idx="0">
                  <c:v>real oil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Potash!$AH$29:$AH$115</c:f>
              <c:numCache>
                <c:formatCode>#,##0.0</c:formatCode>
                <c:ptCount val="87"/>
                <c:pt idx="0">
                  <c:v>20.540360946745562</c:v>
                </c:pt>
                <c:pt idx="1">
                  <c:v>17.197464285714283</c:v>
                </c:pt>
                <c:pt idx="2">
                  <c:v>17.822098265895953</c:v>
                </c:pt>
                <c:pt idx="3">
                  <c:v>20.937849710982654</c:v>
                </c:pt>
                <c:pt idx="4">
                  <c:v>22.645072625698326</c:v>
                </c:pt>
                <c:pt idx="5">
                  <c:v>16.016742857142859</c:v>
                </c:pt>
                <c:pt idx="6">
                  <c:v>14.581716763005778</c:v>
                </c:pt>
                <c:pt idx="7">
                  <c:v>16.01314035087719</c:v>
                </c:pt>
                <c:pt idx="8">
                  <c:v>15.004438596491227</c:v>
                </c:pt>
                <c:pt idx="9">
                  <c:v>8.8142452830188684</c:v>
                </c:pt>
                <c:pt idx="10">
                  <c:v>13.117531468531466</c:v>
                </c:pt>
                <c:pt idx="11">
                  <c:v>11.198348837209302</c:v>
                </c:pt>
                <c:pt idx="12">
                  <c:v>16.334090909090907</c:v>
                </c:pt>
                <c:pt idx="13">
                  <c:v>15.378066176470588</c:v>
                </c:pt>
                <c:pt idx="14">
                  <c:v>17.030065217391304</c:v>
                </c:pt>
                <c:pt idx="15">
                  <c:v>18.043957446808509</c:v>
                </c:pt>
                <c:pt idx="16">
                  <c:v>17.157697183098591</c:v>
                </c:pt>
                <c:pt idx="17">
                  <c:v>15.708728571428569</c:v>
                </c:pt>
                <c:pt idx="18">
                  <c:v>15.821741007194243</c:v>
                </c:pt>
                <c:pt idx="19">
                  <c:v>17.432297872340424</c:v>
                </c:pt>
                <c:pt idx="20">
                  <c:v>16.342414012738853</c:v>
                </c:pt>
                <c:pt idx="21">
                  <c:v>15.309585798816567</c:v>
                </c:pt>
                <c:pt idx="22">
                  <c:v>14.993568965517239</c:v>
                </c:pt>
                <c:pt idx="23">
                  <c:v>12.718567415730337</c:v>
                </c:pt>
                <c:pt idx="24">
                  <c:v>13.268307692307694</c:v>
                </c:pt>
                <c:pt idx="25">
                  <c:v>19.053906976744184</c:v>
                </c:pt>
                <c:pt idx="26">
                  <c:v>18.103962025316456</c:v>
                </c:pt>
                <c:pt idx="27">
                  <c:v>15.991075</c:v>
                </c:pt>
                <c:pt idx="28">
                  <c:v>15.689068085106381</c:v>
                </c:pt>
                <c:pt idx="29">
                  <c:v>14.515476377952755</c:v>
                </c:pt>
                <c:pt idx="30">
                  <c:v>13.91294716981132</c:v>
                </c:pt>
                <c:pt idx="31">
                  <c:v>15.643883458646613</c:v>
                </c:pt>
                <c:pt idx="32">
                  <c:v>15.469416356877321</c:v>
                </c:pt>
                <c:pt idx="33">
                  <c:v>15.585292134831459</c:v>
                </c:pt>
                <c:pt idx="34">
                  <c:v>15.527138059701489</c:v>
                </c:pt>
                <c:pt idx="35">
                  <c:v>14.842717391304344</c:v>
                </c:pt>
                <c:pt idx="36">
                  <c:v>15.680727272727271</c:v>
                </c:pt>
                <c:pt idx="37">
                  <c:v>15.464441379310344</c:v>
                </c:pt>
                <c:pt idx="38">
                  <c:v>13.981535836177471</c:v>
                </c:pt>
                <c:pt idx="39">
                  <c:v>13.023422818791945</c:v>
                </c:pt>
                <c:pt idx="40">
                  <c:v>12.936599999999999</c:v>
                </c:pt>
                <c:pt idx="41">
                  <c:v>12.766381578947367</c:v>
                </c:pt>
                <c:pt idx="42">
                  <c:v>12.559805825242718</c:v>
                </c:pt>
                <c:pt idx="43">
                  <c:v>12.439038461538461</c:v>
                </c:pt>
                <c:pt idx="44">
                  <c:v>12.204339622641507</c:v>
                </c:pt>
                <c:pt idx="45">
                  <c:v>11.796291793313069</c:v>
                </c:pt>
                <c:pt idx="46">
                  <c:v>11.381173020527857</c:v>
                </c:pt>
                <c:pt idx="47">
                  <c:v>10.901629213483144</c:v>
                </c:pt>
                <c:pt idx="48">
                  <c:v>10.267142857142856</c:v>
                </c:pt>
                <c:pt idx="49">
                  <c:v>12.134834170854273</c:v>
                </c:pt>
                <c:pt idx="50">
                  <c:v>13.010043795620438</c:v>
                </c:pt>
                <c:pt idx="51">
                  <c:v>16.651570422535212</c:v>
                </c:pt>
                <c:pt idx="52">
                  <c:v>53.578622317596562</c:v>
                </c:pt>
                <c:pt idx="53">
                  <c:v>47.7156103646833</c:v>
                </c:pt>
                <c:pt idx="54">
                  <c:v>49.636834532374102</c:v>
                </c:pt>
                <c:pt idx="55">
                  <c:v>51.304123076923069</c:v>
                </c:pt>
                <c:pt idx="56">
                  <c:v>48.3656352</c:v>
                </c:pt>
                <c:pt idx="57">
                  <c:v>99.786707174231324</c:v>
                </c:pt>
                <c:pt idx="58">
                  <c:v>102.06833290488431</c:v>
                </c:pt>
                <c:pt idx="59">
                  <c:v>89.044451724137915</c:v>
                </c:pt>
                <c:pt idx="60">
                  <c:v>75.383475079533397</c:v>
                </c:pt>
                <c:pt idx="61">
                  <c:v>65.145966257668718</c:v>
                </c:pt>
                <c:pt idx="62">
                  <c:v>60.895542688910695</c:v>
                </c:pt>
                <c:pt idx="63">
                  <c:v>56.324280568720376</c:v>
                </c:pt>
                <c:pt idx="64">
                  <c:v>28.387338503649634</c:v>
                </c:pt>
                <c:pt idx="65">
                  <c:v>35.744414074046759</c:v>
                </c:pt>
                <c:pt idx="66">
                  <c:v>27.810972419507348</c:v>
                </c:pt>
                <c:pt idx="67">
                  <c:v>32.450307915879442</c:v>
                </c:pt>
                <c:pt idx="68">
                  <c:v>40.153250509285705</c:v>
                </c:pt>
                <c:pt idx="69">
                  <c:v>32.042569710044582</c:v>
                </c:pt>
                <c:pt idx="70">
                  <c:v>30.164848510687911</c:v>
                </c:pt>
                <c:pt idx="71">
                  <c:v>25.660968091598878</c:v>
                </c:pt>
                <c:pt idx="72">
                  <c:v>23.326753285034201</c:v>
                </c:pt>
                <c:pt idx="73">
                  <c:v>24.410953493792412</c:v>
                </c:pt>
                <c:pt idx="74">
                  <c:v>28.862258963238343</c:v>
                </c:pt>
                <c:pt idx="75">
                  <c:v>25.873996171433063</c:v>
                </c:pt>
                <c:pt idx="76">
                  <c:v>16.965493663459156</c:v>
                </c:pt>
                <c:pt idx="77">
                  <c:v>23.582035754461344</c:v>
                </c:pt>
                <c:pt idx="78">
                  <c:v>36.397534372109</c:v>
                </c:pt>
                <c:pt idx="79">
                  <c:v>30.099071159743001</c:v>
                </c:pt>
                <c:pt idx="80">
                  <c:v>30.464506962382835</c:v>
                </c:pt>
                <c:pt idx="81">
                  <c:v>34.21127075063842</c:v>
                </c:pt>
                <c:pt idx="82">
                  <c:v>44.548146058315332</c:v>
                </c:pt>
                <c:pt idx="83">
                  <c:v>61.642853209727321</c:v>
                </c:pt>
                <c:pt idx="84">
                  <c:v>70.830616821104385</c:v>
                </c:pt>
                <c:pt idx="85">
                  <c:v>75.551786710864931</c:v>
                </c:pt>
                <c:pt idx="86">
                  <c:v>97.255972799999995</c:v>
                </c:pt>
              </c:numCache>
            </c:numRef>
          </c:val>
          <c:smooth val="0"/>
          <c:extLst>
            <c:ext xmlns:c16="http://schemas.microsoft.com/office/drawing/2014/chart" uri="{C3380CC4-5D6E-409C-BE32-E72D297353CC}">
              <c16:uniqueId val="{00000000-69D2-41CC-B295-8D9C657258AC}"/>
            </c:ext>
          </c:extLst>
        </c:ser>
        <c:dLbls>
          <c:showLegendKey val="0"/>
          <c:showVal val="0"/>
          <c:showCatName val="0"/>
          <c:showSerName val="0"/>
          <c:showPercent val="0"/>
          <c:showBubbleSize val="0"/>
        </c:dLbls>
        <c:smooth val="0"/>
        <c:axId val="455869448"/>
        <c:axId val="455869840"/>
      </c:lineChart>
      <c:catAx>
        <c:axId val="45586944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69840"/>
        <c:crosses val="autoZero"/>
        <c:auto val="1"/>
        <c:lblAlgn val="ctr"/>
        <c:lblOffset val="100"/>
        <c:noMultiLvlLbl val="0"/>
      </c:catAx>
      <c:valAx>
        <c:axId val="455869840"/>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6944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9264705882353046E-2"/>
          <c:y val="4.8611111111111112E-2"/>
          <c:w val="0.86764705882354776"/>
          <c:h val="0.63888888888890005"/>
        </c:manualLayout>
      </c:layout>
      <c:lineChart>
        <c:grouping val="standard"/>
        <c:varyColors val="0"/>
        <c:ser>
          <c:idx val="0"/>
          <c:order val="0"/>
          <c:tx>
            <c:strRef>
              <c:f>Potash!$AH$6</c:f>
              <c:strCache>
                <c:ptCount val="1"/>
                <c:pt idx="0">
                  <c:v>real oil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Potash!$AH$67:$AH$115</c:f>
              <c:numCache>
                <c:formatCode>#,##0.0</c:formatCode>
                <c:ptCount val="49"/>
                <c:pt idx="0">
                  <c:v>13.981535836177471</c:v>
                </c:pt>
                <c:pt idx="1">
                  <c:v>13.023422818791945</c:v>
                </c:pt>
                <c:pt idx="2">
                  <c:v>12.936599999999999</c:v>
                </c:pt>
                <c:pt idx="3">
                  <c:v>12.766381578947367</c:v>
                </c:pt>
                <c:pt idx="4">
                  <c:v>12.559805825242718</c:v>
                </c:pt>
                <c:pt idx="5">
                  <c:v>12.439038461538461</c:v>
                </c:pt>
                <c:pt idx="6">
                  <c:v>12.204339622641507</c:v>
                </c:pt>
                <c:pt idx="7">
                  <c:v>11.796291793313069</c:v>
                </c:pt>
                <c:pt idx="8">
                  <c:v>11.381173020527857</c:v>
                </c:pt>
                <c:pt idx="9">
                  <c:v>10.901629213483144</c:v>
                </c:pt>
                <c:pt idx="10">
                  <c:v>10.267142857142856</c:v>
                </c:pt>
                <c:pt idx="11">
                  <c:v>12.134834170854273</c:v>
                </c:pt>
                <c:pt idx="12">
                  <c:v>13.010043795620438</c:v>
                </c:pt>
                <c:pt idx="13">
                  <c:v>16.651570422535212</c:v>
                </c:pt>
                <c:pt idx="14">
                  <c:v>53.578622317596562</c:v>
                </c:pt>
                <c:pt idx="15">
                  <c:v>47.7156103646833</c:v>
                </c:pt>
                <c:pt idx="16">
                  <c:v>49.636834532374102</c:v>
                </c:pt>
                <c:pt idx="17">
                  <c:v>51.304123076923069</c:v>
                </c:pt>
                <c:pt idx="18">
                  <c:v>48.3656352</c:v>
                </c:pt>
                <c:pt idx="19">
                  <c:v>99.786707174231324</c:v>
                </c:pt>
                <c:pt idx="20">
                  <c:v>102.06833290488431</c:v>
                </c:pt>
                <c:pt idx="21">
                  <c:v>89.044451724137915</c:v>
                </c:pt>
                <c:pt idx="22">
                  <c:v>75.383475079533397</c:v>
                </c:pt>
                <c:pt idx="23">
                  <c:v>65.145966257668718</c:v>
                </c:pt>
                <c:pt idx="24">
                  <c:v>60.895542688910695</c:v>
                </c:pt>
                <c:pt idx="25">
                  <c:v>56.324280568720376</c:v>
                </c:pt>
                <c:pt idx="26">
                  <c:v>28.387338503649634</c:v>
                </c:pt>
                <c:pt idx="27">
                  <c:v>35.744414074046759</c:v>
                </c:pt>
                <c:pt idx="28">
                  <c:v>27.810972419507348</c:v>
                </c:pt>
                <c:pt idx="29">
                  <c:v>32.450307915879442</c:v>
                </c:pt>
                <c:pt idx="30">
                  <c:v>40.153250509285705</c:v>
                </c:pt>
                <c:pt idx="31">
                  <c:v>32.042569710044582</c:v>
                </c:pt>
                <c:pt idx="32">
                  <c:v>30.164848510687911</c:v>
                </c:pt>
                <c:pt idx="33">
                  <c:v>25.660968091598878</c:v>
                </c:pt>
                <c:pt idx="34">
                  <c:v>23.326753285034201</c:v>
                </c:pt>
                <c:pt idx="35">
                  <c:v>24.410953493792412</c:v>
                </c:pt>
                <c:pt idx="36">
                  <c:v>28.862258963238343</c:v>
                </c:pt>
                <c:pt idx="37">
                  <c:v>25.873996171433063</c:v>
                </c:pt>
                <c:pt idx="38">
                  <c:v>16.965493663459156</c:v>
                </c:pt>
                <c:pt idx="39">
                  <c:v>23.582035754461344</c:v>
                </c:pt>
                <c:pt idx="40">
                  <c:v>36.397534372109</c:v>
                </c:pt>
                <c:pt idx="41">
                  <c:v>30.099071159743001</c:v>
                </c:pt>
                <c:pt idx="42">
                  <c:v>30.464506962382835</c:v>
                </c:pt>
                <c:pt idx="43">
                  <c:v>34.21127075063842</c:v>
                </c:pt>
                <c:pt idx="44">
                  <c:v>44.548146058315332</c:v>
                </c:pt>
                <c:pt idx="45">
                  <c:v>61.642853209727321</c:v>
                </c:pt>
                <c:pt idx="46">
                  <c:v>70.830616821104385</c:v>
                </c:pt>
                <c:pt idx="47">
                  <c:v>75.551786710864931</c:v>
                </c:pt>
                <c:pt idx="48">
                  <c:v>97.255972799999995</c:v>
                </c:pt>
              </c:numCache>
            </c:numRef>
          </c:val>
          <c:smooth val="0"/>
          <c:extLst>
            <c:ext xmlns:c16="http://schemas.microsoft.com/office/drawing/2014/chart" uri="{C3380CC4-5D6E-409C-BE32-E72D297353CC}">
              <c16:uniqueId val="{00000000-F28E-480D-BB34-63106908CF24}"/>
            </c:ext>
          </c:extLst>
        </c:ser>
        <c:ser>
          <c:idx val="1"/>
          <c:order val="1"/>
          <c:tx>
            <c:strRef>
              <c:f>Potash!$AE$6</c:f>
              <c:strCache>
                <c:ptCount val="1"/>
                <c:pt idx="0">
                  <c:v>average sice 1960</c:v>
                </c:pt>
              </c:strCache>
            </c:strRef>
          </c:tx>
          <c:marker>
            <c:symbol val="none"/>
          </c:marker>
          <c:val>
            <c:numRef>
              <c:f>Potash!$AI$67:$AI$115</c:f>
              <c:numCache>
                <c:formatCode>#,##0</c:formatCode>
                <c:ptCount val="49"/>
                <c:pt idx="0">
                  <c:v>37.790639004438447</c:v>
                </c:pt>
                <c:pt idx="1">
                  <c:v>37.790639004438447</c:v>
                </c:pt>
                <c:pt idx="2">
                  <c:v>37.790639004438447</c:v>
                </c:pt>
                <c:pt idx="3">
                  <c:v>37.790639004438447</c:v>
                </c:pt>
                <c:pt idx="4">
                  <c:v>37.790639004438447</c:v>
                </c:pt>
                <c:pt idx="5">
                  <c:v>37.790639004438447</c:v>
                </c:pt>
                <c:pt idx="6">
                  <c:v>37.790639004438447</c:v>
                </c:pt>
                <c:pt idx="7">
                  <c:v>37.790639004438447</c:v>
                </c:pt>
                <c:pt idx="8">
                  <c:v>37.790639004438447</c:v>
                </c:pt>
                <c:pt idx="9">
                  <c:v>37.790639004438447</c:v>
                </c:pt>
                <c:pt idx="10">
                  <c:v>37.790639004438447</c:v>
                </c:pt>
                <c:pt idx="11">
                  <c:v>37.790639004438447</c:v>
                </c:pt>
                <c:pt idx="12">
                  <c:v>37.790639004438447</c:v>
                </c:pt>
                <c:pt idx="13">
                  <c:v>37.790639004438447</c:v>
                </c:pt>
                <c:pt idx="14">
                  <c:v>37.790639004438447</c:v>
                </c:pt>
                <c:pt idx="15">
                  <c:v>37.790639004438447</c:v>
                </c:pt>
                <c:pt idx="16">
                  <c:v>37.790639004438447</c:v>
                </c:pt>
                <c:pt idx="17">
                  <c:v>37.790639004438447</c:v>
                </c:pt>
                <c:pt idx="18">
                  <c:v>37.790639004438447</c:v>
                </c:pt>
                <c:pt idx="19">
                  <c:v>37.790639004438447</c:v>
                </c:pt>
                <c:pt idx="20">
                  <c:v>37.790639004438447</c:v>
                </c:pt>
                <c:pt idx="21">
                  <c:v>37.790639004438447</c:v>
                </c:pt>
                <c:pt idx="22">
                  <c:v>37.790639004438447</c:v>
                </c:pt>
                <c:pt idx="23">
                  <c:v>37.790639004438447</c:v>
                </c:pt>
                <c:pt idx="24">
                  <c:v>37.790639004438447</c:v>
                </c:pt>
                <c:pt idx="25">
                  <c:v>37.790639004438447</c:v>
                </c:pt>
                <c:pt idx="26">
                  <c:v>37.790639004438447</c:v>
                </c:pt>
                <c:pt idx="27">
                  <c:v>37.790639004438447</c:v>
                </c:pt>
                <c:pt idx="28">
                  <c:v>37.790639004438447</c:v>
                </c:pt>
                <c:pt idx="29">
                  <c:v>37.790639004438447</c:v>
                </c:pt>
                <c:pt idx="30">
                  <c:v>37.790639004438447</c:v>
                </c:pt>
                <c:pt idx="31">
                  <c:v>37.790639004438447</c:v>
                </c:pt>
                <c:pt idx="32">
                  <c:v>37.790639004438447</c:v>
                </c:pt>
                <c:pt idx="33">
                  <c:v>37.790639004438447</c:v>
                </c:pt>
                <c:pt idx="34">
                  <c:v>37.790639004438447</c:v>
                </c:pt>
                <c:pt idx="35">
                  <c:v>37.790639004438447</c:v>
                </c:pt>
                <c:pt idx="36">
                  <c:v>37.790639004438447</c:v>
                </c:pt>
                <c:pt idx="37">
                  <c:v>37.790639004438447</c:v>
                </c:pt>
                <c:pt idx="38">
                  <c:v>37.790639004438447</c:v>
                </c:pt>
                <c:pt idx="39">
                  <c:v>37.790639004438447</c:v>
                </c:pt>
                <c:pt idx="40">
                  <c:v>37.790639004438447</c:v>
                </c:pt>
                <c:pt idx="41">
                  <c:v>37.790639004438447</c:v>
                </c:pt>
                <c:pt idx="42">
                  <c:v>37.790639004438447</c:v>
                </c:pt>
                <c:pt idx="43">
                  <c:v>37.790639004438447</c:v>
                </c:pt>
                <c:pt idx="44">
                  <c:v>37.790639004438447</c:v>
                </c:pt>
                <c:pt idx="45">
                  <c:v>37.790639004438447</c:v>
                </c:pt>
                <c:pt idx="46">
                  <c:v>37.790639004438447</c:v>
                </c:pt>
                <c:pt idx="47">
                  <c:v>37.790639004438447</c:v>
                </c:pt>
                <c:pt idx="48">
                  <c:v>37.790639004438447</c:v>
                </c:pt>
              </c:numCache>
            </c:numRef>
          </c:val>
          <c:smooth val="0"/>
          <c:extLst>
            <c:ext xmlns:c16="http://schemas.microsoft.com/office/drawing/2014/chart" uri="{C3380CC4-5D6E-409C-BE32-E72D297353CC}">
              <c16:uniqueId val="{00000001-F28E-480D-BB34-63106908CF24}"/>
            </c:ext>
          </c:extLst>
        </c:ser>
        <c:dLbls>
          <c:showLegendKey val="0"/>
          <c:showVal val="0"/>
          <c:showCatName val="0"/>
          <c:showSerName val="0"/>
          <c:showPercent val="0"/>
          <c:showBubbleSize val="0"/>
        </c:dLbls>
        <c:smooth val="0"/>
        <c:axId val="455870624"/>
        <c:axId val="455871016"/>
      </c:lineChart>
      <c:catAx>
        <c:axId val="45587062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71016"/>
        <c:crosses val="autoZero"/>
        <c:auto val="1"/>
        <c:lblAlgn val="ctr"/>
        <c:lblOffset val="100"/>
        <c:noMultiLvlLbl val="0"/>
      </c:catAx>
      <c:valAx>
        <c:axId val="455871016"/>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7062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48529411764705"/>
          <c:y val="4.8611111111111112E-2"/>
          <c:w val="0.85110294117647067"/>
          <c:h val="0.78472222222222221"/>
        </c:manualLayout>
      </c:layout>
      <c:lineChart>
        <c:grouping val="standard"/>
        <c:varyColors val="0"/>
        <c:ser>
          <c:idx val="0"/>
          <c:order val="0"/>
          <c:tx>
            <c:strRef>
              <c:f>Potash!$I$6</c:f>
              <c:strCache>
                <c:ptCount val="1"/>
                <c:pt idx="0">
                  <c:v>real potash value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Potash!$J$67:$J$115</c:f>
              <c:numCache>
                <c:formatCode>0%</c:formatCode>
                <c:ptCount val="49"/>
                <c:pt idx="0">
                  <c:v>0</c:v>
                </c:pt>
                <c:pt idx="1">
                  <c:v>4.2161183548817815E-2</c:v>
                </c:pt>
                <c:pt idx="2">
                  <c:v>0.10972752043596756</c:v>
                </c:pt>
                <c:pt idx="3">
                  <c:v>0.10037824465796619</c:v>
                </c:pt>
                <c:pt idx="4">
                  <c:v>6.7070536052838081E-2</c:v>
                </c:pt>
                <c:pt idx="5">
                  <c:v>9.2634318451757292E-2</c:v>
                </c:pt>
                <c:pt idx="6">
                  <c:v>3.6870426541908641E-2</c:v>
                </c:pt>
                <c:pt idx="7">
                  <c:v>-0.1725151768632549</c:v>
                </c:pt>
                <c:pt idx="8">
                  <c:v>-0.34445092571136349</c:v>
                </c:pt>
                <c:pt idx="9">
                  <c:v>-0.46850411780914181</c:v>
                </c:pt>
                <c:pt idx="10">
                  <c:v>-0.25654888052708202</c:v>
                </c:pt>
                <c:pt idx="11">
                  <c:v>-0.20564676242246649</c:v>
                </c:pt>
                <c:pt idx="12">
                  <c:v>-0.23465727904957012</c:v>
                </c:pt>
                <c:pt idx="13">
                  <c:v>-0.25223548374716975</c:v>
                </c:pt>
                <c:pt idx="14">
                  <c:v>-2.1745740314111695E-2</c:v>
                </c:pt>
                <c:pt idx="15">
                  <c:v>0.14314852489710095</c:v>
                </c:pt>
                <c:pt idx="16">
                  <c:v>0.14585497814282622</c:v>
                </c:pt>
                <c:pt idx="17">
                  <c:v>7.8134097207666731E-2</c:v>
                </c:pt>
                <c:pt idx="18">
                  <c:v>0.10493732970027247</c:v>
                </c:pt>
                <c:pt idx="19">
                  <c:v>0.21566577967852996</c:v>
                </c:pt>
                <c:pt idx="20">
                  <c:v>0.32376736269201412</c:v>
                </c:pt>
                <c:pt idx="21">
                  <c:v>0.43155125434557906</c:v>
                </c:pt>
                <c:pt idx="22">
                  <c:v>0.23606901274557113</c:v>
                </c:pt>
                <c:pt idx="23">
                  <c:v>0.1020377459420605</c:v>
                </c:pt>
                <c:pt idx="24">
                  <c:v>5.7696678637227716E-2</c:v>
                </c:pt>
                <c:pt idx="25">
                  <c:v>-3.8934876092823867E-2</c:v>
                </c:pt>
                <c:pt idx="26">
                  <c:v>-0.19872113606078079</c:v>
                </c:pt>
                <c:pt idx="27">
                  <c:v>-0.10973673377374393</c:v>
                </c:pt>
                <c:pt idx="28">
                  <c:v>0.13164978486596213</c:v>
                </c:pt>
                <c:pt idx="29">
                  <c:v>0.13392899331063801</c:v>
                </c:pt>
                <c:pt idx="30">
                  <c:v>-0.17280850717985796</c:v>
                </c:pt>
                <c:pt idx="31">
                  <c:v>-3.3183395346389033E-2</c:v>
                </c:pt>
                <c:pt idx="32">
                  <c:v>-1.1437827897882169E-2</c:v>
                </c:pt>
                <c:pt idx="33">
                  <c:v>-0.10981728964998028</c:v>
                </c:pt>
                <c:pt idx="34">
                  <c:v>-0.1317369733521695</c:v>
                </c:pt>
                <c:pt idx="35">
                  <c:v>-0.19260479948368481</c:v>
                </c:pt>
                <c:pt idx="36">
                  <c:v>-0.24506924933997831</c:v>
                </c:pt>
                <c:pt idx="37">
                  <c:v>-0.27238879459904741</c:v>
                </c:pt>
                <c:pt idx="38">
                  <c:v>-0.14037418728248852</c:v>
                </c:pt>
                <c:pt idx="39">
                  <c:v>-0.21281101726256724</c:v>
                </c:pt>
                <c:pt idx="40">
                  <c:v>-0.26690406394875832</c:v>
                </c:pt>
                <c:pt idx="41">
                  <c:v>-0.31151836941755362</c:v>
                </c:pt>
                <c:pt idx="42">
                  <c:v>-0.50412104185353801</c:v>
                </c:pt>
                <c:pt idx="43">
                  <c:v>-0.51667493952813204</c:v>
                </c:pt>
                <c:pt idx="44">
                  <c:v>-0.4611466505022922</c:v>
                </c:pt>
                <c:pt idx="45">
                  <c:v>-0.30922786978706007</c:v>
                </c:pt>
                <c:pt idx="46">
                  <c:v>-0.31557200784323436</c:v>
                </c:pt>
                <c:pt idx="47">
                  <c:v>-0.2850493312828849</c:v>
                </c:pt>
                <c:pt idx="48">
                  <c:v>1.3698051040031278</c:v>
                </c:pt>
              </c:numCache>
            </c:numRef>
          </c:val>
          <c:smooth val="0"/>
          <c:extLst>
            <c:ext xmlns:c16="http://schemas.microsoft.com/office/drawing/2014/chart" uri="{C3380CC4-5D6E-409C-BE32-E72D297353CC}">
              <c16:uniqueId val="{00000000-F281-45F5-BFA0-906CE46B4ECC}"/>
            </c:ext>
          </c:extLst>
        </c:ser>
        <c:ser>
          <c:idx val="1"/>
          <c:order val="1"/>
          <c:tx>
            <c:strRef>
              <c:f>Potash!$Y$6</c:f>
              <c:strCache>
                <c:ptCount val="1"/>
                <c:pt idx="0">
                  <c:v>real corn price</c:v>
                </c:pt>
              </c:strCache>
            </c:strRef>
          </c:tx>
          <c:marker>
            <c:symbol val="none"/>
          </c:marker>
          <c:val>
            <c:numRef>
              <c:f>Potash!$Z$67:$Z$115</c:f>
              <c:numCache>
                <c:formatCode>0%</c:formatCode>
                <c:ptCount val="49"/>
                <c:pt idx="0">
                  <c:v>0</c:v>
                </c:pt>
                <c:pt idx="1">
                  <c:v>8.1543624161073858E-2</c:v>
                </c:pt>
                <c:pt idx="2">
                  <c:v>9.3866666666666987E-2</c:v>
                </c:pt>
                <c:pt idx="3">
                  <c:v>6.9835526315789709E-2</c:v>
                </c:pt>
                <c:pt idx="4">
                  <c:v>0.10941747572815541</c:v>
                </c:pt>
                <c:pt idx="5">
                  <c:v>8.9358974358974219E-2</c:v>
                </c:pt>
                <c:pt idx="6">
                  <c:v>0.14251572327044015</c:v>
                </c:pt>
                <c:pt idx="7">
                  <c:v>-8.2705167173252159E-2</c:v>
                </c:pt>
                <c:pt idx="8">
                  <c:v>-7.2023460410557183E-2</c:v>
                </c:pt>
                <c:pt idx="9">
                  <c:v>-4.5280898876404629E-2</c:v>
                </c:pt>
                <c:pt idx="10">
                  <c:v>3.0925925925926023E-2</c:v>
                </c:pt>
                <c:pt idx="11">
                  <c:v>-0.2049246231155778</c:v>
                </c:pt>
                <c:pt idx="12">
                  <c:v>0.11924574209245731</c:v>
                </c:pt>
                <c:pt idx="13">
                  <c:v>0.75387323943661966</c:v>
                </c:pt>
                <c:pt idx="14">
                  <c:v>0.89884120171673798</c:v>
                </c:pt>
                <c:pt idx="15">
                  <c:v>0.42844529750479832</c:v>
                </c:pt>
                <c:pt idx="16">
                  <c:v>0.13300359712230203</c:v>
                </c:pt>
                <c:pt idx="17">
                  <c:v>1.1726495726495756E-2</c:v>
                </c:pt>
                <c:pt idx="18">
                  <c:v>5.479999999999996E-2</c:v>
                </c:pt>
                <c:pt idx="19">
                  <c:v>8.1054172767203614E-2</c:v>
                </c:pt>
                <c:pt idx="20">
                  <c:v>0.17124678663239079</c:v>
                </c:pt>
                <c:pt idx="21">
                  <c:v>-0.15804597701149425</c:v>
                </c:pt>
                <c:pt idx="22">
                  <c:v>-0.20768822905620354</c:v>
                </c:pt>
                <c:pt idx="23">
                  <c:v>-3.8312883435582812E-2</c:v>
                </c:pt>
                <c:pt idx="24">
                  <c:v>-0.24377821393523069</c:v>
                </c:pt>
                <c:pt idx="25">
                  <c:v>-0.38067298578199049</c:v>
                </c:pt>
                <c:pt idx="26">
                  <c:v>-0.59899635036496357</c:v>
                </c:pt>
                <c:pt idx="27">
                  <c:v>-0.48883093525179855</c:v>
                </c:pt>
                <c:pt idx="28">
                  <c:v>-0.3567675021607607</c:v>
                </c:pt>
                <c:pt idx="29">
                  <c:v>-0.42900082576383147</c:v>
                </c:pt>
                <c:pt idx="30">
                  <c:v>-0.47563579277864998</c:v>
                </c:pt>
                <c:pt idx="31">
                  <c:v>-0.48409361069836554</c:v>
                </c:pt>
                <c:pt idx="32">
                  <c:v>-0.56081824764663279</c:v>
                </c:pt>
                <c:pt idx="33">
                  <c:v>-0.48632538569424966</c:v>
                </c:pt>
                <c:pt idx="34">
                  <c:v>-0.5470725034199726</c:v>
                </c:pt>
                <c:pt idx="35">
                  <c:v>-0.36838323353293412</c:v>
                </c:pt>
                <c:pt idx="36">
                  <c:v>-0.48573186528497414</c:v>
                </c:pt>
                <c:pt idx="37">
                  <c:v>-0.55248900062853545</c:v>
                </c:pt>
                <c:pt idx="38">
                  <c:v>-0.64825495049504944</c:v>
                </c:pt>
                <c:pt idx="39">
                  <c:v>-0.6754351795496043</c:v>
                </c:pt>
                <c:pt idx="40">
                  <c:v>-0.67888033175355456</c:v>
                </c:pt>
                <c:pt idx="41">
                  <c:v>-0.67035408338092517</c:v>
                </c:pt>
                <c:pt idx="42">
                  <c:v>-0.61617165443252397</c:v>
                </c:pt>
                <c:pt idx="43">
                  <c:v>-0.60976334617501371</c:v>
                </c:pt>
                <c:pt idx="44">
                  <c:v>-0.67409287257019435</c:v>
                </c:pt>
                <c:pt idx="45">
                  <c:v>-0.69271106449921338</c:v>
                </c:pt>
                <c:pt idx="46">
                  <c:v>-0.55082198688855277</c:v>
                </c:pt>
                <c:pt idx="47">
                  <c:v>-0.40431083202131823</c:v>
                </c:pt>
                <c:pt idx="48">
                  <c:v>-0.28791800009275992</c:v>
                </c:pt>
              </c:numCache>
            </c:numRef>
          </c:val>
          <c:smooth val="0"/>
          <c:extLst>
            <c:ext xmlns:c16="http://schemas.microsoft.com/office/drawing/2014/chart" uri="{C3380CC4-5D6E-409C-BE32-E72D297353CC}">
              <c16:uniqueId val="{00000001-F281-45F5-BFA0-906CE46B4ECC}"/>
            </c:ext>
          </c:extLst>
        </c:ser>
        <c:dLbls>
          <c:showLegendKey val="0"/>
          <c:showVal val="0"/>
          <c:showCatName val="0"/>
          <c:showSerName val="0"/>
          <c:showPercent val="0"/>
          <c:showBubbleSize val="0"/>
        </c:dLbls>
        <c:smooth val="0"/>
        <c:axId val="455871800"/>
        <c:axId val="455872192"/>
      </c:lineChart>
      <c:catAx>
        <c:axId val="45587180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72192"/>
        <c:crosses val="autoZero"/>
        <c:auto val="1"/>
        <c:lblAlgn val="ctr"/>
        <c:lblOffset val="100"/>
        <c:noMultiLvlLbl val="0"/>
      </c:catAx>
      <c:valAx>
        <c:axId val="45587219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7180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0.11948529411764705"/>
          <c:y val="4.8611111111111112E-2"/>
          <c:w val="0.85110294117647067"/>
          <c:h val="0.78472222222222221"/>
        </c:manualLayout>
      </c:layout>
      <c:lineChart>
        <c:grouping val="standard"/>
        <c:varyColors val="0"/>
        <c:ser>
          <c:idx val="0"/>
          <c:order val="0"/>
          <c:tx>
            <c:strRef>
              <c:f>Potash!$Q$6</c:f>
              <c:strCache>
                <c:ptCount val="1"/>
                <c:pt idx="0">
                  <c:v>World production change (KCL)</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Potash!$Q$67:$Q$116</c:f>
              <c:numCache>
                <c:formatCode>0.0%</c:formatCode>
                <c:ptCount val="50"/>
                <c:pt idx="0">
                  <c:v>6.3305978898007043E-2</c:v>
                </c:pt>
                <c:pt idx="1">
                  <c:v>7.056229327453134E-2</c:v>
                </c:pt>
                <c:pt idx="2">
                  <c:v>9.2687950566425759E-3</c:v>
                </c:pt>
                <c:pt idx="3">
                  <c:v>0.15306122448979598</c:v>
                </c:pt>
                <c:pt idx="4">
                  <c:v>8.8495575221238854E-2</c:v>
                </c:pt>
                <c:pt idx="5">
                  <c:v>0.11382113821138207</c:v>
                </c:pt>
                <c:pt idx="6">
                  <c:v>6.5693430656934337E-2</c:v>
                </c:pt>
                <c:pt idx="7">
                  <c:v>7.5342465753424515E-2</c:v>
                </c:pt>
                <c:pt idx="8">
                  <c:v>3.1847133757961776E-2</c:v>
                </c:pt>
                <c:pt idx="9">
                  <c:v>7.4074074074074181E-2</c:v>
                </c:pt>
                <c:pt idx="10">
                  <c:v>4.5977011494252817E-2</c:v>
                </c:pt>
                <c:pt idx="11">
                  <c:v>9.3406593406593297E-2</c:v>
                </c:pt>
                <c:pt idx="12">
                  <c:v>5.0251256281408363E-3</c:v>
                </c:pt>
                <c:pt idx="13">
                  <c:v>-5.4999999999999938E-2</c:v>
                </c:pt>
                <c:pt idx="14">
                  <c:v>0.11640211640211651</c:v>
                </c:pt>
                <c:pt idx="15">
                  <c:v>0.17061611374407581</c:v>
                </c:pt>
                <c:pt idx="16">
                  <c:v>-1.619433198380571E-2</c:v>
                </c:pt>
                <c:pt idx="17">
                  <c:v>3.7037037037036979E-2</c:v>
                </c:pt>
                <c:pt idx="18">
                  <c:v>3.5714285714285587E-2</c:v>
                </c:pt>
                <c:pt idx="19">
                  <c:v>-1.5325670498084198E-2</c:v>
                </c:pt>
                <c:pt idx="20">
                  <c:v>8.5603112840466844E-2</c:v>
                </c:pt>
                <c:pt idx="21">
                  <c:v>-2.8673835125448077E-2</c:v>
                </c:pt>
                <c:pt idx="22">
                  <c:v>-9.5940959409594129E-2</c:v>
                </c:pt>
                <c:pt idx="23">
                  <c:v>0.1183673469387756</c:v>
                </c:pt>
                <c:pt idx="24">
                  <c:v>6.9343065693430628E-2</c:v>
                </c:pt>
                <c:pt idx="25">
                  <c:v>-3.4129692832763903E-3</c:v>
                </c:pt>
                <c:pt idx="26">
                  <c:v>-1.3698630136986356E-2</c:v>
                </c:pt>
                <c:pt idx="27">
                  <c:v>5.9027777777777679E-2</c:v>
                </c:pt>
                <c:pt idx="28">
                  <c:v>4.2622950819672267E-2</c:v>
                </c:pt>
                <c:pt idx="29">
                  <c:v>-7.8616352201257844E-2</c:v>
                </c:pt>
                <c:pt idx="30">
                  <c:v>-6.1433447098976135E-2</c:v>
                </c:pt>
                <c:pt idx="31">
                  <c:v>-5.0909090909090904E-2</c:v>
                </c:pt>
                <c:pt idx="32">
                  <c:v>-8.4291187739463536E-2</c:v>
                </c:pt>
                <c:pt idx="33">
                  <c:v>-0.14644351464435146</c:v>
                </c:pt>
                <c:pt idx="34">
                  <c:v>0.13235294117647078</c:v>
                </c:pt>
                <c:pt idx="35">
                  <c:v>6.9264069264069139E-2</c:v>
                </c:pt>
                <c:pt idx="36">
                  <c:v>-3.238866396761142E-2</c:v>
                </c:pt>
                <c:pt idx="37">
                  <c:v>6.6945606694560622E-2</c:v>
                </c:pt>
                <c:pt idx="38">
                  <c:v>1.9607843137254832E-2</c:v>
                </c:pt>
                <c:pt idx="39">
                  <c:v>4.6153846153846212E-2</c:v>
                </c:pt>
                <c:pt idx="40">
                  <c:v>-7.3529411764706731E-3</c:v>
                </c:pt>
                <c:pt idx="41">
                  <c:v>-2.2222222222222143E-2</c:v>
                </c:pt>
                <c:pt idx="42">
                  <c:v>2.6515151515151381E-2</c:v>
                </c:pt>
                <c:pt idx="43">
                  <c:v>5.5350553505534972E-2</c:v>
                </c:pt>
                <c:pt idx="44">
                  <c:v>0.12237762237762251</c:v>
                </c:pt>
                <c:pt idx="45">
                  <c:v>5.2959501557632516E-2</c:v>
                </c:pt>
                <c:pt idx="46">
                  <c:v>-7.6923076923076872E-2</c:v>
                </c:pt>
                <c:pt idx="47">
                  <c:v>0.14743589743589736</c:v>
                </c:pt>
                <c:pt idx="48">
                  <c:v>-2.7932960893854775E-2</c:v>
                </c:pt>
                <c:pt idx="49">
                  <c:v>-0.39175287356321842</c:v>
                </c:pt>
              </c:numCache>
            </c:numRef>
          </c:val>
          <c:smooth val="0"/>
          <c:extLst>
            <c:ext xmlns:c16="http://schemas.microsoft.com/office/drawing/2014/chart" uri="{C3380CC4-5D6E-409C-BE32-E72D297353CC}">
              <c16:uniqueId val="{00000000-EC83-4B3F-A199-799F4C1241EF}"/>
            </c:ext>
          </c:extLst>
        </c:ser>
        <c:dLbls>
          <c:showLegendKey val="0"/>
          <c:showVal val="0"/>
          <c:showCatName val="0"/>
          <c:showSerName val="0"/>
          <c:showPercent val="0"/>
          <c:showBubbleSize val="0"/>
        </c:dLbls>
        <c:smooth val="0"/>
        <c:axId val="456516256"/>
        <c:axId val="456516648"/>
      </c:lineChart>
      <c:catAx>
        <c:axId val="456516256"/>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516648"/>
        <c:crosses val="autoZero"/>
        <c:auto val="1"/>
        <c:lblAlgn val="ctr"/>
        <c:lblOffset val="100"/>
        <c:noMultiLvlLbl val="0"/>
      </c:catAx>
      <c:valAx>
        <c:axId val="456516648"/>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516256"/>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896174863387998E-2"/>
          <c:y val="9.3750000000001568E-2"/>
          <c:w val="0.87795992714025561"/>
          <c:h val="0.67708333333334603"/>
        </c:manualLayout>
      </c:layout>
      <c:areaChart>
        <c:grouping val="standard"/>
        <c:varyColors val="0"/>
        <c:ser>
          <c:idx val="2"/>
          <c:order val="2"/>
          <c:tx>
            <c:strRef>
              <c:f>Potash!$V$122</c:f>
              <c:strCache>
                <c:ptCount val="1"/>
                <c:pt idx="0">
                  <c:v>Available Capacity</c:v>
                </c:pt>
              </c:strCache>
            </c:strRef>
          </c:tx>
          <c:spPr>
            <a:solidFill>
              <a:srgbClr val="FF0000"/>
            </a:solidFill>
          </c:spP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Potash!$V$123:$V$131</c:f>
              <c:numCache>
                <c:formatCode>0.0</c:formatCode>
                <c:ptCount val="9"/>
                <c:pt idx="0">
                  <c:v>56</c:v>
                </c:pt>
                <c:pt idx="1">
                  <c:v>56</c:v>
                </c:pt>
                <c:pt idx="2">
                  <c:v>56</c:v>
                </c:pt>
                <c:pt idx="3">
                  <c:v>57</c:v>
                </c:pt>
                <c:pt idx="4">
                  <c:v>59</c:v>
                </c:pt>
                <c:pt idx="5">
                  <c:v>60</c:v>
                </c:pt>
                <c:pt idx="6">
                  <c:v>62</c:v>
                </c:pt>
                <c:pt idx="7">
                  <c:v>62.5</c:v>
                </c:pt>
                <c:pt idx="8">
                  <c:v>64</c:v>
                </c:pt>
              </c:numCache>
            </c:numRef>
          </c:val>
          <c:extLst>
            <c:ext xmlns:c16="http://schemas.microsoft.com/office/drawing/2014/chart" uri="{C3380CC4-5D6E-409C-BE32-E72D297353CC}">
              <c16:uniqueId val="{00000000-5764-4DF7-BC04-27020CD39A10}"/>
            </c:ext>
          </c:extLst>
        </c:ser>
        <c:dLbls>
          <c:showLegendKey val="0"/>
          <c:showVal val="0"/>
          <c:showCatName val="0"/>
          <c:showSerName val="0"/>
          <c:showPercent val="0"/>
          <c:showBubbleSize val="0"/>
        </c:dLbls>
        <c:axId val="456517432"/>
        <c:axId val="456517824"/>
      </c:areaChart>
      <c:barChart>
        <c:barDir val="col"/>
        <c:grouping val="clustered"/>
        <c:varyColors val="0"/>
        <c:ser>
          <c:idx val="0"/>
          <c:order val="0"/>
          <c:tx>
            <c:strRef>
              <c:f>Potash!$T$122</c:f>
              <c:strCache>
                <c:ptCount val="1"/>
                <c:pt idx="0">
                  <c:v>World production</c:v>
                </c:pt>
              </c:strCache>
            </c:strRef>
          </c:tx>
          <c:spPr>
            <a:solidFill>
              <a:schemeClr val="tx1">
                <a:lumMod val="50000"/>
                <a:lumOff val="50000"/>
              </a:schemeClr>
            </a:solidFill>
          </c:spPr>
          <c:invertIfNegative val="0"/>
          <c:cat>
            <c:numRef>
              <c:f>Potash!$A$108:$A$116</c:f>
              <c:numCache>
                <c:formatCode>0</c:formatCode>
                <c:ptCount val="9"/>
                <c:pt idx="0">
                  <c:v>2001</c:v>
                </c:pt>
                <c:pt idx="1">
                  <c:v>2002</c:v>
                </c:pt>
                <c:pt idx="2" formatCode="General">
                  <c:v>2003</c:v>
                </c:pt>
                <c:pt idx="3">
                  <c:v>2004</c:v>
                </c:pt>
                <c:pt idx="4" formatCode="General">
                  <c:v>2005</c:v>
                </c:pt>
                <c:pt idx="5">
                  <c:v>2006</c:v>
                </c:pt>
                <c:pt idx="6">
                  <c:v>2007</c:v>
                </c:pt>
                <c:pt idx="7">
                  <c:v>2008</c:v>
                </c:pt>
                <c:pt idx="8">
                  <c:v>2009</c:v>
                </c:pt>
              </c:numCache>
            </c:numRef>
          </c:cat>
          <c:val>
            <c:numRef>
              <c:f>Potash!$T$123:$T$131</c:f>
              <c:numCache>
                <c:formatCode>0.0</c:formatCode>
                <c:ptCount val="9"/>
                <c:pt idx="0">
                  <c:v>43.278688524590166</c:v>
                </c:pt>
                <c:pt idx="1">
                  <c:v>44.42622950819672</c:v>
                </c:pt>
                <c:pt idx="2">
                  <c:v>46.885245901639344</c:v>
                </c:pt>
                <c:pt idx="3">
                  <c:v>52.622950819672127</c:v>
                </c:pt>
                <c:pt idx="4">
                  <c:v>55.409836065573771</c:v>
                </c:pt>
                <c:pt idx="5">
                  <c:v>51.147540983606561</c:v>
                </c:pt>
                <c:pt idx="6">
                  <c:v>58.688524590163937</c:v>
                </c:pt>
                <c:pt idx="7">
                  <c:v>57.049180327868854</c:v>
                </c:pt>
                <c:pt idx="8">
                  <c:v>34.700000000000003</c:v>
                </c:pt>
              </c:numCache>
            </c:numRef>
          </c:val>
          <c:extLst>
            <c:ext xmlns:c16="http://schemas.microsoft.com/office/drawing/2014/chart" uri="{C3380CC4-5D6E-409C-BE32-E72D297353CC}">
              <c16:uniqueId val="{00000001-5764-4DF7-BC04-27020CD39A10}"/>
            </c:ext>
          </c:extLst>
        </c:ser>
        <c:dLbls>
          <c:showLegendKey val="0"/>
          <c:showVal val="0"/>
          <c:showCatName val="0"/>
          <c:showSerName val="0"/>
          <c:showPercent val="0"/>
          <c:showBubbleSize val="0"/>
        </c:dLbls>
        <c:gapWidth val="150"/>
        <c:axId val="456517432"/>
        <c:axId val="456517824"/>
      </c:barChart>
      <c:lineChart>
        <c:grouping val="standard"/>
        <c:varyColors val="0"/>
        <c:ser>
          <c:idx val="1"/>
          <c:order val="1"/>
          <c:tx>
            <c:strRef>
              <c:f>Potash!$U$122</c:f>
              <c:strCache>
                <c:ptCount val="1"/>
                <c:pt idx="0">
                  <c:v>World Sales</c:v>
                </c:pt>
              </c:strCache>
            </c:strRef>
          </c:tx>
          <c:spPr>
            <a:ln w="28575">
              <a:solidFill>
                <a:schemeClr val="tx1"/>
              </a:solidFill>
            </a:ln>
          </c:spPr>
          <c:marker>
            <c:symbol val="none"/>
          </c:marke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Potash!$U$123:$U$131</c:f>
              <c:numCache>
                <c:formatCode>0.0</c:formatCode>
                <c:ptCount val="9"/>
                <c:pt idx="0">
                  <c:v>43.9</c:v>
                </c:pt>
                <c:pt idx="1">
                  <c:v>45.5</c:v>
                </c:pt>
                <c:pt idx="2">
                  <c:v>49.1</c:v>
                </c:pt>
                <c:pt idx="3">
                  <c:v>54.2</c:v>
                </c:pt>
                <c:pt idx="4">
                  <c:v>54.4</c:v>
                </c:pt>
                <c:pt idx="5">
                  <c:v>50.7</c:v>
                </c:pt>
                <c:pt idx="6">
                  <c:v>58.7</c:v>
                </c:pt>
                <c:pt idx="7">
                  <c:v>54.5</c:v>
                </c:pt>
                <c:pt idx="8">
                  <c:v>32</c:v>
                </c:pt>
              </c:numCache>
            </c:numRef>
          </c:val>
          <c:smooth val="0"/>
          <c:extLst>
            <c:ext xmlns:c16="http://schemas.microsoft.com/office/drawing/2014/chart" uri="{C3380CC4-5D6E-409C-BE32-E72D297353CC}">
              <c16:uniqueId val="{00000002-5764-4DF7-BC04-27020CD39A10}"/>
            </c:ext>
          </c:extLst>
        </c:ser>
        <c:dLbls>
          <c:showLegendKey val="0"/>
          <c:showVal val="0"/>
          <c:showCatName val="0"/>
          <c:showSerName val="0"/>
          <c:showPercent val="0"/>
          <c:showBubbleSize val="0"/>
        </c:dLbls>
        <c:marker val="1"/>
        <c:smooth val="0"/>
        <c:axId val="456517432"/>
        <c:axId val="456517824"/>
      </c:lineChart>
      <c:catAx>
        <c:axId val="456517432"/>
        <c:scaling>
          <c:orientation val="minMax"/>
        </c:scaling>
        <c:delete val="0"/>
        <c:axPos val="b"/>
        <c:numFmt formatCode="General"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517824"/>
        <c:crosses val="autoZero"/>
        <c:auto val="1"/>
        <c:lblAlgn val="ctr"/>
        <c:lblOffset val="100"/>
        <c:noMultiLvlLbl val="0"/>
      </c:catAx>
      <c:valAx>
        <c:axId val="456517824"/>
        <c:scaling>
          <c:orientation val="minMax"/>
        </c:scaling>
        <c:delete val="0"/>
        <c:axPos val="l"/>
        <c:numFmt formatCode="0.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51743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0988" l="0.70000000000000062" r="0.70000000000000062" t="0.75000000000000988"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0773899848254972"/>
          <c:y val="4.8611111111111112E-2"/>
          <c:w val="0.86798179059181713"/>
          <c:h val="0.63888888888890005"/>
        </c:manualLayout>
      </c:layout>
      <c:lineChart>
        <c:grouping val="standard"/>
        <c:varyColors val="0"/>
        <c:ser>
          <c:idx val="0"/>
          <c:order val="0"/>
          <c:tx>
            <c:strRef>
              <c:f>Potash!$G$6</c:f>
              <c:strCache>
                <c:ptCount val="1"/>
                <c:pt idx="0">
                  <c:v>potash value ($/t)</c:v>
                </c:pt>
              </c:strCache>
            </c:strRef>
          </c:tx>
          <c:spPr>
            <a:ln w="3810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Potash!$G$67:$G$117</c:f>
              <c:numCache>
                <c:formatCode>#,##0.00</c:formatCode>
                <c:ptCount val="51"/>
                <c:pt idx="0">
                  <c:v>36.700000000000003</c:v>
                </c:pt>
                <c:pt idx="1">
                  <c:v>38.9</c:v>
                </c:pt>
                <c:pt idx="2">
                  <c:v>41.7</c:v>
                </c:pt>
                <c:pt idx="3">
                  <c:v>41.9</c:v>
                </c:pt>
                <c:pt idx="4">
                  <c:v>41.3</c:v>
                </c:pt>
                <c:pt idx="5">
                  <c:v>42.7</c:v>
                </c:pt>
                <c:pt idx="6">
                  <c:v>41.3</c:v>
                </c:pt>
                <c:pt idx="7">
                  <c:v>34.1</c:v>
                </c:pt>
                <c:pt idx="8">
                  <c:v>28</c:v>
                </c:pt>
                <c:pt idx="9">
                  <c:v>23.7</c:v>
                </c:pt>
                <c:pt idx="10">
                  <c:v>35.200000000000003</c:v>
                </c:pt>
                <c:pt idx="11">
                  <c:v>39.6</c:v>
                </c:pt>
                <c:pt idx="12">
                  <c:v>39.4</c:v>
                </c:pt>
                <c:pt idx="13">
                  <c:v>39.9</c:v>
                </c:pt>
                <c:pt idx="14">
                  <c:v>57.1</c:v>
                </c:pt>
                <c:pt idx="15">
                  <c:v>74.599999999999994</c:v>
                </c:pt>
                <c:pt idx="16">
                  <c:v>79.8</c:v>
                </c:pt>
                <c:pt idx="17">
                  <c:v>79</c:v>
                </c:pt>
                <c:pt idx="18">
                  <c:v>86.5</c:v>
                </c:pt>
                <c:pt idx="19" formatCode="#,##0">
                  <c:v>104</c:v>
                </c:pt>
                <c:pt idx="20" formatCode="#,##0">
                  <c:v>129</c:v>
                </c:pt>
                <c:pt idx="21" formatCode="#,##0">
                  <c:v>156</c:v>
                </c:pt>
                <c:pt idx="22" formatCode="#,##0">
                  <c:v>146</c:v>
                </c:pt>
                <c:pt idx="23" formatCode="#,##0">
                  <c:v>135</c:v>
                </c:pt>
                <c:pt idx="24" formatCode="#,##0">
                  <c:v>135</c:v>
                </c:pt>
                <c:pt idx="25" formatCode="#,##0">
                  <c:v>127</c:v>
                </c:pt>
                <c:pt idx="26" formatCode="#,##0">
                  <c:v>110</c:v>
                </c:pt>
                <c:pt idx="27" formatCode="#,##0">
                  <c:v>124</c:v>
                </c:pt>
                <c:pt idx="28" formatCode="#,##0">
                  <c:v>164</c:v>
                </c:pt>
                <c:pt idx="29" formatCode="#,##0">
                  <c:v>172</c:v>
                </c:pt>
                <c:pt idx="30" formatCode="#,##0">
                  <c:v>132</c:v>
                </c:pt>
                <c:pt idx="31" formatCode="#,##0">
                  <c:v>163</c:v>
                </c:pt>
                <c:pt idx="32" formatCode="#,##0">
                  <c:v>171</c:v>
                </c:pt>
                <c:pt idx="33" formatCode="#,##0">
                  <c:v>159</c:v>
                </c:pt>
                <c:pt idx="34" formatCode="#,##0">
                  <c:v>159</c:v>
                </c:pt>
                <c:pt idx="35" formatCode="#,##0">
                  <c:v>152</c:v>
                </c:pt>
                <c:pt idx="36" formatCode="#,##0">
                  <c:v>146</c:v>
                </c:pt>
                <c:pt idx="37" formatCode="#,##0">
                  <c:v>145</c:v>
                </c:pt>
                <c:pt idx="38" formatCode="#,##0">
                  <c:v>174</c:v>
                </c:pt>
                <c:pt idx="39" formatCode="#,##0">
                  <c:v>162</c:v>
                </c:pt>
                <c:pt idx="40" formatCode="#,##0">
                  <c:v>155</c:v>
                </c:pt>
                <c:pt idx="41" formatCode="#,##0">
                  <c:v>151</c:v>
                </c:pt>
                <c:pt idx="42" formatCode="#,##0">
                  <c:v>110</c:v>
                </c:pt>
                <c:pt idx="43" formatCode="#,##0">
                  <c:v>110</c:v>
                </c:pt>
                <c:pt idx="44" formatCode="#,##0">
                  <c:v>125</c:v>
                </c:pt>
                <c:pt idx="45" formatCode="#,##0">
                  <c:v>165</c:v>
                </c:pt>
                <c:pt idx="46" formatCode="#,##0">
                  <c:v>170</c:v>
                </c:pt>
                <c:pt idx="47" formatCode="#,##0">
                  <c:v>185</c:v>
                </c:pt>
                <c:pt idx="48" formatCode="#,##0">
                  <c:v>640</c:v>
                </c:pt>
                <c:pt idx="49" formatCode="#,##0">
                  <c:v>494</c:v>
                </c:pt>
                <c:pt idx="50" formatCode="#,##0">
                  <c:v>360</c:v>
                </c:pt>
              </c:numCache>
            </c:numRef>
          </c:val>
          <c:smooth val="0"/>
          <c:extLst>
            <c:ext xmlns:c16="http://schemas.microsoft.com/office/drawing/2014/chart" uri="{C3380CC4-5D6E-409C-BE32-E72D297353CC}">
              <c16:uniqueId val="{00000000-EF40-423F-9CDD-096764DD2FB5}"/>
            </c:ext>
          </c:extLst>
        </c:ser>
        <c:dLbls>
          <c:showLegendKey val="0"/>
          <c:showVal val="0"/>
          <c:showCatName val="0"/>
          <c:showSerName val="0"/>
          <c:showPercent val="0"/>
          <c:showBubbleSize val="0"/>
        </c:dLbls>
        <c:smooth val="0"/>
        <c:axId val="456518608"/>
        <c:axId val="456519000"/>
      </c:lineChart>
      <c:catAx>
        <c:axId val="456518608"/>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519000"/>
        <c:crosses val="autoZero"/>
        <c:auto val="1"/>
        <c:lblAlgn val="ctr"/>
        <c:lblOffset val="100"/>
        <c:noMultiLvlLbl val="0"/>
      </c:catAx>
      <c:valAx>
        <c:axId val="456519000"/>
        <c:scaling>
          <c:orientation val="minMax"/>
        </c:scaling>
        <c:delete val="0"/>
        <c:axPos val="l"/>
        <c:numFmt formatCode="#,##0.00" sourceLinked="1"/>
        <c:majorTickMark val="out"/>
        <c:minorTickMark val="none"/>
        <c:tickLblPos val="nextTo"/>
        <c:txPr>
          <a:bodyPr rot="0" vert="horz"/>
          <a:lstStyle/>
          <a:p>
            <a:pPr>
              <a:defRPr sz="1200" b="1" i="0" u="none" strike="noStrike" baseline="0">
                <a:solidFill>
                  <a:srgbClr val="000000"/>
                </a:solidFill>
                <a:latin typeface="Arial"/>
                <a:ea typeface="Arial"/>
                <a:cs typeface="Arial"/>
              </a:defRPr>
            </a:pPr>
            <a:endParaRPr lang="en-US"/>
          </a:p>
        </c:txPr>
        <c:crossAx val="456518608"/>
        <c:crosses val="autoZero"/>
        <c:crossBetween val="between"/>
      </c:valAx>
    </c:plotArea>
    <c:legend>
      <c:legendPos val="b"/>
      <c:overlay val="0"/>
      <c:txPr>
        <a:bodyPr/>
        <a:lstStyle/>
        <a:p>
          <a:pPr>
            <a:defRPr sz="92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2683823529411764"/>
          <c:y val="5.2083333333334134E-2"/>
          <c:w val="0.84375000000000988"/>
          <c:h val="0.7673611111111116"/>
        </c:manualLayout>
      </c:layout>
      <c:lineChart>
        <c:grouping val="standard"/>
        <c:varyColors val="0"/>
        <c:ser>
          <c:idx val="0"/>
          <c:order val="0"/>
          <c:tx>
            <c:strRef>
              <c:f>Potash!$S$6</c:f>
              <c:strCache>
                <c:ptCount val="1"/>
                <c:pt idx="0">
                  <c:v>World production change (5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Potash!$S$67:$S$116</c:f>
              <c:numCache>
                <c:formatCode>0.0%</c:formatCode>
                <c:ptCount val="50"/>
                <c:pt idx="0">
                  <c:v>4.5524305200333348E-2</c:v>
                </c:pt>
                <c:pt idx="1">
                  <c:v>5.2167422060371615E-2</c:v>
                </c:pt>
                <c:pt idx="2">
                  <c:v>4.4310908460110765E-2</c:v>
                </c:pt>
                <c:pt idx="3">
                  <c:v>7.2050170991297069E-2</c:v>
                </c:pt>
                <c:pt idx="4">
                  <c:v>7.594783510097991E-2</c:v>
                </c:pt>
                <c:pt idx="5">
                  <c:v>8.5982072709384294E-2</c:v>
                </c:pt>
                <c:pt idx="6">
                  <c:v>8.4992472610531999E-2</c:v>
                </c:pt>
                <c:pt idx="7">
                  <c:v>9.8840645469841393E-2</c:v>
                </c:pt>
                <c:pt idx="8">
                  <c:v>7.4700161676846344E-2</c:v>
                </c:pt>
                <c:pt idx="9">
                  <c:v>7.1837203563014818E-2</c:v>
                </c:pt>
                <c:pt idx="10">
                  <c:v>5.8449553787509156E-2</c:v>
                </c:pt>
                <c:pt idx="11">
                  <c:v>6.389812654082605E-2</c:v>
                </c:pt>
                <c:pt idx="12">
                  <c:v>4.9605429628702069E-2</c:v>
                </c:pt>
                <c:pt idx="13">
                  <c:v>3.1310306477545069E-2</c:v>
                </c:pt>
                <c:pt idx="14">
                  <c:v>3.9313674409561905E-2</c:v>
                </c:pt>
                <c:pt idx="15">
                  <c:v>6.2980048262344379E-2</c:v>
                </c:pt>
                <c:pt idx="16">
                  <c:v>4.0760112632076906E-2</c:v>
                </c:pt>
                <c:pt idx="17">
                  <c:v>4.7307247755510318E-2</c:v>
                </c:pt>
                <c:pt idx="18">
                  <c:v>6.6683901275273794E-2</c:v>
                </c:pt>
                <c:pt idx="19">
                  <c:v>4.0231818048282353E-2</c:v>
                </c:pt>
                <c:pt idx="20">
                  <c:v>2.4663933464591281E-2</c:v>
                </c:pt>
                <c:pt idx="21">
                  <c:v>2.2051084644986618E-2</c:v>
                </c:pt>
                <c:pt idx="22">
                  <c:v>-5.6183331936989767E-3</c:v>
                </c:pt>
                <c:pt idx="23">
                  <c:v>9.7689474818871691E-3</c:v>
                </c:pt>
                <c:pt idx="24">
                  <c:v>2.6566054677426454E-2</c:v>
                </c:pt>
                <c:pt idx="25">
                  <c:v>9.1500118326797164E-3</c:v>
                </c:pt>
                <c:pt idx="26">
                  <c:v>1.2242667207708946E-2</c:v>
                </c:pt>
                <c:pt idx="27">
                  <c:v>4.478457225494159E-2</c:v>
                </c:pt>
                <c:pt idx="28">
                  <c:v>3.0232654899902123E-2</c:v>
                </c:pt>
                <c:pt idx="29">
                  <c:v>0</c:v>
                </c:pt>
                <c:pt idx="30">
                  <c:v>-1.1924869313395758E-2</c:v>
                </c:pt>
                <c:pt idx="31">
                  <c:v>-1.9495471272725995E-2</c:v>
                </c:pt>
                <c:pt idx="32">
                  <c:v>-4.7599505290692568E-2</c:v>
                </c:pt>
                <c:pt idx="33">
                  <c:v>-8.4958882709912698E-2</c:v>
                </c:pt>
                <c:pt idx="34">
                  <c:v>-4.6438140403147199E-2</c:v>
                </c:pt>
                <c:pt idx="35">
                  <c:v>-2.1247573216310878E-2</c:v>
                </c:pt>
                <c:pt idx="36">
                  <c:v>-1.7457197279998726E-2</c:v>
                </c:pt>
                <c:pt idx="37">
                  <c:v>1.3044343403284753E-2</c:v>
                </c:pt>
                <c:pt idx="38">
                  <c:v>4.9708311950775741E-2</c:v>
                </c:pt>
                <c:pt idx="39">
                  <c:v>3.3216623201004269E-2</c:v>
                </c:pt>
                <c:pt idx="40">
                  <c:v>1.7966209420791523E-2</c:v>
                </c:pt>
                <c:pt idx="41">
                  <c:v>2.0096377158644207E-2</c:v>
                </c:pt>
                <c:pt idx="42">
                  <c:v>1.2245423844838399E-2</c:v>
                </c:pt>
                <c:pt idx="43">
                  <c:v>1.9244876491456564E-2</c:v>
                </c:pt>
                <c:pt idx="44">
                  <c:v>3.3682647190655501E-2</c:v>
                </c:pt>
                <c:pt idx="45">
                  <c:v>4.5949188284475362E-2</c:v>
                </c:pt>
                <c:pt idx="46">
                  <c:v>3.3975226531950176E-2</c:v>
                </c:pt>
                <c:pt idx="47">
                  <c:v>5.7262301951066519E-2</c:v>
                </c:pt>
                <c:pt idx="48">
                  <c:v>4.0022277701749154E-2</c:v>
                </c:pt>
                <c:pt idx="49">
                  <c:v>-7.9908845620165092E-2</c:v>
                </c:pt>
              </c:numCache>
            </c:numRef>
          </c:val>
          <c:smooth val="0"/>
          <c:extLst>
            <c:ext xmlns:c16="http://schemas.microsoft.com/office/drawing/2014/chart" uri="{C3380CC4-5D6E-409C-BE32-E72D297353CC}">
              <c16:uniqueId val="{00000000-0420-4719-93B5-8FD90A17811C}"/>
            </c:ext>
          </c:extLst>
        </c:ser>
        <c:dLbls>
          <c:showLegendKey val="0"/>
          <c:showVal val="0"/>
          <c:showCatName val="0"/>
          <c:showSerName val="0"/>
          <c:showPercent val="0"/>
          <c:showBubbleSize val="0"/>
        </c:dLbls>
        <c:smooth val="0"/>
        <c:axId val="456519784"/>
        <c:axId val="456626848"/>
      </c:lineChart>
      <c:catAx>
        <c:axId val="456519784"/>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26848"/>
        <c:crosses val="autoZero"/>
        <c:auto val="1"/>
        <c:lblAlgn val="ctr"/>
        <c:lblOffset val="100"/>
        <c:noMultiLvlLbl val="0"/>
      </c:catAx>
      <c:valAx>
        <c:axId val="456626848"/>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6519784"/>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1" l="0.70000000000000062" r="0.70000000000000062" t="0.7500000000000121"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2683823529411764"/>
          <c:y val="5.2083333333334134E-2"/>
          <c:w val="0.84375000000000988"/>
          <c:h val="0.7673611111111116"/>
        </c:manualLayout>
      </c:layout>
      <c:lineChart>
        <c:grouping val="standard"/>
        <c:varyColors val="0"/>
        <c:ser>
          <c:idx val="0"/>
          <c:order val="0"/>
          <c:tx>
            <c:strRef>
              <c:f>Potash!$T$6</c:f>
              <c:strCache>
                <c:ptCount val="1"/>
                <c:pt idx="0">
                  <c:v>World production change (3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Potash!$T$67:$T$116</c:f>
              <c:numCache>
                <c:formatCode>0.0%</c:formatCode>
                <c:ptCount val="50"/>
                <c:pt idx="0">
                  <c:v>4.755482438168035E-2</c:v>
                </c:pt>
                <c:pt idx="1">
                  <c:v>6.7592332950239253E-2</c:v>
                </c:pt>
                <c:pt idx="2">
                  <c:v>4.7351232649292196E-2</c:v>
                </c:pt>
                <c:pt idx="3">
                  <c:v>7.6028362432724483E-2</c:v>
                </c:pt>
                <c:pt idx="4">
                  <c:v>8.2003404266707047E-2</c:v>
                </c:pt>
                <c:pt idx="5">
                  <c:v>0.11814509710405963</c:v>
                </c:pt>
                <c:pt idx="6">
                  <c:v>8.9159467099697354E-2</c:v>
                </c:pt>
                <c:pt idx="7">
                  <c:v>8.4754632936256291E-2</c:v>
                </c:pt>
                <c:pt idx="8">
                  <c:v>5.7462111719003284E-2</c:v>
                </c:pt>
                <c:pt idx="9">
                  <c:v>6.0226847710841191E-2</c:v>
                </c:pt>
                <c:pt idx="10">
                  <c:v>5.0486749013451071E-2</c:v>
                </c:pt>
                <c:pt idx="11">
                  <c:v>7.0975051379602361E-2</c:v>
                </c:pt>
                <c:pt idx="12">
                  <c:v>4.7514996428468015E-2</c:v>
                </c:pt>
                <c:pt idx="13">
                  <c:v>1.2659571768745437E-2</c:v>
                </c:pt>
                <c:pt idx="14">
                  <c:v>1.9709486512899943E-2</c:v>
                </c:pt>
                <c:pt idx="15">
                  <c:v>7.2891124327783441E-2</c:v>
                </c:pt>
                <c:pt idx="16">
                  <c:v>8.7380373002892142E-2</c:v>
                </c:pt>
                <c:pt idx="17">
                  <c:v>6.0977144587287979E-2</c:v>
                </c:pt>
                <c:pt idx="18">
                  <c:v>1.8547259713887154E-2</c:v>
                </c:pt>
                <c:pt idx="19">
                  <c:v>1.8846950505089222E-2</c:v>
                </c:pt>
                <c:pt idx="20">
                  <c:v>3.4509669068251148E-2</c:v>
                </c:pt>
                <c:pt idx="21">
                  <c:v>1.2611669234531719E-2</c:v>
                </c:pt>
                <c:pt idx="22">
                  <c:v>-1.5812933188709466E-2</c:v>
                </c:pt>
                <c:pt idx="23">
                  <c:v>-6.0097605207004579E-3</c:v>
                </c:pt>
                <c:pt idx="24">
                  <c:v>2.6359350294381967E-2</c:v>
                </c:pt>
                <c:pt idx="25">
                  <c:v>6.0243427744743006E-2</c:v>
                </c:pt>
                <c:pt idx="26">
                  <c:v>1.6749517495398214E-2</c:v>
                </c:pt>
                <c:pt idx="27">
                  <c:v>1.3469631556057848E-2</c:v>
                </c:pt>
                <c:pt idx="28">
                  <c:v>2.8840589364026892E-2</c:v>
                </c:pt>
                <c:pt idx="29">
                  <c:v>5.7538665589431659E-3</c:v>
                </c:pt>
                <c:pt idx="30">
                  <c:v>-3.3924760041499913E-2</c:v>
                </c:pt>
                <c:pt idx="31">
                  <c:v>-6.3722768150229814E-2</c:v>
                </c:pt>
                <c:pt idx="32">
                  <c:v>-6.5648916540796409E-2</c:v>
                </c:pt>
                <c:pt idx="33">
                  <c:v>-9.4755646573771113E-2</c:v>
                </c:pt>
                <c:pt idx="34">
                  <c:v>-3.9883741197771161E-2</c:v>
                </c:pt>
                <c:pt idx="35">
                  <c:v>1.1035373682780181E-2</c:v>
                </c:pt>
                <c:pt idx="36">
                  <c:v>5.4198946422640004E-2</c:v>
                </c:pt>
                <c:pt idx="37">
                  <c:v>3.3497428041154853E-2</c:v>
                </c:pt>
                <c:pt idx="38">
                  <c:v>1.724476819110099E-2</c:v>
                </c:pt>
                <c:pt idx="39">
                  <c:v>4.4055697487814793E-2</c:v>
                </c:pt>
                <c:pt idx="40">
                  <c:v>1.9235467531193207E-2</c:v>
                </c:pt>
                <c:pt idx="41">
                  <c:v>5.1021291341022401E-3</c:v>
                </c:pt>
                <c:pt idx="42">
                  <c:v>-1.226995097293293E-3</c:v>
                </c:pt>
                <c:pt idx="43">
                  <c:v>1.93752611781981E-2</c:v>
                </c:pt>
                <c:pt idx="44">
                  <c:v>6.7334059925891809E-2</c:v>
                </c:pt>
                <c:pt idx="45">
                  <c:v>7.642176323094918E-2</c:v>
                </c:pt>
                <c:pt idx="46">
                  <c:v>2.9428498400178693E-2</c:v>
                </c:pt>
                <c:pt idx="47">
                  <c:v>3.7033210639475067E-2</c:v>
                </c:pt>
                <c:pt idx="48">
                  <c:v>9.7662429379399285E-3</c:v>
                </c:pt>
                <c:pt idx="49">
                  <c:v>-0.12131157540099313</c:v>
                </c:pt>
              </c:numCache>
            </c:numRef>
          </c:val>
          <c:smooth val="0"/>
          <c:extLst>
            <c:ext xmlns:c16="http://schemas.microsoft.com/office/drawing/2014/chart" uri="{C3380CC4-5D6E-409C-BE32-E72D297353CC}">
              <c16:uniqueId val="{00000000-5C39-4424-912D-E24173F041CF}"/>
            </c:ext>
          </c:extLst>
        </c:ser>
        <c:dLbls>
          <c:showLegendKey val="0"/>
          <c:showVal val="0"/>
          <c:showCatName val="0"/>
          <c:showSerName val="0"/>
          <c:showPercent val="0"/>
          <c:showBubbleSize val="0"/>
        </c:dLbls>
        <c:smooth val="0"/>
        <c:axId val="456627632"/>
        <c:axId val="456628024"/>
      </c:lineChart>
      <c:catAx>
        <c:axId val="456627632"/>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28024"/>
        <c:crosses val="autoZero"/>
        <c:auto val="1"/>
        <c:lblAlgn val="ctr"/>
        <c:lblOffset val="100"/>
        <c:noMultiLvlLbl val="0"/>
      </c:catAx>
      <c:valAx>
        <c:axId val="456628024"/>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6627632"/>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32" l="0.70000000000000062" r="0.70000000000000062" t="0.75000000000001232"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896174863387998E-2"/>
          <c:y val="9.3750000000001568E-2"/>
          <c:w val="0.87795992714025561"/>
          <c:h val="0.67708333333334625"/>
        </c:manualLayout>
      </c:layout>
      <c:areaChart>
        <c:grouping val="standard"/>
        <c:varyColors val="0"/>
        <c:ser>
          <c:idx val="2"/>
          <c:order val="2"/>
          <c:tx>
            <c:strRef>
              <c:f>Potash!$V$122</c:f>
              <c:strCache>
                <c:ptCount val="1"/>
                <c:pt idx="0">
                  <c:v>Available Capacity</c:v>
                </c:pt>
              </c:strCache>
            </c:strRef>
          </c:tx>
          <c:spPr>
            <a:solidFill>
              <a:srgbClr val="FF0000"/>
            </a:solidFill>
          </c:spP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Potash!$V$123:$V$131</c:f>
              <c:numCache>
                <c:formatCode>0.0</c:formatCode>
                <c:ptCount val="9"/>
                <c:pt idx="0">
                  <c:v>56</c:v>
                </c:pt>
                <c:pt idx="1">
                  <c:v>56</c:v>
                </c:pt>
                <c:pt idx="2">
                  <c:v>56</c:v>
                </c:pt>
                <c:pt idx="3">
                  <c:v>57</c:v>
                </c:pt>
                <c:pt idx="4">
                  <c:v>59</c:v>
                </c:pt>
                <c:pt idx="5">
                  <c:v>60</c:v>
                </c:pt>
                <c:pt idx="6">
                  <c:v>62</c:v>
                </c:pt>
                <c:pt idx="7">
                  <c:v>62.5</c:v>
                </c:pt>
                <c:pt idx="8">
                  <c:v>64</c:v>
                </c:pt>
              </c:numCache>
            </c:numRef>
          </c:val>
          <c:extLst>
            <c:ext xmlns:c16="http://schemas.microsoft.com/office/drawing/2014/chart" uri="{C3380CC4-5D6E-409C-BE32-E72D297353CC}">
              <c16:uniqueId val="{00000000-1CC7-440E-8F34-51A5E8C55DE1}"/>
            </c:ext>
          </c:extLst>
        </c:ser>
        <c:dLbls>
          <c:showLegendKey val="0"/>
          <c:showVal val="0"/>
          <c:showCatName val="0"/>
          <c:showSerName val="0"/>
          <c:showPercent val="0"/>
          <c:showBubbleSize val="0"/>
        </c:dLbls>
        <c:axId val="456628808"/>
        <c:axId val="456629200"/>
      </c:areaChart>
      <c:barChart>
        <c:barDir val="col"/>
        <c:grouping val="clustered"/>
        <c:varyColors val="0"/>
        <c:ser>
          <c:idx val="0"/>
          <c:order val="0"/>
          <c:tx>
            <c:strRef>
              <c:f>Potash!$T$122</c:f>
              <c:strCache>
                <c:ptCount val="1"/>
                <c:pt idx="0">
                  <c:v>World production</c:v>
                </c:pt>
              </c:strCache>
            </c:strRef>
          </c:tx>
          <c:spPr>
            <a:solidFill>
              <a:schemeClr val="tx1">
                <a:lumMod val="50000"/>
                <a:lumOff val="50000"/>
              </a:schemeClr>
            </a:solidFill>
          </c:spPr>
          <c:invertIfNegative val="0"/>
          <c:cat>
            <c:numRef>
              <c:f>Potash!$A$108:$A$116</c:f>
              <c:numCache>
                <c:formatCode>0</c:formatCode>
                <c:ptCount val="9"/>
                <c:pt idx="0">
                  <c:v>2001</c:v>
                </c:pt>
                <c:pt idx="1">
                  <c:v>2002</c:v>
                </c:pt>
                <c:pt idx="2" formatCode="General">
                  <c:v>2003</c:v>
                </c:pt>
                <c:pt idx="3">
                  <c:v>2004</c:v>
                </c:pt>
                <c:pt idx="4" formatCode="General">
                  <c:v>2005</c:v>
                </c:pt>
                <c:pt idx="5">
                  <c:v>2006</c:v>
                </c:pt>
                <c:pt idx="6">
                  <c:v>2007</c:v>
                </c:pt>
                <c:pt idx="7">
                  <c:v>2008</c:v>
                </c:pt>
                <c:pt idx="8">
                  <c:v>2009</c:v>
                </c:pt>
              </c:numCache>
            </c:numRef>
          </c:cat>
          <c:val>
            <c:numRef>
              <c:f>Potash!$T$123:$T$131</c:f>
              <c:numCache>
                <c:formatCode>0.0</c:formatCode>
                <c:ptCount val="9"/>
                <c:pt idx="0">
                  <c:v>43.278688524590166</c:v>
                </c:pt>
                <c:pt idx="1">
                  <c:v>44.42622950819672</c:v>
                </c:pt>
                <c:pt idx="2">
                  <c:v>46.885245901639344</c:v>
                </c:pt>
                <c:pt idx="3">
                  <c:v>52.622950819672127</c:v>
                </c:pt>
                <c:pt idx="4">
                  <c:v>55.409836065573771</c:v>
                </c:pt>
                <c:pt idx="5">
                  <c:v>51.147540983606561</c:v>
                </c:pt>
                <c:pt idx="6">
                  <c:v>58.688524590163937</c:v>
                </c:pt>
                <c:pt idx="7">
                  <c:v>57.049180327868854</c:v>
                </c:pt>
                <c:pt idx="8">
                  <c:v>34.700000000000003</c:v>
                </c:pt>
              </c:numCache>
            </c:numRef>
          </c:val>
          <c:extLst>
            <c:ext xmlns:c16="http://schemas.microsoft.com/office/drawing/2014/chart" uri="{C3380CC4-5D6E-409C-BE32-E72D297353CC}">
              <c16:uniqueId val="{00000001-1CC7-440E-8F34-51A5E8C55DE1}"/>
            </c:ext>
          </c:extLst>
        </c:ser>
        <c:dLbls>
          <c:showLegendKey val="0"/>
          <c:showVal val="0"/>
          <c:showCatName val="0"/>
          <c:showSerName val="0"/>
          <c:showPercent val="0"/>
          <c:showBubbleSize val="0"/>
        </c:dLbls>
        <c:gapWidth val="150"/>
        <c:axId val="456628808"/>
        <c:axId val="456629200"/>
      </c:barChart>
      <c:lineChart>
        <c:grouping val="standard"/>
        <c:varyColors val="0"/>
        <c:ser>
          <c:idx val="1"/>
          <c:order val="1"/>
          <c:tx>
            <c:strRef>
              <c:f>Potash!$U$122</c:f>
              <c:strCache>
                <c:ptCount val="1"/>
                <c:pt idx="0">
                  <c:v>World Sales</c:v>
                </c:pt>
              </c:strCache>
            </c:strRef>
          </c:tx>
          <c:spPr>
            <a:ln w="28575">
              <a:solidFill>
                <a:schemeClr val="tx1"/>
              </a:solidFill>
            </a:ln>
          </c:spPr>
          <c:marker>
            <c:symbol val="none"/>
          </c:marke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Potash!$U$123:$U$131</c:f>
              <c:numCache>
                <c:formatCode>0.0</c:formatCode>
                <c:ptCount val="9"/>
                <c:pt idx="0">
                  <c:v>43.9</c:v>
                </c:pt>
                <c:pt idx="1">
                  <c:v>45.5</c:v>
                </c:pt>
                <c:pt idx="2">
                  <c:v>49.1</c:v>
                </c:pt>
                <c:pt idx="3">
                  <c:v>54.2</c:v>
                </c:pt>
                <c:pt idx="4">
                  <c:v>54.4</c:v>
                </c:pt>
                <c:pt idx="5">
                  <c:v>50.7</c:v>
                </c:pt>
                <c:pt idx="6">
                  <c:v>58.7</c:v>
                </c:pt>
                <c:pt idx="7">
                  <c:v>54.5</c:v>
                </c:pt>
                <c:pt idx="8">
                  <c:v>32</c:v>
                </c:pt>
              </c:numCache>
            </c:numRef>
          </c:val>
          <c:smooth val="0"/>
          <c:extLst>
            <c:ext xmlns:c16="http://schemas.microsoft.com/office/drawing/2014/chart" uri="{C3380CC4-5D6E-409C-BE32-E72D297353CC}">
              <c16:uniqueId val="{00000002-1CC7-440E-8F34-51A5E8C55DE1}"/>
            </c:ext>
          </c:extLst>
        </c:ser>
        <c:dLbls>
          <c:showLegendKey val="0"/>
          <c:showVal val="0"/>
          <c:showCatName val="0"/>
          <c:showSerName val="0"/>
          <c:showPercent val="0"/>
          <c:showBubbleSize val="0"/>
        </c:dLbls>
        <c:marker val="1"/>
        <c:smooth val="0"/>
        <c:axId val="456628808"/>
        <c:axId val="456629200"/>
      </c:lineChart>
      <c:catAx>
        <c:axId val="456628808"/>
        <c:scaling>
          <c:orientation val="minMax"/>
        </c:scaling>
        <c:delete val="0"/>
        <c:axPos val="b"/>
        <c:numFmt formatCode="General" sourceLinked="1"/>
        <c:majorTickMark val="out"/>
        <c:minorTickMark val="none"/>
        <c:tickLblPos val="nextTo"/>
        <c:spPr>
          <a:ln>
            <a:noFill/>
          </a:ln>
        </c:spPr>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9200"/>
        <c:crosses val="autoZero"/>
        <c:auto val="1"/>
        <c:lblAlgn val="ctr"/>
        <c:lblOffset val="100"/>
        <c:noMultiLvlLbl val="0"/>
      </c:catAx>
      <c:valAx>
        <c:axId val="456629200"/>
        <c:scaling>
          <c:orientation val="minMax"/>
        </c:scaling>
        <c:delete val="0"/>
        <c:axPos val="l"/>
        <c:numFmt formatCode="0.0" sourceLinked="1"/>
        <c:majorTickMark val="out"/>
        <c:minorTickMark val="none"/>
        <c:tickLblPos val="nextTo"/>
        <c:spPr>
          <a:ln>
            <a:noFill/>
          </a:ln>
        </c:spPr>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880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1" l="0.70000000000000062" r="0.70000000000000062" t="0.7500000000000101" header="0.30000000000000032" footer="0.30000000000000032"/>
    <c:pageSetup/>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116843702579725E-2"/>
          <c:y val="4.8611111111111112E-2"/>
          <c:w val="0.86798179059181713"/>
          <c:h val="0.63541666666666652"/>
        </c:manualLayout>
      </c:layout>
      <c:lineChart>
        <c:grouping val="standard"/>
        <c:varyColors val="0"/>
        <c:ser>
          <c:idx val="0"/>
          <c:order val="0"/>
          <c:tx>
            <c:strRef>
              <c:f>Potash!$I$6</c:f>
              <c:strCache>
                <c:ptCount val="1"/>
                <c:pt idx="0">
                  <c:v>real potash value</c:v>
                </c:pt>
              </c:strCache>
            </c:strRef>
          </c:tx>
          <c:spPr>
            <a:ln w="38100">
              <a:solidFill>
                <a:schemeClr val="tx1"/>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Potash!$I$67:$I$117</c:f>
              <c:numCache>
                <c:formatCode>#,##0</c:formatCode>
                <c:ptCount val="51"/>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pt idx="49">
                  <c:v>500.88638164949413</c:v>
                </c:pt>
                <c:pt idx="50">
                  <c:v>360.00000000000006</c:v>
                </c:pt>
              </c:numCache>
            </c:numRef>
          </c:val>
          <c:smooth val="0"/>
          <c:extLst>
            <c:ext xmlns:c16="http://schemas.microsoft.com/office/drawing/2014/chart" uri="{C3380CC4-5D6E-409C-BE32-E72D297353CC}">
              <c16:uniqueId val="{00000000-558B-41D4-BA9E-0F582ABF2932}"/>
            </c:ext>
          </c:extLst>
        </c:ser>
        <c:ser>
          <c:idx val="1"/>
          <c:order val="1"/>
          <c:tx>
            <c:strRef>
              <c:f>Potash!$L$6</c:f>
              <c:strCache>
                <c:ptCount val="1"/>
                <c:pt idx="0">
                  <c:v>Max = 390</c:v>
                </c:pt>
              </c:strCache>
            </c:strRef>
          </c:tx>
          <c:spPr>
            <a:ln w="19050">
              <a:solidFill>
                <a:srgbClr val="00B05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Potash!$L$67:$L$117</c:f>
              <c:numCache>
                <c:formatCode>#,##0</c:formatCode>
                <c:ptCount val="51"/>
                <c:pt idx="0">
                  <c:v>389.96413793103443</c:v>
                </c:pt>
                <c:pt idx="1">
                  <c:v>389.96413793103443</c:v>
                </c:pt>
                <c:pt idx="2">
                  <c:v>389.96413793103443</c:v>
                </c:pt>
                <c:pt idx="3">
                  <c:v>389.96413793103443</c:v>
                </c:pt>
                <c:pt idx="4">
                  <c:v>389.96413793103443</c:v>
                </c:pt>
                <c:pt idx="5">
                  <c:v>389.96413793103443</c:v>
                </c:pt>
                <c:pt idx="6">
                  <c:v>389.96413793103443</c:v>
                </c:pt>
                <c:pt idx="7">
                  <c:v>389.96413793103443</c:v>
                </c:pt>
                <c:pt idx="8">
                  <c:v>389.96413793103443</c:v>
                </c:pt>
                <c:pt idx="9">
                  <c:v>389.96413793103443</c:v>
                </c:pt>
                <c:pt idx="10">
                  <c:v>389.96413793103443</c:v>
                </c:pt>
                <c:pt idx="11">
                  <c:v>389.96413793103443</c:v>
                </c:pt>
                <c:pt idx="12">
                  <c:v>389.96413793103443</c:v>
                </c:pt>
                <c:pt idx="13">
                  <c:v>389.96413793103443</c:v>
                </c:pt>
                <c:pt idx="14">
                  <c:v>389.96413793103443</c:v>
                </c:pt>
                <c:pt idx="15">
                  <c:v>389.96413793103443</c:v>
                </c:pt>
                <c:pt idx="16">
                  <c:v>389.96413793103443</c:v>
                </c:pt>
                <c:pt idx="17">
                  <c:v>389.96413793103443</c:v>
                </c:pt>
                <c:pt idx="18">
                  <c:v>389.96413793103443</c:v>
                </c:pt>
                <c:pt idx="19">
                  <c:v>389.96413793103443</c:v>
                </c:pt>
                <c:pt idx="20">
                  <c:v>389.96413793103443</c:v>
                </c:pt>
                <c:pt idx="21">
                  <c:v>389.96413793103443</c:v>
                </c:pt>
                <c:pt idx="22">
                  <c:v>389.96413793103443</c:v>
                </c:pt>
                <c:pt idx="23">
                  <c:v>389.96413793103443</c:v>
                </c:pt>
                <c:pt idx="24">
                  <c:v>389.96413793103443</c:v>
                </c:pt>
                <c:pt idx="25">
                  <c:v>389.96413793103443</c:v>
                </c:pt>
                <c:pt idx="26">
                  <c:v>389.96413793103443</c:v>
                </c:pt>
                <c:pt idx="27">
                  <c:v>389.96413793103443</c:v>
                </c:pt>
                <c:pt idx="28">
                  <c:v>389.96413793103443</c:v>
                </c:pt>
                <c:pt idx="29">
                  <c:v>389.96413793103443</c:v>
                </c:pt>
                <c:pt idx="30">
                  <c:v>389.96413793103443</c:v>
                </c:pt>
                <c:pt idx="31">
                  <c:v>389.96413793103443</c:v>
                </c:pt>
                <c:pt idx="32">
                  <c:v>389.96413793103443</c:v>
                </c:pt>
                <c:pt idx="33">
                  <c:v>389.96413793103443</c:v>
                </c:pt>
                <c:pt idx="34">
                  <c:v>389.96413793103443</c:v>
                </c:pt>
                <c:pt idx="35">
                  <c:v>389.96413793103443</c:v>
                </c:pt>
                <c:pt idx="36">
                  <c:v>389.96413793103443</c:v>
                </c:pt>
                <c:pt idx="37">
                  <c:v>389.96413793103443</c:v>
                </c:pt>
                <c:pt idx="38">
                  <c:v>389.96413793103443</c:v>
                </c:pt>
                <c:pt idx="39">
                  <c:v>389.96413793103443</c:v>
                </c:pt>
                <c:pt idx="40">
                  <c:v>389.96413793103443</c:v>
                </c:pt>
                <c:pt idx="41">
                  <c:v>389.96413793103443</c:v>
                </c:pt>
                <c:pt idx="42">
                  <c:v>389.96413793103443</c:v>
                </c:pt>
                <c:pt idx="43">
                  <c:v>389.96413793103443</c:v>
                </c:pt>
                <c:pt idx="44">
                  <c:v>389.96413793103443</c:v>
                </c:pt>
                <c:pt idx="45">
                  <c:v>389.96413793103443</c:v>
                </c:pt>
                <c:pt idx="46">
                  <c:v>389.96413793103443</c:v>
                </c:pt>
                <c:pt idx="47">
                  <c:v>389.96413793103443</c:v>
                </c:pt>
                <c:pt idx="48">
                  <c:v>389.96413793103443</c:v>
                </c:pt>
                <c:pt idx="49">
                  <c:v>389.96413793103443</c:v>
                </c:pt>
                <c:pt idx="50">
                  <c:v>389.96413793103443</c:v>
                </c:pt>
              </c:numCache>
            </c:numRef>
          </c:val>
          <c:smooth val="0"/>
          <c:extLst>
            <c:ext xmlns:c16="http://schemas.microsoft.com/office/drawing/2014/chart" uri="{C3380CC4-5D6E-409C-BE32-E72D297353CC}">
              <c16:uniqueId val="{00000001-558B-41D4-BA9E-0F582ABF2932}"/>
            </c:ext>
          </c:extLst>
        </c:ser>
        <c:ser>
          <c:idx val="2"/>
          <c:order val="2"/>
          <c:tx>
            <c:strRef>
              <c:f>Potash!$M$6</c:f>
              <c:strCache>
                <c:ptCount val="1"/>
                <c:pt idx="0">
                  <c:v>Min = 132</c:v>
                </c:pt>
              </c:strCache>
            </c:strRef>
          </c:tx>
          <c:spPr>
            <a:ln w="1905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Potash!$M$67:$M$117</c:f>
              <c:numCache>
                <c:formatCode>#,##0</c:formatCode>
                <c:ptCount val="51"/>
                <c:pt idx="0">
                  <c:v>131.6609796367639</c:v>
                </c:pt>
                <c:pt idx="1">
                  <c:v>131.6609796367639</c:v>
                </c:pt>
                <c:pt idx="2">
                  <c:v>131.6609796367639</c:v>
                </c:pt>
                <c:pt idx="3">
                  <c:v>131.6609796367639</c:v>
                </c:pt>
                <c:pt idx="4">
                  <c:v>131.6609796367639</c:v>
                </c:pt>
                <c:pt idx="5">
                  <c:v>131.6609796367639</c:v>
                </c:pt>
                <c:pt idx="6">
                  <c:v>131.6609796367639</c:v>
                </c:pt>
                <c:pt idx="7">
                  <c:v>131.6609796367639</c:v>
                </c:pt>
                <c:pt idx="8">
                  <c:v>131.6609796367639</c:v>
                </c:pt>
                <c:pt idx="9">
                  <c:v>131.6609796367639</c:v>
                </c:pt>
                <c:pt idx="10">
                  <c:v>131.6609796367639</c:v>
                </c:pt>
                <c:pt idx="11">
                  <c:v>131.6609796367639</c:v>
                </c:pt>
                <c:pt idx="12">
                  <c:v>131.6609796367639</c:v>
                </c:pt>
                <c:pt idx="13">
                  <c:v>131.6609796367639</c:v>
                </c:pt>
                <c:pt idx="14">
                  <c:v>131.6609796367639</c:v>
                </c:pt>
                <c:pt idx="15">
                  <c:v>131.6609796367639</c:v>
                </c:pt>
                <c:pt idx="16">
                  <c:v>131.6609796367639</c:v>
                </c:pt>
                <c:pt idx="17">
                  <c:v>131.6609796367639</c:v>
                </c:pt>
                <c:pt idx="18">
                  <c:v>131.6609796367639</c:v>
                </c:pt>
                <c:pt idx="19">
                  <c:v>131.6609796367639</c:v>
                </c:pt>
                <c:pt idx="20">
                  <c:v>131.6609796367639</c:v>
                </c:pt>
                <c:pt idx="21">
                  <c:v>131.6609796367639</c:v>
                </c:pt>
                <c:pt idx="22">
                  <c:v>131.6609796367639</c:v>
                </c:pt>
                <c:pt idx="23">
                  <c:v>131.6609796367639</c:v>
                </c:pt>
                <c:pt idx="24">
                  <c:v>131.6609796367639</c:v>
                </c:pt>
                <c:pt idx="25">
                  <c:v>131.6609796367639</c:v>
                </c:pt>
                <c:pt idx="26">
                  <c:v>131.6609796367639</c:v>
                </c:pt>
                <c:pt idx="27">
                  <c:v>131.6609796367639</c:v>
                </c:pt>
                <c:pt idx="28">
                  <c:v>131.6609796367639</c:v>
                </c:pt>
                <c:pt idx="29">
                  <c:v>131.6609796367639</c:v>
                </c:pt>
                <c:pt idx="30">
                  <c:v>131.6609796367639</c:v>
                </c:pt>
                <c:pt idx="31">
                  <c:v>131.6609796367639</c:v>
                </c:pt>
                <c:pt idx="32">
                  <c:v>131.6609796367639</c:v>
                </c:pt>
                <c:pt idx="33">
                  <c:v>131.6609796367639</c:v>
                </c:pt>
                <c:pt idx="34">
                  <c:v>131.6609796367639</c:v>
                </c:pt>
                <c:pt idx="35">
                  <c:v>131.6609796367639</c:v>
                </c:pt>
                <c:pt idx="36">
                  <c:v>131.6609796367639</c:v>
                </c:pt>
                <c:pt idx="37">
                  <c:v>131.6609796367639</c:v>
                </c:pt>
                <c:pt idx="38">
                  <c:v>131.6609796367639</c:v>
                </c:pt>
                <c:pt idx="39">
                  <c:v>131.6609796367639</c:v>
                </c:pt>
                <c:pt idx="40">
                  <c:v>131.6609796367639</c:v>
                </c:pt>
                <c:pt idx="41">
                  <c:v>131.6609796367639</c:v>
                </c:pt>
                <c:pt idx="42">
                  <c:v>131.6609796367639</c:v>
                </c:pt>
                <c:pt idx="43">
                  <c:v>131.6609796367639</c:v>
                </c:pt>
                <c:pt idx="44">
                  <c:v>131.6609796367639</c:v>
                </c:pt>
                <c:pt idx="45">
                  <c:v>131.6609796367639</c:v>
                </c:pt>
                <c:pt idx="46">
                  <c:v>131.6609796367639</c:v>
                </c:pt>
                <c:pt idx="47">
                  <c:v>131.6609796367639</c:v>
                </c:pt>
                <c:pt idx="48">
                  <c:v>131.6609796367639</c:v>
                </c:pt>
                <c:pt idx="49">
                  <c:v>131.6609796367639</c:v>
                </c:pt>
                <c:pt idx="50">
                  <c:v>131.6609796367639</c:v>
                </c:pt>
              </c:numCache>
            </c:numRef>
          </c:val>
          <c:smooth val="0"/>
          <c:extLst>
            <c:ext xmlns:c16="http://schemas.microsoft.com/office/drawing/2014/chart" uri="{C3380CC4-5D6E-409C-BE32-E72D297353CC}">
              <c16:uniqueId val="{00000002-558B-41D4-BA9E-0F582ABF2932}"/>
            </c:ext>
          </c:extLst>
        </c:ser>
        <c:dLbls>
          <c:showLegendKey val="0"/>
          <c:showVal val="0"/>
          <c:showCatName val="0"/>
          <c:showSerName val="0"/>
          <c:showPercent val="0"/>
          <c:showBubbleSize val="0"/>
        </c:dLbls>
        <c:smooth val="0"/>
        <c:axId val="456629984"/>
        <c:axId val="456630376"/>
      </c:lineChart>
      <c:catAx>
        <c:axId val="456629984"/>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30376"/>
        <c:crosses val="autoZero"/>
        <c:auto val="1"/>
        <c:lblAlgn val="ctr"/>
        <c:lblOffset val="100"/>
        <c:noMultiLvlLbl val="0"/>
      </c:catAx>
      <c:valAx>
        <c:axId val="456630376"/>
        <c:scaling>
          <c:orientation val="minMax"/>
        </c:scaling>
        <c:delete val="0"/>
        <c:axPos val="l"/>
        <c:numFmt formatCode="#,##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9984"/>
        <c:crosses val="autoZero"/>
        <c:crossBetween val="between"/>
      </c:valAx>
    </c:plotArea>
    <c:legend>
      <c:legendPos val="b"/>
      <c:legendEntry>
        <c:idx val="1"/>
        <c:txPr>
          <a:bodyPr/>
          <a:lstStyle/>
          <a:p>
            <a:pPr>
              <a:defRPr sz="1200" b="1" i="0" u="none" strike="noStrike" baseline="0">
                <a:solidFill>
                  <a:srgbClr val="000000"/>
                </a:solidFill>
                <a:latin typeface="FbKolya Regular"/>
                <a:ea typeface="FbKolya Regular"/>
                <a:cs typeface="FbKolya Regular"/>
              </a:defRPr>
            </a:pPr>
            <a:endParaRPr lang="en-US"/>
          </a:p>
        </c:txPr>
      </c:legendEntry>
      <c:legendEntry>
        <c:idx val="2"/>
        <c:txPr>
          <a:bodyPr/>
          <a:lstStyle/>
          <a:p>
            <a:pPr>
              <a:defRPr sz="1200" b="1" i="0" u="none" strike="noStrike" baseline="0">
                <a:solidFill>
                  <a:srgbClr val="000000"/>
                </a:solidFill>
                <a:latin typeface="FbKolya Regular"/>
                <a:ea typeface="FbKolya Regular"/>
                <a:cs typeface="FbKolya Regular"/>
              </a:defRPr>
            </a:pPr>
            <a:endParaRPr lang="en-US"/>
          </a:p>
        </c:txPr>
      </c:legendEntry>
      <c:overlay val="0"/>
      <c:txPr>
        <a:bodyPr/>
        <a:lstStyle/>
        <a:p>
          <a:pPr>
            <a:defRPr sz="120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231560160855785E-2"/>
          <c:y val="4.8611276184816525E-2"/>
          <c:w val="0.89681335356600911"/>
          <c:h val="0.63541666666666652"/>
        </c:manualLayout>
      </c:layout>
      <c:lineChart>
        <c:grouping val="standard"/>
        <c:varyColors val="0"/>
        <c:ser>
          <c:idx val="0"/>
          <c:order val="0"/>
          <c:tx>
            <c:strRef>
              <c:f>Potash!$G$6</c:f>
              <c:strCache>
                <c:ptCount val="1"/>
                <c:pt idx="0">
                  <c:v>potash value ($/t)</c:v>
                </c:pt>
              </c:strCache>
            </c:strRef>
          </c:tx>
          <c:spPr>
            <a:ln w="3810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Potash!$G$67:$G$117</c:f>
              <c:numCache>
                <c:formatCode>#,##0.00</c:formatCode>
                <c:ptCount val="51"/>
                <c:pt idx="0">
                  <c:v>36.700000000000003</c:v>
                </c:pt>
                <c:pt idx="1">
                  <c:v>38.9</c:v>
                </c:pt>
                <c:pt idx="2">
                  <c:v>41.7</c:v>
                </c:pt>
                <c:pt idx="3">
                  <c:v>41.9</c:v>
                </c:pt>
                <c:pt idx="4">
                  <c:v>41.3</c:v>
                </c:pt>
                <c:pt idx="5">
                  <c:v>42.7</c:v>
                </c:pt>
                <c:pt idx="6">
                  <c:v>41.3</c:v>
                </c:pt>
                <c:pt idx="7">
                  <c:v>34.1</c:v>
                </c:pt>
                <c:pt idx="8">
                  <c:v>28</c:v>
                </c:pt>
                <c:pt idx="9">
                  <c:v>23.7</c:v>
                </c:pt>
                <c:pt idx="10">
                  <c:v>35.200000000000003</c:v>
                </c:pt>
                <c:pt idx="11">
                  <c:v>39.6</c:v>
                </c:pt>
                <c:pt idx="12">
                  <c:v>39.4</c:v>
                </c:pt>
                <c:pt idx="13">
                  <c:v>39.9</c:v>
                </c:pt>
                <c:pt idx="14">
                  <c:v>57.1</c:v>
                </c:pt>
                <c:pt idx="15">
                  <c:v>74.599999999999994</c:v>
                </c:pt>
                <c:pt idx="16">
                  <c:v>79.8</c:v>
                </c:pt>
                <c:pt idx="17">
                  <c:v>79</c:v>
                </c:pt>
                <c:pt idx="18">
                  <c:v>86.5</c:v>
                </c:pt>
                <c:pt idx="19" formatCode="#,##0">
                  <c:v>104</c:v>
                </c:pt>
                <c:pt idx="20" formatCode="#,##0">
                  <c:v>129</c:v>
                </c:pt>
                <c:pt idx="21" formatCode="#,##0">
                  <c:v>156</c:v>
                </c:pt>
                <c:pt idx="22" formatCode="#,##0">
                  <c:v>146</c:v>
                </c:pt>
                <c:pt idx="23" formatCode="#,##0">
                  <c:v>135</c:v>
                </c:pt>
                <c:pt idx="24" formatCode="#,##0">
                  <c:v>135</c:v>
                </c:pt>
                <c:pt idx="25" formatCode="#,##0">
                  <c:v>127</c:v>
                </c:pt>
                <c:pt idx="26" formatCode="#,##0">
                  <c:v>110</c:v>
                </c:pt>
                <c:pt idx="27" formatCode="#,##0">
                  <c:v>124</c:v>
                </c:pt>
                <c:pt idx="28" formatCode="#,##0">
                  <c:v>164</c:v>
                </c:pt>
                <c:pt idx="29" formatCode="#,##0">
                  <c:v>172</c:v>
                </c:pt>
                <c:pt idx="30" formatCode="#,##0">
                  <c:v>132</c:v>
                </c:pt>
                <c:pt idx="31" formatCode="#,##0">
                  <c:v>163</c:v>
                </c:pt>
                <c:pt idx="32" formatCode="#,##0">
                  <c:v>171</c:v>
                </c:pt>
                <c:pt idx="33" formatCode="#,##0">
                  <c:v>159</c:v>
                </c:pt>
                <c:pt idx="34" formatCode="#,##0">
                  <c:v>159</c:v>
                </c:pt>
                <c:pt idx="35" formatCode="#,##0">
                  <c:v>152</c:v>
                </c:pt>
                <c:pt idx="36" formatCode="#,##0">
                  <c:v>146</c:v>
                </c:pt>
                <c:pt idx="37" formatCode="#,##0">
                  <c:v>145</c:v>
                </c:pt>
                <c:pt idx="38" formatCode="#,##0">
                  <c:v>174</c:v>
                </c:pt>
                <c:pt idx="39" formatCode="#,##0">
                  <c:v>162</c:v>
                </c:pt>
                <c:pt idx="40" formatCode="#,##0">
                  <c:v>155</c:v>
                </c:pt>
                <c:pt idx="41" formatCode="#,##0">
                  <c:v>151</c:v>
                </c:pt>
                <c:pt idx="42" formatCode="#,##0">
                  <c:v>110</c:v>
                </c:pt>
                <c:pt idx="43" formatCode="#,##0">
                  <c:v>110</c:v>
                </c:pt>
                <c:pt idx="44" formatCode="#,##0">
                  <c:v>125</c:v>
                </c:pt>
                <c:pt idx="45" formatCode="#,##0">
                  <c:v>165</c:v>
                </c:pt>
                <c:pt idx="46" formatCode="#,##0">
                  <c:v>170</c:v>
                </c:pt>
                <c:pt idx="47" formatCode="#,##0">
                  <c:v>185</c:v>
                </c:pt>
                <c:pt idx="48" formatCode="#,##0">
                  <c:v>640</c:v>
                </c:pt>
                <c:pt idx="49" formatCode="#,##0">
                  <c:v>494</c:v>
                </c:pt>
                <c:pt idx="50" formatCode="#,##0">
                  <c:v>360</c:v>
                </c:pt>
              </c:numCache>
            </c:numRef>
          </c:val>
          <c:smooth val="0"/>
          <c:extLst>
            <c:ext xmlns:c16="http://schemas.microsoft.com/office/drawing/2014/chart" uri="{C3380CC4-5D6E-409C-BE32-E72D297353CC}">
              <c16:uniqueId val="{00000000-E38E-40EE-899B-F66A0332AFA9}"/>
            </c:ext>
          </c:extLst>
        </c:ser>
        <c:dLbls>
          <c:showLegendKey val="0"/>
          <c:showVal val="0"/>
          <c:showCatName val="0"/>
          <c:showSerName val="0"/>
          <c:showPercent val="0"/>
          <c:showBubbleSize val="0"/>
        </c:dLbls>
        <c:smooth val="0"/>
        <c:axId val="457049160"/>
        <c:axId val="457049552"/>
      </c:lineChart>
      <c:catAx>
        <c:axId val="457049160"/>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7049552"/>
        <c:crosses val="autoZero"/>
        <c:auto val="1"/>
        <c:lblAlgn val="ctr"/>
        <c:lblOffset val="100"/>
        <c:noMultiLvlLbl val="0"/>
      </c:catAx>
      <c:valAx>
        <c:axId val="457049552"/>
        <c:scaling>
          <c:orientation val="minMax"/>
        </c:scaling>
        <c:delete val="0"/>
        <c:axPos val="l"/>
        <c:numFmt formatCode="#,##0" sourceLinked="0"/>
        <c:majorTickMark val="out"/>
        <c:minorTickMark val="none"/>
        <c:tickLblPos val="nextTo"/>
        <c:txPr>
          <a:bodyPr rot="0" vert="horz"/>
          <a:lstStyle/>
          <a:p>
            <a:pPr>
              <a:defRPr sz="1200" b="1" i="0" u="none" strike="noStrike" baseline="0">
                <a:solidFill>
                  <a:srgbClr val="000000"/>
                </a:solidFill>
                <a:latin typeface="FbKolya Regular" pitchFamily="18" charset="-79"/>
                <a:ea typeface="Arial"/>
                <a:cs typeface="FbKolya Regular" pitchFamily="18" charset="-79"/>
              </a:defRPr>
            </a:pPr>
            <a:endParaRPr lang="en-US"/>
          </a:p>
        </c:txPr>
        <c:crossAx val="457049160"/>
        <c:crosses val="autoZero"/>
        <c:crossBetween val="between"/>
      </c:valAx>
    </c:plotArea>
    <c:legend>
      <c:legendPos val="b"/>
      <c:overlay val="0"/>
      <c:txPr>
        <a:bodyPr/>
        <a:lstStyle/>
        <a:p>
          <a:pPr>
            <a:defRPr sz="160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83823529411764"/>
          <c:y val="4.8611111111111112E-2"/>
          <c:w val="0.84375000000000988"/>
          <c:h val="0.78472222222222221"/>
        </c:manualLayout>
      </c:layout>
      <c:lineChart>
        <c:grouping val="standard"/>
        <c:varyColors val="0"/>
        <c:ser>
          <c:idx val="0"/>
          <c:order val="0"/>
          <c:tx>
            <c:strRef>
              <c:f>Potash!$S$6</c:f>
              <c:strCache>
                <c:ptCount val="1"/>
                <c:pt idx="0">
                  <c:v>World production change (5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Potash!$S$67:$S$116</c:f>
              <c:numCache>
                <c:formatCode>0.0%</c:formatCode>
                <c:ptCount val="50"/>
                <c:pt idx="0">
                  <c:v>4.5524305200333348E-2</c:v>
                </c:pt>
                <c:pt idx="1">
                  <c:v>5.2167422060371615E-2</c:v>
                </c:pt>
                <c:pt idx="2">
                  <c:v>4.4310908460110765E-2</c:v>
                </c:pt>
                <c:pt idx="3">
                  <c:v>7.2050170991297069E-2</c:v>
                </c:pt>
                <c:pt idx="4">
                  <c:v>7.594783510097991E-2</c:v>
                </c:pt>
                <c:pt idx="5">
                  <c:v>8.5982072709384294E-2</c:v>
                </c:pt>
                <c:pt idx="6">
                  <c:v>8.4992472610531999E-2</c:v>
                </c:pt>
                <c:pt idx="7">
                  <c:v>9.8840645469841393E-2</c:v>
                </c:pt>
                <c:pt idx="8">
                  <c:v>7.4700161676846344E-2</c:v>
                </c:pt>
                <c:pt idx="9">
                  <c:v>7.1837203563014818E-2</c:v>
                </c:pt>
                <c:pt idx="10">
                  <c:v>5.8449553787509156E-2</c:v>
                </c:pt>
                <c:pt idx="11">
                  <c:v>6.389812654082605E-2</c:v>
                </c:pt>
                <c:pt idx="12">
                  <c:v>4.9605429628702069E-2</c:v>
                </c:pt>
                <c:pt idx="13">
                  <c:v>3.1310306477545069E-2</c:v>
                </c:pt>
                <c:pt idx="14">
                  <c:v>3.9313674409561905E-2</c:v>
                </c:pt>
                <c:pt idx="15">
                  <c:v>6.2980048262344379E-2</c:v>
                </c:pt>
                <c:pt idx="16">
                  <c:v>4.0760112632076906E-2</c:v>
                </c:pt>
                <c:pt idx="17">
                  <c:v>4.7307247755510318E-2</c:v>
                </c:pt>
                <c:pt idx="18">
                  <c:v>6.6683901275273794E-2</c:v>
                </c:pt>
                <c:pt idx="19">
                  <c:v>4.0231818048282353E-2</c:v>
                </c:pt>
                <c:pt idx="20">
                  <c:v>2.4663933464591281E-2</c:v>
                </c:pt>
                <c:pt idx="21">
                  <c:v>2.2051084644986618E-2</c:v>
                </c:pt>
                <c:pt idx="22">
                  <c:v>-5.6183331936989767E-3</c:v>
                </c:pt>
                <c:pt idx="23">
                  <c:v>9.7689474818871691E-3</c:v>
                </c:pt>
                <c:pt idx="24">
                  <c:v>2.6566054677426454E-2</c:v>
                </c:pt>
                <c:pt idx="25">
                  <c:v>9.1500118326797164E-3</c:v>
                </c:pt>
                <c:pt idx="26">
                  <c:v>1.2242667207708946E-2</c:v>
                </c:pt>
                <c:pt idx="27">
                  <c:v>4.478457225494159E-2</c:v>
                </c:pt>
                <c:pt idx="28">
                  <c:v>3.0232654899902123E-2</c:v>
                </c:pt>
                <c:pt idx="29">
                  <c:v>0</c:v>
                </c:pt>
                <c:pt idx="30">
                  <c:v>-1.1924869313395758E-2</c:v>
                </c:pt>
                <c:pt idx="31">
                  <c:v>-1.9495471272725995E-2</c:v>
                </c:pt>
                <c:pt idx="32">
                  <c:v>-4.7599505290692568E-2</c:v>
                </c:pt>
                <c:pt idx="33">
                  <c:v>-8.4958882709912698E-2</c:v>
                </c:pt>
                <c:pt idx="34">
                  <c:v>-4.6438140403147199E-2</c:v>
                </c:pt>
                <c:pt idx="35">
                  <c:v>-2.1247573216310878E-2</c:v>
                </c:pt>
                <c:pt idx="36">
                  <c:v>-1.7457197279998726E-2</c:v>
                </c:pt>
                <c:pt idx="37">
                  <c:v>1.3044343403284753E-2</c:v>
                </c:pt>
                <c:pt idx="38">
                  <c:v>4.9708311950775741E-2</c:v>
                </c:pt>
                <c:pt idx="39">
                  <c:v>3.3216623201004269E-2</c:v>
                </c:pt>
                <c:pt idx="40">
                  <c:v>1.7966209420791523E-2</c:v>
                </c:pt>
                <c:pt idx="41">
                  <c:v>2.0096377158644207E-2</c:v>
                </c:pt>
                <c:pt idx="42">
                  <c:v>1.2245423844838399E-2</c:v>
                </c:pt>
                <c:pt idx="43">
                  <c:v>1.9244876491456564E-2</c:v>
                </c:pt>
                <c:pt idx="44">
                  <c:v>3.3682647190655501E-2</c:v>
                </c:pt>
                <c:pt idx="45">
                  <c:v>4.5949188284475362E-2</c:v>
                </c:pt>
                <c:pt idx="46">
                  <c:v>3.3975226531950176E-2</c:v>
                </c:pt>
                <c:pt idx="47">
                  <c:v>5.7262301951066519E-2</c:v>
                </c:pt>
                <c:pt idx="48">
                  <c:v>4.0022277701749154E-2</c:v>
                </c:pt>
                <c:pt idx="49">
                  <c:v>-7.9908845620165092E-2</c:v>
                </c:pt>
              </c:numCache>
            </c:numRef>
          </c:val>
          <c:smooth val="0"/>
          <c:extLst>
            <c:ext xmlns:c16="http://schemas.microsoft.com/office/drawing/2014/chart" uri="{C3380CC4-5D6E-409C-BE32-E72D297353CC}">
              <c16:uniqueId val="{00000000-6DB3-43FD-AC47-2D97E846044F}"/>
            </c:ext>
          </c:extLst>
        </c:ser>
        <c:dLbls>
          <c:showLegendKey val="0"/>
          <c:showVal val="0"/>
          <c:showCatName val="0"/>
          <c:showSerName val="0"/>
          <c:showPercent val="0"/>
          <c:showBubbleSize val="0"/>
        </c:dLbls>
        <c:smooth val="0"/>
        <c:axId val="457050336"/>
        <c:axId val="457050728"/>
      </c:lineChart>
      <c:catAx>
        <c:axId val="457050336"/>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7050728"/>
        <c:crosses val="autoZero"/>
        <c:auto val="1"/>
        <c:lblAlgn val="ctr"/>
        <c:lblOffset val="100"/>
        <c:noMultiLvlLbl val="0"/>
      </c:catAx>
      <c:valAx>
        <c:axId val="457050728"/>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7050336"/>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32" l="0.70000000000000062" r="0.70000000000000062" t="0.75000000000001232"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sz="1300"/>
              <a:t>ביצועי</a:t>
            </a:r>
            <a:r>
              <a:rPr lang="he-IL" sz="1300" baseline="0"/>
              <a:t> המניה ביחס למחיר האשלג לחיצוניים</a:t>
            </a:r>
            <a:endParaRPr lang="he-IL" sz="1300"/>
          </a:p>
        </c:rich>
      </c:tx>
      <c:layout>
        <c:manualLayout>
          <c:xMode val="edge"/>
          <c:yMode val="edge"/>
          <c:x val="0.161613163739148"/>
          <c:y val="2.5396833861378608E-2"/>
        </c:manualLayout>
      </c:layout>
      <c:overlay val="0"/>
    </c:title>
    <c:autoTitleDeleted val="0"/>
    <c:plotArea>
      <c:layout/>
      <c:lineChart>
        <c:grouping val="stacked"/>
        <c:varyColors val="0"/>
        <c:ser>
          <c:idx val="0"/>
          <c:order val="0"/>
          <c:tx>
            <c:strRef>
              <c:f>'מחיר לטון אשלג מול מנית כיל'!$E$9</c:f>
              <c:strCache>
                <c:ptCount val="1"/>
                <c:pt idx="0">
                  <c:v>מחיר אשלג</c:v>
                </c:pt>
              </c:strCache>
            </c:strRef>
          </c:tx>
          <c:marker>
            <c:symbol val="none"/>
          </c:marker>
          <c:cat>
            <c:numRef>
              <c:f>'מחיר לטון אשלג מול מנית כיל'!$F$8:$AF$8</c:f>
              <c:numCache>
                <c:formatCode>[$-1010000]d/m/yy;@</c:formatCode>
                <c:ptCount val="27"/>
                <c:pt idx="0">
                  <c:v>38077</c:v>
                </c:pt>
                <c:pt idx="1">
                  <c:v>38168</c:v>
                </c:pt>
                <c:pt idx="2">
                  <c:v>38260</c:v>
                </c:pt>
                <c:pt idx="3">
                  <c:v>38352</c:v>
                </c:pt>
                <c:pt idx="4">
                  <c:v>38442</c:v>
                </c:pt>
                <c:pt idx="5">
                  <c:v>38533</c:v>
                </c:pt>
                <c:pt idx="6">
                  <c:v>38625</c:v>
                </c:pt>
                <c:pt idx="7">
                  <c:v>38717</c:v>
                </c:pt>
                <c:pt idx="8">
                  <c:v>38807</c:v>
                </c:pt>
                <c:pt idx="9">
                  <c:v>38898</c:v>
                </c:pt>
                <c:pt idx="10">
                  <c:v>38990</c:v>
                </c:pt>
                <c:pt idx="11">
                  <c:v>39082</c:v>
                </c:pt>
                <c:pt idx="12">
                  <c:v>39172</c:v>
                </c:pt>
                <c:pt idx="13">
                  <c:v>39263</c:v>
                </c:pt>
                <c:pt idx="14">
                  <c:v>39355</c:v>
                </c:pt>
                <c:pt idx="15">
                  <c:v>39447</c:v>
                </c:pt>
                <c:pt idx="16">
                  <c:v>39538</c:v>
                </c:pt>
                <c:pt idx="17">
                  <c:v>39629</c:v>
                </c:pt>
                <c:pt idx="18">
                  <c:v>39721</c:v>
                </c:pt>
                <c:pt idx="19">
                  <c:v>39813</c:v>
                </c:pt>
                <c:pt idx="20">
                  <c:v>39903</c:v>
                </c:pt>
                <c:pt idx="21">
                  <c:v>39994</c:v>
                </c:pt>
                <c:pt idx="22">
                  <c:v>40086</c:v>
                </c:pt>
                <c:pt idx="23">
                  <c:v>40178</c:v>
                </c:pt>
                <c:pt idx="24">
                  <c:v>40268</c:v>
                </c:pt>
                <c:pt idx="25">
                  <c:v>40359</c:v>
                </c:pt>
                <c:pt idx="26">
                  <c:v>40451</c:v>
                </c:pt>
              </c:numCache>
            </c:numRef>
          </c:cat>
          <c:val>
            <c:numRef>
              <c:f>'מחיר לטון אשלג מול מנית כיל'!$F$9:$AF$9</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formatCode="#,##0">
                  <c:v>0</c:v>
                </c:pt>
              </c:numCache>
            </c:numRef>
          </c:val>
          <c:smooth val="0"/>
          <c:extLst>
            <c:ext xmlns:c16="http://schemas.microsoft.com/office/drawing/2014/chart" uri="{C3380CC4-5D6E-409C-BE32-E72D297353CC}">
              <c16:uniqueId val="{00000000-418B-4535-ACF1-CB25B4A8A398}"/>
            </c:ext>
          </c:extLst>
        </c:ser>
        <c:dLbls>
          <c:showLegendKey val="0"/>
          <c:showVal val="0"/>
          <c:showCatName val="0"/>
          <c:showSerName val="0"/>
          <c:showPercent val="0"/>
          <c:showBubbleSize val="0"/>
        </c:dLbls>
        <c:marker val="1"/>
        <c:smooth val="0"/>
        <c:axId val="457051512"/>
        <c:axId val="457051904"/>
      </c:lineChart>
      <c:lineChart>
        <c:grouping val="standard"/>
        <c:varyColors val="0"/>
        <c:ser>
          <c:idx val="1"/>
          <c:order val="1"/>
          <c:tx>
            <c:strRef>
              <c:f>'מחיר לטון אשלג מול מנית כיל'!$E$10</c:f>
              <c:strCache>
                <c:ptCount val="1"/>
                <c:pt idx="0">
                  <c:v>מניה</c:v>
                </c:pt>
              </c:strCache>
            </c:strRef>
          </c:tx>
          <c:marker>
            <c:symbol val="none"/>
          </c:marker>
          <c:cat>
            <c:numRef>
              <c:f>'מחיר לטון אשלג מול מנית כיל'!$F$8:$AF$8</c:f>
              <c:numCache>
                <c:formatCode>[$-1010000]d/m/yy;@</c:formatCode>
                <c:ptCount val="27"/>
                <c:pt idx="0">
                  <c:v>38077</c:v>
                </c:pt>
                <c:pt idx="1">
                  <c:v>38168</c:v>
                </c:pt>
                <c:pt idx="2">
                  <c:v>38260</c:v>
                </c:pt>
                <c:pt idx="3">
                  <c:v>38352</c:v>
                </c:pt>
                <c:pt idx="4">
                  <c:v>38442</c:v>
                </c:pt>
                <c:pt idx="5">
                  <c:v>38533</c:v>
                </c:pt>
                <c:pt idx="6">
                  <c:v>38625</c:v>
                </c:pt>
                <c:pt idx="7">
                  <c:v>38717</c:v>
                </c:pt>
                <c:pt idx="8">
                  <c:v>38807</c:v>
                </c:pt>
                <c:pt idx="9">
                  <c:v>38898</c:v>
                </c:pt>
                <c:pt idx="10">
                  <c:v>38990</c:v>
                </c:pt>
                <c:pt idx="11">
                  <c:v>39082</c:v>
                </c:pt>
                <c:pt idx="12">
                  <c:v>39172</c:v>
                </c:pt>
                <c:pt idx="13">
                  <c:v>39263</c:v>
                </c:pt>
                <c:pt idx="14">
                  <c:v>39355</c:v>
                </c:pt>
                <c:pt idx="15">
                  <c:v>39447</c:v>
                </c:pt>
                <c:pt idx="16">
                  <c:v>39538</c:v>
                </c:pt>
                <c:pt idx="17">
                  <c:v>39629</c:v>
                </c:pt>
                <c:pt idx="18">
                  <c:v>39721</c:v>
                </c:pt>
                <c:pt idx="19">
                  <c:v>39813</c:v>
                </c:pt>
                <c:pt idx="20">
                  <c:v>39903</c:v>
                </c:pt>
                <c:pt idx="21">
                  <c:v>39994</c:v>
                </c:pt>
                <c:pt idx="22">
                  <c:v>40086</c:v>
                </c:pt>
                <c:pt idx="23">
                  <c:v>40178</c:v>
                </c:pt>
                <c:pt idx="24">
                  <c:v>40268</c:v>
                </c:pt>
                <c:pt idx="25">
                  <c:v>40359</c:v>
                </c:pt>
                <c:pt idx="26">
                  <c:v>40451</c:v>
                </c:pt>
              </c:numCache>
            </c:numRef>
          </c:cat>
          <c:val>
            <c:numRef>
              <c:f>'מחיר לטון אשלג מול מנית כיל'!$F$10:$AF$10</c:f>
              <c:numCache>
                <c:formatCode>0.0</c:formatCode>
                <c:ptCount val="27"/>
                <c:pt idx="0">
                  <c:v>7.2366999999999999</c:v>
                </c:pt>
                <c:pt idx="1">
                  <c:v>8.3742999999999999</c:v>
                </c:pt>
                <c:pt idx="2">
                  <c:v>8.1630000000000003</c:v>
                </c:pt>
                <c:pt idx="3">
                  <c:v>9.8323</c:v>
                </c:pt>
                <c:pt idx="4">
                  <c:v>11.24</c:v>
                </c:pt>
                <c:pt idx="5">
                  <c:v>13.95</c:v>
                </c:pt>
                <c:pt idx="6">
                  <c:v>13.0214</c:v>
                </c:pt>
                <c:pt idx="7">
                  <c:v>14.574999999999999</c:v>
                </c:pt>
                <c:pt idx="8">
                  <c:v>13.9842</c:v>
                </c:pt>
                <c:pt idx="9">
                  <c:v>15.1563</c:v>
                </c:pt>
                <c:pt idx="10">
                  <c:v>16.338999999999999</c:v>
                </c:pt>
                <c:pt idx="11">
                  <c:v>21.44</c:v>
                </c:pt>
                <c:pt idx="12">
                  <c:v>21.65</c:v>
                </c:pt>
                <c:pt idx="13">
                  <c:v>29.13</c:v>
                </c:pt>
                <c:pt idx="14">
                  <c:v>30.22</c:v>
                </c:pt>
                <c:pt idx="15">
                  <c:v>42.74</c:v>
                </c:pt>
                <c:pt idx="16">
                  <c:v>40.78</c:v>
                </c:pt>
                <c:pt idx="17">
                  <c:v>67.430000000000007</c:v>
                </c:pt>
                <c:pt idx="18">
                  <c:v>45.25</c:v>
                </c:pt>
                <c:pt idx="19">
                  <c:v>23.37</c:v>
                </c:pt>
                <c:pt idx="20">
                  <c:v>31.31</c:v>
                </c:pt>
                <c:pt idx="21">
                  <c:v>36.76</c:v>
                </c:pt>
                <c:pt idx="22">
                  <c:v>38.979999999999997</c:v>
                </c:pt>
                <c:pt idx="23">
                  <c:v>47.62</c:v>
                </c:pt>
                <c:pt idx="24">
                  <c:v>47.21</c:v>
                </c:pt>
                <c:pt idx="25">
                  <c:v>43.79</c:v>
                </c:pt>
                <c:pt idx="26">
                  <c:v>52.63</c:v>
                </c:pt>
              </c:numCache>
            </c:numRef>
          </c:val>
          <c:smooth val="0"/>
          <c:extLst>
            <c:ext xmlns:c16="http://schemas.microsoft.com/office/drawing/2014/chart" uri="{C3380CC4-5D6E-409C-BE32-E72D297353CC}">
              <c16:uniqueId val="{00000001-418B-4535-ACF1-CB25B4A8A398}"/>
            </c:ext>
          </c:extLst>
        </c:ser>
        <c:dLbls>
          <c:showLegendKey val="0"/>
          <c:showVal val="0"/>
          <c:showCatName val="0"/>
          <c:showSerName val="0"/>
          <c:showPercent val="0"/>
          <c:showBubbleSize val="0"/>
        </c:dLbls>
        <c:marker val="1"/>
        <c:smooth val="0"/>
        <c:axId val="373926952"/>
        <c:axId val="457052296"/>
      </c:lineChart>
      <c:dateAx>
        <c:axId val="457051512"/>
        <c:scaling>
          <c:orientation val="minMax"/>
          <c:max val="40481"/>
          <c:min val="38076"/>
        </c:scaling>
        <c:delete val="0"/>
        <c:axPos val="b"/>
        <c:numFmt formatCode="[$-1010000]d/m/yy;@" sourceLinked="1"/>
        <c:majorTickMark val="none"/>
        <c:minorTickMark val="none"/>
        <c:tickLblPos val="low"/>
        <c:txPr>
          <a:bodyPr rot="3000000"/>
          <a:lstStyle/>
          <a:p>
            <a:pPr>
              <a:defRPr/>
            </a:pPr>
            <a:endParaRPr lang="en-US"/>
          </a:p>
        </c:txPr>
        <c:crossAx val="457051904"/>
        <c:crosses val="autoZero"/>
        <c:auto val="1"/>
        <c:lblOffset val="100"/>
        <c:baseTimeUnit val="months"/>
      </c:dateAx>
      <c:valAx>
        <c:axId val="457051904"/>
        <c:scaling>
          <c:orientation val="minMax"/>
        </c:scaling>
        <c:delete val="0"/>
        <c:axPos val="l"/>
        <c:majorGridlines/>
        <c:numFmt formatCode="General" sourceLinked="1"/>
        <c:majorTickMark val="none"/>
        <c:minorTickMark val="none"/>
        <c:tickLblPos val="nextTo"/>
        <c:spPr>
          <a:ln w="9525">
            <a:noFill/>
          </a:ln>
        </c:spPr>
        <c:crossAx val="457051512"/>
        <c:crosses val="autoZero"/>
        <c:crossBetween val="between"/>
        <c:majorUnit val="100"/>
      </c:valAx>
      <c:valAx>
        <c:axId val="457052296"/>
        <c:scaling>
          <c:orientation val="minMax"/>
        </c:scaling>
        <c:delete val="0"/>
        <c:axPos val="r"/>
        <c:numFmt formatCode="0" sourceLinked="0"/>
        <c:majorTickMark val="out"/>
        <c:minorTickMark val="none"/>
        <c:tickLblPos val="nextTo"/>
        <c:crossAx val="373926952"/>
        <c:crosses val="max"/>
        <c:crossBetween val="between"/>
      </c:valAx>
      <c:dateAx>
        <c:axId val="373926952"/>
        <c:scaling>
          <c:orientation val="minMax"/>
        </c:scaling>
        <c:delete val="1"/>
        <c:axPos val="b"/>
        <c:numFmt formatCode="[$-1010000]d/m/yy;@" sourceLinked="1"/>
        <c:majorTickMark val="out"/>
        <c:minorTickMark val="none"/>
        <c:tickLblPos val="none"/>
        <c:crossAx val="457052296"/>
        <c:crosses val="autoZero"/>
        <c:auto val="1"/>
        <c:lblOffset val="100"/>
        <c:baseTimeUnit val="months"/>
      </c:dateAx>
      <c:spPr>
        <a:blipFill>
          <a:blip xmlns:r="http://schemas.openxmlformats.org/officeDocument/2006/relationships" r:embed="rId1"/>
          <a:tile tx="0" ty="0" sx="100000" sy="100000" flip="none" algn="tl"/>
        </a:blipFill>
        <a:ln>
          <a:noFill/>
        </a:ln>
      </c:spPr>
    </c:plotArea>
    <c:legend>
      <c:legendPos val="b"/>
      <c:overlay val="0"/>
    </c:legend>
    <c:plotVisOnly val="1"/>
    <c:dispBlanksAs val="zero"/>
    <c:showDLblsOverMax val="0"/>
  </c:chart>
  <c:printSettings>
    <c:headerFooter/>
    <c:pageMargins b="0.7500000000000091" l="0.70000000000000062" r="0.70000000000000062" t="0.7500000000000091"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_rels/drawing13.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chart" Target="../charts/chart24.xml"/><Relationship Id="rId18" Type="http://schemas.openxmlformats.org/officeDocument/2006/relationships/chart" Target="../charts/chart29.xml"/><Relationship Id="rId26" Type="http://schemas.openxmlformats.org/officeDocument/2006/relationships/chart" Target="../charts/chart37.xml"/><Relationship Id="rId3" Type="http://schemas.openxmlformats.org/officeDocument/2006/relationships/chart" Target="../charts/chart14.xml"/><Relationship Id="rId21" Type="http://schemas.openxmlformats.org/officeDocument/2006/relationships/chart" Target="../charts/chart32.xml"/><Relationship Id="rId7" Type="http://schemas.openxmlformats.org/officeDocument/2006/relationships/chart" Target="../charts/chart18.xml"/><Relationship Id="rId12" Type="http://schemas.openxmlformats.org/officeDocument/2006/relationships/chart" Target="../charts/chart23.xml"/><Relationship Id="rId17" Type="http://schemas.openxmlformats.org/officeDocument/2006/relationships/chart" Target="../charts/chart28.xml"/><Relationship Id="rId25" Type="http://schemas.openxmlformats.org/officeDocument/2006/relationships/chart" Target="../charts/chart36.xml"/><Relationship Id="rId2" Type="http://schemas.openxmlformats.org/officeDocument/2006/relationships/chart" Target="../charts/chart13.xml"/><Relationship Id="rId16" Type="http://schemas.openxmlformats.org/officeDocument/2006/relationships/chart" Target="../charts/chart27.xml"/><Relationship Id="rId20" Type="http://schemas.openxmlformats.org/officeDocument/2006/relationships/chart" Target="../charts/chart31.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24" Type="http://schemas.openxmlformats.org/officeDocument/2006/relationships/chart" Target="../charts/chart35.xml"/><Relationship Id="rId5" Type="http://schemas.openxmlformats.org/officeDocument/2006/relationships/chart" Target="../charts/chart16.xml"/><Relationship Id="rId15" Type="http://schemas.openxmlformats.org/officeDocument/2006/relationships/chart" Target="../charts/chart26.xml"/><Relationship Id="rId23" Type="http://schemas.openxmlformats.org/officeDocument/2006/relationships/chart" Target="../charts/chart34.xml"/><Relationship Id="rId10" Type="http://schemas.openxmlformats.org/officeDocument/2006/relationships/chart" Target="../charts/chart21.xml"/><Relationship Id="rId19" Type="http://schemas.openxmlformats.org/officeDocument/2006/relationships/chart" Target="../charts/chart30.xml"/><Relationship Id="rId4" Type="http://schemas.openxmlformats.org/officeDocument/2006/relationships/chart" Target="../charts/chart15.xml"/><Relationship Id="rId9" Type="http://schemas.openxmlformats.org/officeDocument/2006/relationships/chart" Target="../charts/chart20.xml"/><Relationship Id="rId14" Type="http://schemas.openxmlformats.org/officeDocument/2006/relationships/chart" Target="../charts/chart25.xml"/><Relationship Id="rId22" Type="http://schemas.openxmlformats.org/officeDocument/2006/relationships/chart" Target="../charts/chart33.xml"/><Relationship Id="rId27" Type="http://schemas.openxmlformats.org/officeDocument/2006/relationships/image" Target="../media/image22.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38.xml"/></Relationships>
</file>

<file path=xl/drawings/_rels/vmlDrawing8.vml.rels><?xml version="1.0" encoding="UTF-8" standalone="yes"?>
<Relationships xmlns="http://schemas.openxmlformats.org/package/2006/relationships"><Relationship Id="rId1"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xdr:from>
      <xdr:col>34</xdr:col>
      <xdr:colOff>352425</xdr:colOff>
      <xdr:row>63</xdr:row>
      <xdr:rowOff>114299</xdr:rowOff>
    </xdr:from>
    <xdr:to>
      <xdr:col>44</xdr:col>
      <xdr:colOff>466725</xdr:colOff>
      <xdr:row>84</xdr:row>
      <xdr:rowOff>76200</xdr:rowOff>
    </xdr:to>
    <xdr:graphicFrame macro="">
      <xdr:nvGraphicFramePr>
        <xdr:cNvPr id="2" name="תרשים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466725</xdr:colOff>
      <xdr:row>63</xdr:row>
      <xdr:rowOff>104775</xdr:rowOff>
    </xdr:from>
    <xdr:to>
      <xdr:col>56</xdr:col>
      <xdr:colOff>171450</xdr:colOff>
      <xdr:row>84</xdr:row>
      <xdr:rowOff>66676</xdr:rowOff>
    </xdr:to>
    <xdr:graphicFrame macro="">
      <xdr:nvGraphicFramePr>
        <xdr:cNvPr id="3" name="תרשים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44</xdr:col>
      <xdr:colOff>533400</xdr:colOff>
      <xdr:row>85</xdr:row>
      <xdr:rowOff>19051</xdr:rowOff>
    </xdr:from>
    <xdr:to>
      <xdr:col>57</xdr:col>
      <xdr:colOff>133350</xdr:colOff>
      <xdr:row>105</xdr:row>
      <xdr:rowOff>57151</xdr:rowOff>
    </xdr:to>
    <xdr:graphicFrame macro="">
      <xdr:nvGraphicFramePr>
        <xdr:cNvPr id="4" name="תרשים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276225</xdr:colOff>
      <xdr:row>85</xdr:row>
      <xdr:rowOff>19050</xdr:rowOff>
    </xdr:from>
    <xdr:to>
      <xdr:col>44</xdr:col>
      <xdr:colOff>381000</xdr:colOff>
      <xdr:row>105</xdr:row>
      <xdr:rowOff>28575</xdr:rowOff>
    </xdr:to>
    <xdr:graphicFrame macro="">
      <xdr:nvGraphicFramePr>
        <xdr:cNvPr id="5" name="תרשים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549089</xdr:colOff>
      <xdr:row>11</xdr:row>
      <xdr:rowOff>11206</xdr:rowOff>
    </xdr:from>
    <xdr:to>
      <xdr:col>10</xdr:col>
      <xdr:colOff>526677</xdr:colOff>
      <xdr:row>12</xdr:row>
      <xdr:rowOff>33618</xdr:rowOff>
    </xdr:to>
    <xdr:sp macro="" textlink="">
      <xdr:nvSpPr>
        <xdr:cNvPr id="7" name="מלבן: פינות מעוגלות 6">
          <a:extLst>
            <a:ext uri="{FF2B5EF4-FFF2-40B4-BE49-F238E27FC236}">
              <a16:creationId xmlns:a16="http://schemas.microsoft.com/office/drawing/2014/main" id="{00000000-0008-0000-0100-000007000000}"/>
            </a:ext>
          </a:extLst>
        </xdr:cNvPr>
        <xdr:cNvSpPr/>
      </xdr:nvSpPr>
      <xdr:spPr>
        <a:xfrm>
          <a:off x="9909160059" y="2005853"/>
          <a:ext cx="6521823" cy="212912"/>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302558</xdr:colOff>
      <xdr:row>11</xdr:row>
      <xdr:rowOff>1</xdr:rowOff>
    </xdr:from>
    <xdr:to>
      <xdr:col>21</xdr:col>
      <xdr:colOff>593912</xdr:colOff>
      <xdr:row>12</xdr:row>
      <xdr:rowOff>44825</xdr:rowOff>
    </xdr:to>
    <xdr:sp macro="" textlink="">
      <xdr:nvSpPr>
        <xdr:cNvPr id="8" name="מלבן: פינות מעוגלות 7">
          <a:extLst>
            <a:ext uri="{FF2B5EF4-FFF2-40B4-BE49-F238E27FC236}">
              <a16:creationId xmlns:a16="http://schemas.microsoft.com/office/drawing/2014/main" id="{00000000-0008-0000-0100-000008000000}"/>
            </a:ext>
          </a:extLst>
        </xdr:cNvPr>
        <xdr:cNvSpPr/>
      </xdr:nvSpPr>
      <xdr:spPr>
        <a:xfrm>
          <a:off x="9904520824" y="1994648"/>
          <a:ext cx="4269442" cy="235324"/>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0</xdr:col>
      <xdr:colOff>504265</xdr:colOff>
      <xdr:row>37</xdr:row>
      <xdr:rowOff>168088</xdr:rowOff>
    </xdr:from>
    <xdr:to>
      <xdr:col>10</xdr:col>
      <xdr:colOff>481853</xdr:colOff>
      <xdr:row>39</xdr:row>
      <xdr:rowOff>11205</xdr:rowOff>
    </xdr:to>
    <xdr:sp macro="" textlink="">
      <xdr:nvSpPr>
        <xdr:cNvPr id="9" name="מלבן: פינות מעוגלות 8">
          <a:extLst>
            <a:ext uri="{FF2B5EF4-FFF2-40B4-BE49-F238E27FC236}">
              <a16:creationId xmlns:a16="http://schemas.microsoft.com/office/drawing/2014/main" id="{00000000-0008-0000-0100-000009000000}"/>
            </a:ext>
          </a:extLst>
        </xdr:cNvPr>
        <xdr:cNvSpPr/>
      </xdr:nvSpPr>
      <xdr:spPr>
        <a:xfrm>
          <a:off x="9909204883" y="5244353"/>
          <a:ext cx="6521823" cy="212911"/>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302560</xdr:colOff>
      <xdr:row>38</xdr:row>
      <xdr:rowOff>0</xdr:rowOff>
    </xdr:from>
    <xdr:to>
      <xdr:col>21</xdr:col>
      <xdr:colOff>493060</xdr:colOff>
      <xdr:row>39</xdr:row>
      <xdr:rowOff>33617</xdr:rowOff>
    </xdr:to>
    <xdr:sp macro="" textlink="">
      <xdr:nvSpPr>
        <xdr:cNvPr id="10" name="מלבן: פינות מעוגלות 9">
          <a:extLst>
            <a:ext uri="{FF2B5EF4-FFF2-40B4-BE49-F238E27FC236}">
              <a16:creationId xmlns:a16="http://schemas.microsoft.com/office/drawing/2014/main" id="{00000000-0008-0000-0100-00000A000000}"/>
            </a:ext>
          </a:extLst>
        </xdr:cNvPr>
        <xdr:cNvSpPr/>
      </xdr:nvSpPr>
      <xdr:spPr>
        <a:xfrm>
          <a:off x="9904621676" y="5255559"/>
          <a:ext cx="4168588" cy="224117"/>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0</xdr:col>
      <xdr:colOff>537883</xdr:colOff>
      <xdr:row>48</xdr:row>
      <xdr:rowOff>11206</xdr:rowOff>
    </xdr:from>
    <xdr:to>
      <xdr:col>10</xdr:col>
      <xdr:colOff>515471</xdr:colOff>
      <xdr:row>49</xdr:row>
      <xdr:rowOff>33617</xdr:rowOff>
    </xdr:to>
    <xdr:sp macro="" textlink="">
      <xdr:nvSpPr>
        <xdr:cNvPr id="11" name="מלבן: פינות מעוגלות 10">
          <a:extLst>
            <a:ext uri="{FF2B5EF4-FFF2-40B4-BE49-F238E27FC236}">
              <a16:creationId xmlns:a16="http://schemas.microsoft.com/office/drawing/2014/main" id="{00000000-0008-0000-0100-00000B000000}"/>
            </a:ext>
          </a:extLst>
        </xdr:cNvPr>
        <xdr:cNvSpPr/>
      </xdr:nvSpPr>
      <xdr:spPr>
        <a:xfrm>
          <a:off x="9909171265" y="7093324"/>
          <a:ext cx="6521823" cy="212911"/>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302560</xdr:colOff>
      <xdr:row>48</xdr:row>
      <xdr:rowOff>22412</xdr:rowOff>
    </xdr:from>
    <xdr:to>
      <xdr:col>21</xdr:col>
      <xdr:colOff>526677</xdr:colOff>
      <xdr:row>49</xdr:row>
      <xdr:rowOff>22411</xdr:rowOff>
    </xdr:to>
    <xdr:sp macro="" textlink="">
      <xdr:nvSpPr>
        <xdr:cNvPr id="12" name="מלבן: פינות מעוגלות 11">
          <a:extLst>
            <a:ext uri="{FF2B5EF4-FFF2-40B4-BE49-F238E27FC236}">
              <a16:creationId xmlns:a16="http://schemas.microsoft.com/office/drawing/2014/main" id="{00000000-0008-0000-0100-00000C000000}"/>
            </a:ext>
          </a:extLst>
        </xdr:cNvPr>
        <xdr:cNvSpPr/>
      </xdr:nvSpPr>
      <xdr:spPr>
        <a:xfrm>
          <a:off x="9904588059" y="7104530"/>
          <a:ext cx="4202205" cy="190499"/>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347381</xdr:colOff>
      <xdr:row>1</xdr:row>
      <xdr:rowOff>123267</xdr:rowOff>
    </xdr:from>
    <xdr:to>
      <xdr:col>13</xdr:col>
      <xdr:colOff>11206</xdr:colOff>
      <xdr:row>49</xdr:row>
      <xdr:rowOff>67234</xdr:rowOff>
    </xdr:to>
    <xdr:sp macro="" textlink="">
      <xdr:nvSpPr>
        <xdr:cNvPr id="6" name="מלבן: פינות מעוגלות 5">
          <a:extLst>
            <a:ext uri="{FF2B5EF4-FFF2-40B4-BE49-F238E27FC236}">
              <a16:creationId xmlns:a16="http://schemas.microsoft.com/office/drawing/2014/main" id="{00000000-0008-0000-0100-000006000000}"/>
            </a:ext>
          </a:extLst>
        </xdr:cNvPr>
        <xdr:cNvSpPr/>
      </xdr:nvSpPr>
      <xdr:spPr>
        <a:xfrm rot="5400000">
          <a:off x="9904066987" y="3513044"/>
          <a:ext cx="7037291" cy="616325"/>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68</xdr:row>
      <xdr:rowOff>127000</xdr:rowOff>
    </xdr:from>
    <xdr:to>
      <xdr:col>69</xdr:col>
      <xdr:colOff>137371</xdr:colOff>
      <xdr:row>92</xdr:row>
      <xdr:rowOff>958</xdr:rowOff>
    </xdr:to>
    <xdr:pic>
      <xdr:nvPicPr>
        <xdr:cNvPr id="9" name="תמונה 8">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2990193" y="36998275"/>
          <a:ext cx="6922557" cy="42074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126998</xdr:colOff>
      <xdr:row>99</xdr:row>
      <xdr:rowOff>137583</xdr:rowOff>
    </xdr:from>
    <xdr:to>
      <xdr:col>72</xdr:col>
      <xdr:colOff>49531</xdr:colOff>
      <xdr:row>129</xdr:row>
      <xdr:rowOff>35136</xdr:rowOff>
    </xdr:to>
    <xdr:pic>
      <xdr:nvPicPr>
        <xdr:cNvPr id="14" name="תמונה 13">
          <a:extLst>
            <a:ext uri="{FF2B5EF4-FFF2-40B4-BE49-F238E27FC236}">
              <a16:creationId xmlns:a16="http://schemas.microsoft.com/office/drawing/2014/main" id="{00000000-0008-0000-03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55306691" y="43028658"/>
          <a:ext cx="7033684" cy="5319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xdr:row>
      <xdr:rowOff>116417</xdr:rowOff>
    </xdr:from>
    <xdr:to>
      <xdr:col>69</xdr:col>
      <xdr:colOff>512235</xdr:colOff>
      <xdr:row>128</xdr:row>
      <xdr:rowOff>41275</xdr:rowOff>
    </xdr:to>
    <xdr:pic>
      <xdr:nvPicPr>
        <xdr:cNvPr id="15" name="תמונה 14">
          <a:extLst>
            <a:ext uri="{FF2B5EF4-FFF2-40B4-BE49-F238E27FC236}">
              <a16:creationId xmlns:a16="http://schemas.microsoft.com/office/drawing/2014/main" id="{00000000-0008-0000-0300-00000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62607075" y="44817242"/>
          <a:ext cx="7305675" cy="33729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27</xdr:col>
      <xdr:colOff>142875</xdr:colOff>
      <xdr:row>12</xdr:row>
      <xdr:rowOff>0</xdr:rowOff>
    </xdr:from>
    <xdr:to>
      <xdr:col>34</xdr:col>
      <xdr:colOff>38100</xdr:colOff>
      <xdr:row>12</xdr:row>
      <xdr:rowOff>0</xdr:rowOff>
    </xdr:to>
    <xdr:graphicFrame macro="">
      <xdr:nvGraphicFramePr>
        <xdr:cNvPr id="4" name="תרשים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35</xdr:row>
      <xdr:rowOff>47625</xdr:rowOff>
    </xdr:from>
    <xdr:to>
      <xdr:col>8</xdr:col>
      <xdr:colOff>142875</xdr:colOff>
      <xdr:row>48</xdr:row>
      <xdr:rowOff>123825</xdr:rowOff>
    </xdr:to>
    <xdr:graphicFrame macro="">
      <xdr:nvGraphicFramePr>
        <xdr:cNvPr id="2" name="Chart 4">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1123949</xdr:colOff>
      <xdr:row>35</xdr:row>
      <xdr:rowOff>19049</xdr:rowOff>
    </xdr:from>
    <xdr:to>
      <xdr:col>17</xdr:col>
      <xdr:colOff>285749</xdr:colOff>
      <xdr:row>54</xdr:row>
      <xdr:rowOff>95250</xdr:rowOff>
    </xdr:to>
    <xdr:graphicFrame macro="">
      <xdr:nvGraphicFramePr>
        <xdr:cNvPr id="3" name="Chart 4">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85726</xdr:colOff>
      <xdr:row>35</xdr:row>
      <xdr:rowOff>161926</xdr:rowOff>
    </xdr:from>
    <xdr:to>
      <xdr:col>10</xdr:col>
      <xdr:colOff>371475</xdr:colOff>
      <xdr:row>37</xdr:row>
      <xdr:rowOff>28575</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bwMode="auto">
        <a:xfrm>
          <a:off x="9981066525" y="7200901"/>
          <a:ext cx="3486149" cy="247649"/>
        </a:xfrm>
        <a:prstGeom prst="rect">
          <a:avLst/>
        </a:prstGeom>
        <a:solidFill>
          <a:srgbClr val="FFFFFF"/>
        </a:solidFill>
        <a:ln w="9525">
          <a:noFill/>
          <a:miter lim="800000"/>
          <a:headEnd/>
          <a:tailEnd/>
        </a:ln>
      </xdr:spPr>
      <xdr:txBody>
        <a:bodyPr vertOverflow="clip" horzOverflow="clip" wrap="square" lIns="91440" tIns="45720" rIns="91440" bIns="45720" rtlCol="0" anchor="t" upright="1"/>
        <a:lstStyle/>
        <a:p>
          <a:pPr algn="r" rtl="1"/>
          <a:r>
            <a:rPr lang="he-IL" sz="1100" b="1" i="0" strike="noStrike">
              <a:solidFill>
                <a:schemeClr val="tx1"/>
              </a:solidFill>
              <a:latin typeface="Arial" panose="020B0604020202020204" pitchFamily="34" charset="0"/>
              <a:cs typeface="Arial" panose="020B0604020202020204" pitchFamily="34" charset="0"/>
            </a:rPr>
            <a:t>התפתחות</a:t>
          </a:r>
          <a:r>
            <a:rPr lang="he-IL" sz="1100" b="1" i="0" strike="noStrike" baseline="0">
              <a:solidFill>
                <a:schemeClr val="tx1"/>
              </a:solidFill>
              <a:latin typeface="Arial" panose="020B0604020202020204" pitchFamily="34" charset="0"/>
              <a:cs typeface="Arial" panose="020B0604020202020204" pitchFamily="34" charset="0"/>
            </a:rPr>
            <a:t> שיעורי הניצולת בשוק האשלג בשנים הקרובות:</a:t>
          </a:r>
          <a:endParaRPr lang="en-US" sz="1100" b="1" i="0" strike="noStrike">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0</xdr:col>
      <xdr:colOff>1143000</xdr:colOff>
      <xdr:row>55</xdr:row>
      <xdr:rowOff>15240</xdr:rowOff>
    </xdr:from>
    <xdr:to>
      <xdr:col>12</xdr:col>
      <xdr:colOff>389120</xdr:colOff>
      <xdr:row>76</xdr:row>
      <xdr:rowOff>114628</xdr:rowOff>
    </xdr:to>
    <xdr:pic>
      <xdr:nvPicPr>
        <xdr:cNvPr id="6" name="תמונה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3"/>
        <a:stretch>
          <a:fillRect/>
        </a:stretch>
      </xdr:blipFill>
      <xdr:spPr>
        <a:xfrm>
          <a:off x="10228424560" y="10599420"/>
          <a:ext cx="5768840" cy="37798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456811</xdr:colOff>
      <xdr:row>4</xdr:row>
      <xdr:rowOff>31879</xdr:rowOff>
    </xdr:from>
    <xdr:to>
      <xdr:col>17</xdr:col>
      <xdr:colOff>85531</xdr:colOff>
      <xdr:row>23</xdr:row>
      <xdr:rowOff>23326</xdr:rowOff>
    </xdr:to>
    <xdr:graphicFrame macro="">
      <xdr:nvGraphicFramePr>
        <xdr:cNvPr id="3" name="תרשים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153567</xdr:colOff>
      <xdr:row>4</xdr:row>
      <xdr:rowOff>25269</xdr:rowOff>
    </xdr:from>
    <xdr:to>
      <xdr:col>26</xdr:col>
      <xdr:colOff>441261</xdr:colOff>
      <xdr:row>23</xdr:row>
      <xdr:rowOff>16716</xdr:rowOff>
    </xdr:to>
    <xdr:graphicFrame macro="">
      <xdr:nvGraphicFramePr>
        <xdr:cNvPr id="4" name="תרשים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33</xdr:row>
      <xdr:rowOff>0</xdr:rowOff>
    </xdr:from>
    <xdr:to>
      <xdr:col>12</xdr:col>
      <xdr:colOff>141877</xdr:colOff>
      <xdr:row>44</xdr:row>
      <xdr:rowOff>11143</xdr:rowOff>
    </xdr:to>
    <xdr:pic>
      <xdr:nvPicPr>
        <xdr:cNvPr id="5" name="תמונה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0024784552" y="8135128"/>
          <a:ext cx="2591162" cy="184810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38100</xdr:colOff>
      <xdr:row>5</xdr:row>
      <xdr:rowOff>152400</xdr:rowOff>
    </xdr:from>
    <xdr:to>
      <xdr:col>17</xdr:col>
      <xdr:colOff>372287</xdr:colOff>
      <xdr:row>28</xdr:row>
      <xdr:rowOff>86236</xdr:rowOff>
    </xdr:to>
    <xdr:pic>
      <xdr:nvPicPr>
        <xdr:cNvPr id="7" name="תמונה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
        <a:stretch>
          <a:fillRect/>
        </a:stretch>
      </xdr:blipFill>
      <xdr:spPr>
        <a:xfrm>
          <a:off x="9976950913" y="962025"/>
          <a:ext cx="5820587" cy="3658111"/>
        </a:xfrm>
        <a:prstGeom prst="rect">
          <a:avLst/>
        </a:prstGeom>
      </xdr:spPr>
    </xdr:pic>
    <xdr:clientData/>
  </xdr:twoCellAnchor>
  <xdr:twoCellAnchor>
    <xdr:from>
      <xdr:col>11</xdr:col>
      <xdr:colOff>495300</xdr:colOff>
      <xdr:row>11</xdr:row>
      <xdr:rowOff>85726</xdr:rowOff>
    </xdr:from>
    <xdr:to>
      <xdr:col>16</xdr:col>
      <xdr:colOff>304800</xdr:colOff>
      <xdr:row>14</xdr:row>
      <xdr:rowOff>66675</xdr:rowOff>
    </xdr:to>
    <xdr:sp macro="" textlink="">
      <xdr:nvSpPr>
        <xdr:cNvPr id="9" name="תיבת טקסט 8">
          <a:extLst>
            <a:ext uri="{FF2B5EF4-FFF2-40B4-BE49-F238E27FC236}">
              <a16:creationId xmlns:a16="http://schemas.microsoft.com/office/drawing/2014/main" id="{00000000-0008-0000-0700-000009000000}"/>
            </a:ext>
          </a:extLst>
        </xdr:cNvPr>
        <xdr:cNvSpPr txBox="1"/>
      </xdr:nvSpPr>
      <xdr:spPr bwMode="auto">
        <a:xfrm>
          <a:off x="9977628000" y="1866901"/>
          <a:ext cx="2857500" cy="466724"/>
        </a:xfrm>
        <a:prstGeom prst="rect">
          <a:avLst/>
        </a:prstGeom>
        <a:solidFill>
          <a:srgbClr val="FFFFFF"/>
        </a:solidFill>
        <a:ln w="9525">
          <a:noFill/>
          <a:miter lim="800000"/>
          <a:headEnd/>
          <a:tailEnd/>
        </a:ln>
      </xdr:spPr>
      <xdr:txBody>
        <a:bodyPr vertOverflow="clip" horzOverflow="clip" wrap="square" lIns="91440" tIns="45720" rIns="91440" bIns="45720" rtlCol="1" anchor="t" upright="1"/>
        <a:lstStyle/>
        <a:p>
          <a:pPr algn="ctr" rtl="1"/>
          <a:r>
            <a:rPr lang="en-US" sz="900" b="0" i="0" strike="noStrike">
              <a:solidFill>
                <a:sysClr val="windowText" lastClr="000000"/>
              </a:solidFill>
              <a:latin typeface="+mn-lt"/>
            </a:rPr>
            <a:t>average price 2024 Vancouver</a:t>
          </a:r>
          <a:r>
            <a:rPr lang="en-US" sz="900" b="0" i="0" strike="noStrike" baseline="0">
              <a:solidFill>
                <a:sysClr val="windowText" lastClr="000000"/>
              </a:solidFill>
              <a:latin typeface="+mn-lt"/>
            </a:rPr>
            <a:t> (Granular FOB) </a:t>
          </a:r>
          <a:r>
            <a:rPr lang="en-US" sz="900" b="1" i="0" strike="noStrike" baseline="0">
              <a:solidFill>
                <a:sysClr val="windowText" lastClr="000000"/>
              </a:solidFill>
              <a:latin typeface="+mn-lt"/>
            </a:rPr>
            <a:t>302$/Mt</a:t>
          </a:r>
        </a:p>
        <a:p>
          <a:pPr algn="ctr" rtl="1"/>
          <a:r>
            <a:rPr lang="en-US" sz="900" b="0" i="0" strike="noStrike" baseline="0">
              <a:solidFill>
                <a:sysClr val="windowText" lastClr="000000"/>
              </a:solidFill>
              <a:latin typeface="+mn-lt"/>
            </a:rPr>
            <a:t>Expected Chinese Settlement Price H2/25E </a:t>
          </a:r>
          <a:r>
            <a:rPr lang="en-US" sz="900" b="1" i="0" strike="noStrike" baseline="0">
              <a:solidFill>
                <a:sysClr val="windowText" lastClr="000000"/>
              </a:solidFill>
              <a:latin typeface="+mn-lt"/>
            </a:rPr>
            <a:t>360$/Mt </a:t>
          </a:r>
          <a:endParaRPr lang="he-IL" sz="900" b="1" i="0" strike="noStrike">
            <a:solidFill>
              <a:sysClr val="windowText" lastClr="000000"/>
            </a:solidFill>
            <a:latin typeface="+mn-lt"/>
          </a:endParaRPr>
        </a:p>
      </xdr:txBody>
    </xdr:sp>
    <xdr:clientData/>
  </xdr:twoCellAnchor>
  <xdr:twoCellAnchor>
    <xdr:from>
      <xdr:col>8</xdr:col>
      <xdr:colOff>361950</xdr:colOff>
      <xdr:row>11</xdr:row>
      <xdr:rowOff>85725</xdr:rowOff>
    </xdr:from>
    <xdr:to>
      <xdr:col>11</xdr:col>
      <xdr:colOff>247650</xdr:colOff>
      <xdr:row>14</xdr:row>
      <xdr:rowOff>66674</xdr:rowOff>
    </xdr:to>
    <xdr:sp macro="" textlink="">
      <xdr:nvSpPr>
        <xdr:cNvPr id="10" name="תיבת טקסט 9">
          <a:extLst>
            <a:ext uri="{FF2B5EF4-FFF2-40B4-BE49-F238E27FC236}">
              <a16:creationId xmlns:a16="http://schemas.microsoft.com/office/drawing/2014/main" id="{00000000-0008-0000-0700-00000A000000}"/>
            </a:ext>
          </a:extLst>
        </xdr:cNvPr>
        <xdr:cNvSpPr txBox="1"/>
      </xdr:nvSpPr>
      <xdr:spPr bwMode="auto">
        <a:xfrm>
          <a:off x="9980733150" y="1866900"/>
          <a:ext cx="1714500" cy="466724"/>
        </a:xfrm>
        <a:prstGeom prst="rect">
          <a:avLst/>
        </a:prstGeom>
        <a:solidFill>
          <a:srgbClr val="FFFFFF"/>
        </a:solidFill>
        <a:ln w="9525">
          <a:noFill/>
          <a:miter lim="800000"/>
          <a:headEnd/>
          <a:tailEnd/>
        </a:ln>
      </xdr:spPr>
      <xdr:txBody>
        <a:bodyPr vertOverflow="clip" horzOverflow="clip" wrap="square" lIns="91440" tIns="45720" rIns="91440" bIns="45720" rtlCol="1" anchor="t" upright="1"/>
        <a:lstStyle/>
        <a:p>
          <a:pPr algn="ctr" rtl="1"/>
          <a:r>
            <a:rPr lang="en-US" sz="900" b="1" i="0" strike="noStrike" baseline="0">
              <a:solidFill>
                <a:sysClr val="windowText" lastClr="000000"/>
              </a:solidFill>
              <a:latin typeface="+mn-lt"/>
            </a:rPr>
            <a:t>2024A Demand</a:t>
          </a:r>
          <a:r>
            <a:rPr lang="en-US" sz="900" b="0" i="0" strike="noStrike" baseline="0">
              <a:solidFill>
                <a:sysClr val="windowText" lastClr="000000"/>
              </a:solidFill>
              <a:latin typeface="+mn-lt"/>
            </a:rPr>
            <a:t>: 70m Tonnes</a:t>
          </a:r>
        </a:p>
        <a:p>
          <a:pPr marL="0" marR="0" lvl="0" indent="0" algn="ctr" defTabSz="914400" rtl="1" eaLnBrk="1" fontAlgn="auto" latinLnBrk="0" hangingPunct="1">
            <a:lnSpc>
              <a:spcPct val="100000"/>
            </a:lnSpc>
            <a:spcBef>
              <a:spcPts val="0"/>
            </a:spcBef>
            <a:spcAft>
              <a:spcPts val="0"/>
            </a:spcAft>
            <a:buClrTx/>
            <a:buSzTx/>
            <a:buFontTx/>
            <a:buNone/>
            <a:tabLst/>
            <a:defRPr/>
          </a:pPr>
          <a:r>
            <a:rPr lang="en-US" sz="900" b="1" i="0" strike="noStrike" baseline="0">
              <a:solidFill>
                <a:sysClr val="windowText" lastClr="000000"/>
              </a:solidFill>
              <a:latin typeface="+mn-lt"/>
              <a:ea typeface="+mn-ea"/>
              <a:cs typeface="+mn-cs"/>
            </a:rPr>
            <a:t>2025E Demand</a:t>
          </a:r>
          <a:r>
            <a:rPr lang="en-US" sz="900" b="0" i="0" strike="noStrike" baseline="0">
              <a:solidFill>
                <a:sysClr val="windowText" lastClr="000000"/>
              </a:solidFill>
              <a:latin typeface="+mn-lt"/>
              <a:ea typeface="+mn-ea"/>
              <a:cs typeface="+mn-cs"/>
            </a:rPr>
            <a:t>: 74.5 Tonnes</a:t>
          </a:r>
          <a:endParaRPr lang="he-IL" sz="900">
            <a:effectLst/>
          </a:endParaRPr>
        </a:p>
        <a:p>
          <a:pPr algn="ctr" rtl="1"/>
          <a:endParaRPr lang="en-US" sz="900" b="0" i="0" strike="noStrike" baseline="0">
            <a:solidFill>
              <a:sysClr val="windowText" lastClr="000000"/>
            </a:solidFill>
            <a:latin typeface="+mn-lt"/>
          </a:endParaRPr>
        </a:p>
      </xdr:txBody>
    </xdr:sp>
    <xdr:clientData/>
  </xdr:twoCellAnchor>
  <xdr:twoCellAnchor>
    <xdr:from>
      <xdr:col>9</xdr:col>
      <xdr:colOff>333375</xdr:colOff>
      <xdr:row>14</xdr:row>
      <xdr:rowOff>0</xdr:rowOff>
    </xdr:from>
    <xdr:to>
      <xdr:col>9</xdr:col>
      <xdr:colOff>342900</xdr:colOff>
      <xdr:row>16</xdr:row>
      <xdr:rowOff>47625</xdr:rowOff>
    </xdr:to>
    <xdr:cxnSp macro="">
      <xdr:nvCxnSpPr>
        <xdr:cNvPr id="12" name="מחבר חץ ישר 11">
          <a:extLst>
            <a:ext uri="{FF2B5EF4-FFF2-40B4-BE49-F238E27FC236}">
              <a16:creationId xmlns:a16="http://schemas.microsoft.com/office/drawing/2014/main" id="{00000000-0008-0000-0700-00000C000000}"/>
            </a:ext>
          </a:extLst>
        </xdr:cNvPr>
        <xdr:cNvCxnSpPr/>
      </xdr:nvCxnSpPr>
      <xdr:spPr>
        <a:xfrm>
          <a:off x="9981857100" y="2266950"/>
          <a:ext cx="9525" cy="37147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22</xdr:col>
      <xdr:colOff>521805</xdr:colOff>
      <xdr:row>8</xdr:row>
      <xdr:rowOff>149087</xdr:rowOff>
    </xdr:from>
    <xdr:to>
      <xdr:col>31</xdr:col>
      <xdr:colOff>73523</xdr:colOff>
      <xdr:row>24</xdr:row>
      <xdr:rowOff>149087</xdr:rowOff>
    </xdr:to>
    <xdr:pic>
      <xdr:nvPicPr>
        <xdr:cNvPr id="3" name="תמונה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10022893477" y="1399761"/>
          <a:ext cx="5067935" cy="2667000"/>
        </a:xfrm>
        <a:prstGeom prst="rect">
          <a:avLst/>
        </a:prstGeom>
      </xdr:spPr>
    </xdr:pic>
    <xdr:clientData/>
  </xdr:twoCellAnchor>
  <xdr:twoCellAnchor>
    <xdr:from>
      <xdr:col>23</xdr:col>
      <xdr:colOff>57978</xdr:colOff>
      <xdr:row>13</xdr:row>
      <xdr:rowOff>91108</xdr:rowOff>
    </xdr:from>
    <xdr:to>
      <xdr:col>23</xdr:col>
      <xdr:colOff>66260</xdr:colOff>
      <xdr:row>14</xdr:row>
      <xdr:rowOff>149088</xdr:rowOff>
    </xdr:to>
    <xdr:cxnSp macro="">
      <xdr:nvCxnSpPr>
        <xdr:cNvPr id="5" name="מחבר ישר 4">
          <a:extLst>
            <a:ext uri="{FF2B5EF4-FFF2-40B4-BE49-F238E27FC236}">
              <a16:creationId xmlns:a16="http://schemas.microsoft.com/office/drawing/2014/main" id="{00000000-0008-0000-0800-000005000000}"/>
            </a:ext>
          </a:extLst>
        </xdr:cNvPr>
        <xdr:cNvCxnSpPr/>
      </xdr:nvCxnSpPr>
      <xdr:spPr>
        <a:xfrm flipV="1">
          <a:off x="10027804044" y="2170043"/>
          <a:ext cx="8282" cy="223632"/>
        </a:xfrm>
        <a:prstGeom prst="line">
          <a:avLst/>
        </a:prstGeom>
        <a:ln w="28575">
          <a:solidFill>
            <a:srgbClr val="00206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546653</xdr:colOff>
      <xdr:row>8</xdr:row>
      <xdr:rowOff>16567</xdr:rowOff>
    </xdr:from>
    <xdr:to>
      <xdr:col>25</xdr:col>
      <xdr:colOff>306457</xdr:colOff>
      <xdr:row>11</xdr:row>
      <xdr:rowOff>3</xdr:rowOff>
    </xdr:to>
    <xdr:sp macro="" textlink="">
      <xdr:nvSpPr>
        <xdr:cNvPr id="12" name="תיבת טקסט 2">
          <a:extLst>
            <a:ext uri="{FF2B5EF4-FFF2-40B4-BE49-F238E27FC236}">
              <a16:creationId xmlns:a16="http://schemas.microsoft.com/office/drawing/2014/main" id="{00000000-0008-0000-0800-00000C000000}"/>
            </a:ext>
          </a:extLst>
        </xdr:cNvPr>
        <xdr:cNvSpPr txBox="1">
          <a:spLocks noChangeArrowheads="1"/>
        </xdr:cNvSpPr>
      </xdr:nvSpPr>
      <xdr:spPr bwMode="auto">
        <a:xfrm flipH="1">
          <a:off x="10026338021" y="1267241"/>
          <a:ext cx="1598543" cy="480392"/>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lgn="ctr" rtl="1">
            <a:lnSpc>
              <a:spcPts val="1500"/>
            </a:lnSpc>
            <a:spcAft>
              <a:spcPts val="0"/>
            </a:spcAft>
          </a:pPr>
          <a:r>
            <a:rPr lang="he-IL" sz="950" b="1" u="none" kern="100">
              <a:solidFill>
                <a:srgbClr val="404040"/>
              </a:solidFill>
              <a:effectLst/>
              <a:latin typeface="Calibri Light" panose="020F0302020204030204" pitchFamily="34" charset="0"/>
              <a:ea typeface="Calibri" panose="020F0502020204030204" pitchFamily="34" charset="0"/>
            </a:rPr>
            <a:t>מכפיל</a:t>
          </a:r>
          <a:r>
            <a:rPr lang="he-IL" sz="950" b="0" u="none" kern="100" baseline="0">
              <a:solidFill>
                <a:srgbClr val="404040"/>
              </a:solidFill>
              <a:effectLst/>
              <a:latin typeface="Calibri Light" panose="020F0302020204030204" pitchFamily="34" charset="0"/>
              <a:ea typeface="Calibri" panose="020F0502020204030204" pitchFamily="34" charset="0"/>
            </a:rPr>
            <a:t> </a:t>
          </a:r>
          <a:r>
            <a:rPr lang="en-US" sz="950" b="1" u="none" kern="100" baseline="0">
              <a:solidFill>
                <a:srgbClr val="404040"/>
              </a:solidFill>
              <a:effectLst/>
              <a:latin typeface="Calibri Light" panose="020F0302020204030204" pitchFamily="34" charset="0"/>
              <a:ea typeface="Calibri" panose="020F0502020204030204" pitchFamily="34" charset="0"/>
            </a:rPr>
            <a:t>N12M EV/EBITDA</a:t>
          </a:r>
          <a:r>
            <a:rPr lang="he-IL" sz="950" b="1" u="none" kern="100" baseline="0">
              <a:solidFill>
                <a:srgbClr val="404040"/>
              </a:solidFill>
              <a:effectLst/>
              <a:latin typeface="Calibri Light" panose="020F0302020204030204" pitchFamily="34" charset="0"/>
              <a:ea typeface="Calibri" panose="020F0502020204030204" pitchFamily="34" charset="0"/>
            </a:rPr>
            <a:t> </a:t>
          </a:r>
          <a:r>
            <a:rPr lang="he-IL" sz="850" b="0" u="none" kern="100" baseline="0">
              <a:solidFill>
                <a:srgbClr val="404040"/>
              </a:solidFill>
              <a:effectLst/>
              <a:latin typeface="Calibri Light" panose="020F0302020204030204" pitchFamily="34" charset="0"/>
              <a:ea typeface="Calibri" panose="020F0502020204030204" pitchFamily="34" charset="0"/>
            </a:rPr>
            <a:t>- </a:t>
          </a:r>
          <a:r>
            <a:rPr lang="he-IL" sz="850" b="1" u="none" kern="100" baseline="0">
              <a:solidFill>
                <a:srgbClr val="404040"/>
              </a:solidFill>
              <a:effectLst/>
              <a:latin typeface="Calibri Light" panose="020F0302020204030204" pitchFamily="34" charset="0"/>
              <a:ea typeface="Calibri" panose="020F0502020204030204" pitchFamily="34" charset="0"/>
            </a:rPr>
            <a:t>7.3</a:t>
          </a:r>
        </a:p>
        <a:p>
          <a:pPr algn="ctr" rtl="1">
            <a:lnSpc>
              <a:spcPts val="1500"/>
            </a:lnSpc>
            <a:spcAft>
              <a:spcPts val="0"/>
            </a:spcAft>
          </a:pPr>
          <a:r>
            <a:rPr lang="en-US" sz="950" b="1" u="none" kern="100" baseline="0">
              <a:solidFill>
                <a:srgbClr val="404040"/>
              </a:solidFill>
              <a:effectLst/>
              <a:latin typeface="Calibri Light" panose="020F0302020204030204" pitchFamily="34" charset="0"/>
              <a:ea typeface="Calibri" panose="020F0502020204030204" pitchFamily="34" charset="0"/>
            </a:rPr>
            <a:t>10Y Average</a:t>
          </a:r>
          <a:r>
            <a:rPr lang="he-IL" sz="850" b="1" u="none" kern="100" baseline="0">
              <a:solidFill>
                <a:srgbClr val="404040"/>
              </a:solidFill>
              <a:effectLst/>
              <a:latin typeface="Calibri Light" panose="020F0302020204030204" pitchFamily="34" charset="0"/>
              <a:ea typeface="Calibri" panose="020F0502020204030204" pitchFamily="34" charset="0"/>
            </a:rPr>
            <a:t>: 6.83</a:t>
          </a:r>
          <a:endParaRPr lang="en-US" sz="1100" b="1" u="none" kern="100">
            <a:solidFill>
              <a:srgbClr val="404040"/>
            </a:solidFill>
            <a:effectLst/>
            <a:latin typeface="Calibri Light" panose="020F0302020204030204" pitchFamily="34" charset="0"/>
            <a:ea typeface="Calibri" panose="020F0502020204030204" pitchFamily="34" charset="0"/>
          </a:endParaRPr>
        </a:p>
      </xdr:txBody>
    </xdr:sp>
    <xdr:clientData/>
  </xdr:twoCellAnchor>
  <xdr:twoCellAnchor editAs="oneCell">
    <xdr:from>
      <xdr:col>10</xdr:col>
      <xdr:colOff>66261</xdr:colOff>
      <xdr:row>22</xdr:row>
      <xdr:rowOff>107673</xdr:rowOff>
    </xdr:from>
    <xdr:to>
      <xdr:col>18</xdr:col>
      <xdr:colOff>77857</xdr:colOff>
      <xdr:row>40</xdr:row>
      <xdr:rowOff>21534</xdr:rowOff>
    </xdr:to>
    <xdr:pic>
      <xdr:nvPicPr>
        <xdr:cNvPr id="2" name="תמונה 1" descr="תמונה שמכילה טקסט, קו, גופן, צילום מסך&#10;&#10;התיאור נוצר באופן אוטומטי">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32082839" y="3694043"/>
          <a:ext cx="4914900" cy="2895600"/>
        </a:xfrm>
        <a:prstGeom prst="rect">
          <a:avLst/>
        </a:prstGeom>
      </xdr:spPr>
    </xdr:pic>
    <xdr:clientData/>
  </xdr:twoCellAnchor>
  <xdr:twoCellAnchor>
    <xdr:from>
      <xdr:col>9</xdr:col>
      <xdr:colOff>604631</xdr:colOff>
      <xdr:row>23</xdr:row>
      <xdr:rowOff>57980</xdr:rowOff>
    </xdr:from>
    <xdr:to>
      <xdr:col>12</xdr:col>
      <xdr:colOff>430697</xdr:colOff>
      <xdr:row>25</xdr:row>
      <xdr:rowOff>149088</xdr:rowOff>
    </xdr:to>
    <xdr:sp macro="" textlink="">
      <xdr:nvSpPr>
        <xdr:cNvPr id="6" name="תיבת טקסט 5">
          <a:extLst>
            <a:ext uri="{FF2B5EF4-FFF2-40B4-BE49-F238E27FC236}">
              <a16:creationId xmlns:a16="http://schemas.microsoft.com/office/drawing/2014/main" id="{00000000-0008-0000-0800-000006000000}"/>
            </a:ext>
          </a:extLst>
        </xdr:cNvPr>
        <xdr:cNvSpPr txBox="1"/>
      </xdr:nvSpPr>
      <xdr:spPr bwMode="auto">
        <a:xfrm>
          <a:off x="10035407477" y="3810002"/>
          <a:ext cx="1664805" cy="422412"/>
        </a:xfrm>
        <a:prstGeom prst="rect">
          <a:avLst/>
        </a:prstGeom>
        <a:solidFill>
          <a:srgbClr val="FFFFFF"/>
        </a:solidFill>
        <a:ln w="9525">
          <a:noFill/>
          <a:miter lim="800000"/>
          <a:headEnd/>
          <a:tailEnd/>
        </a:ln>
      </xdr:spPr>
      <xdr:txBody>
        <a:bodyPr vertOverflow="clip" horzOverflow="clip" wrap="square" lIns="91440" tIns="45720" rIns="91440" bIns="45720" rtlCol="1" anchor="ctr" upright="1"/>
        <a:lstStyle/>
        <a:p>
          <a:pPr algn="ctr" rtl="1"/>
          <a:r>
            <a:rPr lang="en-US" sz="1000" b="1" i="0" strike="noStrike">
              <a:solidFill>
                <a:sysClr val="windowText" lastClr="000000"/>
              </a:solidFill>
              <a:latin typeface="+mn-lt"/>
            </a:rPr>
            <a:t>7.04: Next</a:t>
          </a:r>
          <a:r>
            <a:rPr lang="en-US" sz="1000" b="1" i="0" strike="noStrike" baseline="0">
              <a:solidFill>
                <a:sysClr val="windowText" lastClr="000000"/>
              </a:solidFill>
              <a:latin typeface="+mn-lt"/>
            </a:rPr>
            <a:t> 12M EV/EBITDA</a:t>
          </a:r>
        </a:p>
        <a:p>
          <a:pPr marL="0" marR="0" lvl="0" indent="0" algn="ctr" defTabSz="914400" rtl="1" eaLnBrk="1" fontAlgn="auto" latinLnBrk="0" hangingPunct="1">
            <a:lnSpc>
              <a:spcPct val="100000"/>
            </a:lnSpc>
            <a:spcBef>
              <a:spcPts val="0"/>
            </a:spcBef>
            <a:spcAft>
              <a:spcPts val="0"/>
            </a:spcAft>
            <a:buClrTx/>
            <a:buSzTx/>
            <a:buFontTx/>
            <a:buNone/>
            <a:tabLst/>
            <a:defRPr/>
          </a:pPr>
          <a:r>
            <a:rPr lang="en-US" sz="1000" b="1" i="0">
              <a:effectLst/>
              <a:latin typeface="+mn-lt"/>
              <a:ea typeface="+mn-ea"/>
              <a:cs typeface="+mn-cs"/>
            </a:rPr>
            <a:t>6.90:10Y</a:t>
          </a:r>
          <a:r>
            <a:rPr lang="en-US" sz="1000" b="1" i="0" baseline="0">
              <a:effectLst/>
              <a:latin typeface="+mn-lt"/>
              <a:ea typeface="+mn-ea"/>
              <a:cs typeface="+mn-cs"/>
            </a:rPr>
            <a:t> Average</a:t>
          </a:r>
          <a:endParaRPr lang="he-IL" sz="1000">
            <a:effectLst/>
          </a:endParaRPr>
        </a:p>
        <a:p>
          <a:pPr algn="ctr" rtl="1"/>
          <a:endParaRPr lang="he-IL" sz="1000" b="1" i="0" strike="noStrike">
            <a:solidFill>
              <a:sysClr val="windowText" lastClr="000000"/>
            </a:solidFill>
            <a:latin typeface="+mn-l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69273</xdr:colOff>
      <xdr:row>12</xdr:row>
      <xdr:rowOff>155864</xdr:rowOff>
    </xdr:from>
    <xdr:to>
      <xdr:col>10</xdr:col>
      <xdr:colOff>528204</xdr:colOff>
      <xdr:row>14</xdr:row>
      <xdr:rowOff>8659</xdr:rowOff>
    </xdr:to>
    <xdr:sp macro="" textlink="">
      <xdr:nvSpPr>
        <xdr:cNvPr id="2" name="מלבן: פינות מעוגלות 1">
          <a:extLst>
            <a:ext uri="{FF2B5EF4-FFF2-40B4-BE49-F238E27FC236}">
              <a16:creationId xmlns:a16="http://schemas.microsoft.com/office/drawing/2014/main" id="{00000000-0008-0000-0900-000002000000}"/>
            </a:ext>
          </a:extLst>
        </xdr:cNvPr>
        <xdr:cNvSpPr/>
      </xdr:nvSpPr>
      <xdr:spPr>
        <a:xfrm>
          <a:off x="9924348614" y="2182091"/>
          <a:ext cx="1948295" cy="181841"/>
        </a:xfrm>
        <a:prstGeom prst="roundRect">
          <a:avLst/>
        </a:prstGeom>
        <a:no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12</xdr:col>
      <xdr:colOff>0</xdr:colOff>
      <xdr:row>13</xdr:row>
      <xdr:rowOff>104775</xdr:rowOff>
    </xdr:from>
    <xdr:to>
      <xdr:col>19</xdr:col>
      <xdr:colOff>304800</xdr:colOff>
      <xdr:row>30</xdr:row>
      <xdr:rowOff>95250</xdr:rowOff>
    </xdr:to>
    <xdr:graphicFrame macro="">
      <xdr:nvGraphicFramePr>
        <xdr:cNvPr id="3" name="תרשים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447675</xdr:colOff>
      <xdr:row>13</xdr:row>
      <xdr:rowOff>114300</xdr:rowOff>
    </xdr:from>
    <xdr:to>
      <xdr:col>27</xdr:col>
      <xdr:colOff>142875</xdr:colOff>
      <xdr:row>30</xdr:row>
      <xdr:rowOff>104775</xdr:rowOff>
    </xdr:to>
    <xdr:graphicFrame macro="">
      <xdr:nvGraphicFramePr>
        <xdr:cNvPr id="4" name="תרשים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809625</xdr:colOff>
      <xdr:row>2</xdr:row>
      <xdr:rowOff>66675</xdr:rowOff>
    </xdr:from>
    <xdr:to>
      <xdr:col>9</xdr:col>
      <xdr:colOff>190500</xdr:colOff>
      <xdr:row>19</xdr:row>
      <xdr:rowOff>95250</xdr:rowOff>
    </xdr:to>
    <xdr:pic>
      <xdr:nvPicPr>
        <xdr:cNvPr id="4" name="תמונה 2" descr="image00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2009500" y="390525"/>
          <a:ext cx="4457700" cy="278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38100</xdr:colOff>
      <xdr:row>38</xdr:row>
      <xdr:rowOff>85725</xdr:rowOff>
    </xdr:from>
    <xdr:to>
      <xdr:col>12</xdr:col>
      <xdr:colOff>47625</xdr:colOff>
      <xdr:row>57</xdr:row>
      <xdr:rowOff>76200</xdr:rowOff>
    </xdr:to>
    <xdr:pic>
      <xdr:nvPicPr>
        <xdr:cNvPr id="5" name="תמונה 6" descr="image007">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323575" y="6515100"/>
          <a:ext cx="6915150" cy="306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44409</xdr:colOff>
      <xdr:row>2</xdr:row>
      <xdr:rowOff>9525</xdr:rowOff>
    </xdr:from>
    <xdr:to>
      <xdr:col>11</xdr:col>
      <xdr:colOff>466725</xdr:colOff>
      <xdr:row>26</xdr:row>
      <xdr:rowOff>114300</xdr:rowOff>
    </xdr:to>
    <xdr:pic>
      <xdr:nvPicPr>
        <xdr:cNvPr id="2" name="תמונה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0514075" y="333375"/>
          <a:ext cx="5908716" cy="399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200883</xdr:colOff>
      <xdr:row>27</xdr:row>
      <xdr:rowOff>19050</xdr:rowOff>
    </xdr:from>
    <xdr:to>
      <xdr:col>11</xdr:col>
      <xdr:colOff>419100</xdr:colOff>
      <xdr:row>47</xdr:row>
      <xdr:rowOff>152400</xdr:rowOff>
    </xdr:to>
    <xdr:pic>
      <xdr:nvPicPr>
        <xdr:cNvPr id="3" name="תמונה 2">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0561700" y="4391025"/>
          <a:ext cx="4485417" cy="3371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304799</xdr:colOff>
      <xdr:row>49</xdr:row>
      <xdr:rowOff>19736</xdr:rowOff>
    </xdr:from>
    <xdr:to>
      <xdr:col>11</xdr:col>
      <xdr:colOff>571499</xdr:colOff>
      <xdr:row>70</xdr:row>
      <xdr:rowOff>9525</xdr:rowOff>
    </xdr:to>
    <xdr:pic>
      <xdr:nvPicPr>
        <xdr:cNvPr id="4" name="תמונה 3">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409301" y="7954061"/>
          <a:ext cx="4533900" cy="3390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333375</xdr:colOff>
      <xdr:row>71</xdr:row>
      <xdr:rowOff>28575</xdr:rowOff>
    </xdr:from>
    <xdr:to>
      <xdr:col>11</xdr:col>
      <xdr:colOff>600075</xdr:colOff>
      <xdr:row>91</xdr:row>
      <xdr:rowOff>152916</xdr:rowOff>
    </xdr:to>
    <xdr:pic>
      <xdr:nvPicPr>
        <xdr:cNvPr id="6" name="תמונה 5">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380725" y="11525250"/>
          <a:ext cx="4533900" cy="3362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340123</xdr:colOff>
      <xdr:row>92</xdr:row>
      <xdr:rowOff>133349</xdr:rowOff>
    </xdr:from>
    <xdr:to>
      <xdr:col>11</xdr:col>
      <xdr:colOff>590549</xdr:colOff>
      <xdr:row>113</xdr:row>
      <xdr:rowOff>95249</xdr:rowOff>
    </xdr:to>
    <xdr:pic>
      <xdr:nvPicPr>
        <xdr:cNvPr id="8" name="תמונה 7">
          <a:extLst>
            <a:ext uri="{FF2B5EF4-FFF2-40B4-BE49-F238E27FC236}">
              <a16:creationId xmlns:a16="http://schemas.microsoft.com/office/drawing/2014/main" id="{00000000-0008-0000-11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980390251" y="15030449"/>
          <a:ext cx="4517626" cy="3362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361950</xdr:colOff>
      <xdr:row>114</xdr:row>
      <xdr:rowOff>145738</xdr:rowOff>
    </xdr:from>
    <xdr:to>
      <xdr:col>11</xdr:col>
      <xdr:colOff>581025</xdr:colOff>
      <xdr:row>135</xdr:row>
      <xdr:rowOff>102176</xdr:rowOff>
    </xdr:to>
    <xdr:pic>
      <xdr:nvPicPr>
        <xdr:cNvPr id="10" name="תמונה 9">
          <a:extLst>
            <a:ext uri="{FF2B5EF4-FFF2-40B4-BE49-F238E27FC236}">
              <a16:creationId xmlns:a16="http://schemas.microsoft.com/office/drawing/2014/main" id="{00000000-0008-0000-1100-00000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980399775" y="18605188"/>
          <a:ext cx="4486275" cy="33568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2</xdr:row>
      <xdr:rowOff>38100</xdr:rowOff>
    </xdr:from>
    <xdr:to>
      <xdr:col>13</xdr:col>
      <xdr:colOff>400050</xdr:colOff>
      <xdr:row>24</xdr:row>
      <xdr:rowOff>38100</xdr:rowOff>
    </xdr:to>
    <xdr:pic>
      <xdr:nvPicPr>
        <xdr:cNvPr id="9" name="תמונה 8">
          <a:extLst>
            <a:ext uri="{FF2B5EF4-FFF2-40B4-BE49-F238E27FC236}">
              <a16:creationId xmlns:a16="http://schemas.microsoft.com/office/drawing/2014/main" id="{00000000-0008-0000-11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79361550" y="361950"/>
          <a:ext cx="7677150" cy="3562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0</xdr:colOff>
      <xdr:row>62</xdr:row>
      <xdr:rowOff>0</xdr:rowOff>
    </xdr:from>
    <xdr:to>
      <xdr:col>12</xdr:col>
      <xdr:colOff>152400</xdr:colOff>
      <xdr:row>100</xdr:row>
      <xdr:rowOff>85725</xdr:rowOff>
    </xdr:to>
    <xdr:pic>
      <xdr:nvPicPr>
        <xdr:cNvPr id="3" name="תמונה 2">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1133200" y="13639800"/>
          <a:ext cx="3867150" cy="6238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62</xdr:row>
      <xdr:rowOff>0</xdr:rowOff>
    </xdr:from>
    <xdr:to>
      <xdr:col>17</xdr:col>
      <xdr:colOff>504825</xdr:colOff>
      <xdr:row>108</xdr:row>
      <xdr:rowOff>66675</xdr:rowOff>
    </xdr:to>
    <xdr:pic>
      <xdr:nvPicPr>
        <xdr:cNvPr id="5" name="תמונה 4">
          <a:extLst>
            <a:ext uri="{FF2B5EF4-FFF2-40B4-BE49-F238E27FC236}">
              <a16:creationId xmlns:a16="http://schemas.microsoft.com/office/drawing/2014/main" id="{00000000-0008-0000-12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6818375" y="13639800"/>
          <a:ext cx="4019550" cy="7515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62</xdr:row>
      <xdr:rowOff>0</xdr:rowOff>
    </xdr:from>
    <xdr:to>
      <xdr:col>24</xdr:col>
      <xdr:colOff>323850</xdr:colOff>
      <xdr:row>95</xdr:row>
      <xdr:rowOff>95250</xdr:rowOff>
    </xdr:to>
    <xdr:pic>
      <xdr:nvPicPr>
        <xdr:cNvPr id="7" name="תמונה 6">
          <a:extLst>
            <a:ext uri="{FF2B5EF4-FFF2-40B4-BE49-F238E27FC236}">
              <a16:creationId xmlns:a16="http://schemas.microsoft.com/office/drawing/2014/main" id="{00000000-0008-0000-12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72732150" y="13639800"/>
          <a:ext cx="3981450" cy="543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133350</xdr:colOff>
      <xdr:row>121</xdr:row>
      <xdr:rowOff>28575</xdr:rowOff>
    </xdr:from>
    <xdr:to>
      <xdr:col>15</xdr:col>
      <xdr:colOff>457200</xdr:colOff>
      <xdr:row>138</xdr:row>
      <xdr:rowOff>19050</xdr:rowOff>
    </xdr:to>
    <xdr:graphicFrame macro="">
      <xdr:nvGraphicFramePr>
        <xdr:cNvPr id="2" name="תרשים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141</xdr:row>
      <xdr:rowOff>0</xdr:rowOff>
    </xdr:from>
    <xdr:to>
      <xdr:col>15</xdr:col>
      <xdr:colOff>323850</xdr:colOff>
      <xdr:row>157</xdr:row>
      <xdr:rowOff>152400</xdr:rowOff>
    </xdr:to>
    <xdr:graphicFrame macro="">
      <xdr:nvGraphicFramePr>
        <xdr:cNvPr id="3" name="תרשים 2">
          <a:extLst>
            <a:ext uri="{FF2B5EF4-FFF2-40B4-BE49-F238E27FC236}">
              <a16:creationId xmlns:a16="http://schemas.microsoft.com/office/drawing/2014/main" id="{00000000-0008-0000-1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160</xdr:row>
      <xdr:rowOff>76200</xdr:rowOff>
    </xdr:from>
    <xdr:to>
      <xdr:col>15</xdr:col>
      <xdr:colOff>333375</xdr:colOff>
      <xdr:row>177</xdr:row>
      <xdr:rowOff>66675</xdr:rowOff>
    </xdr:to>
    <xdr:graphicFrame macro="">
      <xdr:nvGraphicFramePr>
        <xdr:cNvPr id="4" name="תרשים 3">
          <a:extLst>
            <a:ext uri="{FF2B5EF4-FFF2-40B4-BE49-F238E27FC236}">
              <a16:creationId xmlns:a16="http://schemas.microsoft.com/office/drawing/2014/main" id="{00000000-0008-0000-1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179</xdr:row>
      <xdr:rowOff>0</xdr:rowOff>
    </xdr:from>
    <xdr:to>
      <xdr:col>15</xdr:col>
      <xdr:colOff>323850</xdr:colOff>
      <xdr:row>195</xdr:row>
      <xdr:rowOff>152400</xdr:rowOff>
    </xdr:to>
    <xdr:graphicFrame macro="">
      <xdr:nvGraphicFramePr>
        <xdr:cNvPr id="5" name="תרשים 4">
          <a:extLst>
            <a:ext uri="{FF2B5EF4-FFF2-40B4-BE49-F238E27FC236}">
              <a16:creationId xmlns:a16="http://schemas.microsoft.com/office/drawing/2014/main" id="{00000000-0008-0000-1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209550</xdr:colOff>
      <xdr:row>198</xdr:row>
      <xdr:rowOff>142875</xdr:rowOff>
    </xdr:from>
    <xdr:to>
      <xdr:col>13</xdr:col>
      <xdr:colOff>257175</xdr:colOff>
      <xdr:row>215</xdr:row>
      <xdr:rowOff>133350</xdr:rowOff>
    </xdr:to>
    <xdr:graphicFrame macro="">
      <xdr:nvGraphicFramePr>
        <xdr:cNvPr id="6" name="תרשים 5">
          <a:extLst>
            <a:ext uri="{FF2B5EF4-FFF2-40B4-BE49-F238E27FC236}">
              <a16:creationId xmlns:a16="http://schemas.microsoft.com/office/drawing/2014/main" id="{00000000-0008-0000-1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218</xdr:row>
      <xdr:rowOff>0</xdr:rowOff>
    </xdr:from>
    <xdr:to>
      <xdr:col>15</xdr:col>
      <xdr:colOff>323850</xdr:colOff>
      <xdr:row>234</xdr:row>
      <xdr:rowOff>152400</xdr:rowOff>
    </xdr:to>
    <xdr:graphicFrame macro="">
      <xdr:nvGraphicFramePr>
        <xdr:cNvPr id="7" name="תרשים 5">
          <a:extLst>
            <a:ext uri="{FF2B5EF4-FFF2-40B4-BE49-F238E27FC236}">
              <a16:creationId xmlns:a16="http://schemas.microsoft.com/office/drawing/2014/main" id="{00000000-0008-0000-1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237</xdr:row>
      <xdr:rowOff>0</xdr:rowOff>
    </xdr:from>
    <xdr:to>
      <xdr:col>15</xdr:col>
      <xdr:colOff>323850</xdr:colOff>
      <xdr:row>253</xdr:row>
      <xdr:rowOff>152400</xdr:rowOff>
    </xdr:to>
    <xdr:graphicFrame macro="">
      <xdr:nvGraphicFramePr>
        <xdr:cNvPr id="8" name="תרשים 6">
          <a:extLst>
            <a:ext uri="{FF2B5EF4-FFF2-40B4-BE49-F238E27FC236}">
              <a16:creationId xmlns:a16="http://schemas.microsoft.com/office/drawing/2014/main" id="{00000000-0008-0000-1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0</xdr:colOff>
      <xdr:row>141</xdr:row>
      <xdr:rowOff>0</xdr:rowOff>
    </xdr:from>
    <xdr:to>
      <xdr:col>32</xdr:col>
      <xdr:colOff>304800</xdr:colOff>
      <xdr:row>157</xdr:row>
      <xdr:rowOff>152400</xdr:rowOff>
    </xdr:to>
    <xdr:graphicFrame macro="">
      <xdr:nvGraphicFramePr>
        <xdr:cNvPr id="9" name="תרשים 2">
          <a:extLst>
            <a:ext uri="{FF2B5EF4-FFF2-40B4-BE49-F238E27FC236}">
              <a16:creationId xmlns:a16="http://schemas.microsoft.com/office/drawing/2014/main" id="{00000000-0008-0000-1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9525</xdr:colOff>
      <xdr:row>160</xdr:row>
      <xdr:rowOff>85725</xdr:rowOff>
    </xdr:from>
    <xdr:to>
      <xdr:col>32</xdr:col>
      <xdr:colOff>314325</xdr:colOff>
      <xdr:row>177</xdr:row>
      <xdr:rowOff>76200</xdr:rowOff>
    </xdr:to>
    <xdr:graphicFrame macro="">
      <xdr:nvGraphicFramePr>
        <xdr:cNvPr id="10" name="תרשים 4">
          <a:extLst>
            <a:ext uri="{FF2B5EF4-FFF2-40B4-BE49-F238E27FC236}">
              <a16:creationId xmlns:a16="http://schemas.microsoft.com/office/drawing/2014/main" id="{00000000-0008-0000-1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0</xdr:colOff>
      <xdr:row>141</xdr:row>
      <xdr:rowOff>0</xdr:rowOff>
    </xdr:from>
    <xdr:to>
      <xdr:col>41</xdr:col>
      <xdr:colOff>304800</xdr:colOff>
      <xdr:row>157</xdr:row>
      <xdr:rowOff>152400</xdr:rowOff>
    </xdr:to>
    <xdr:graphicFrame macro="">
      <xdr:nvGraphicFramePr>
        <xdr:cNvPr id="11" name="תרשים 2">
          <a:extLst>
            <a:ext uri="{FF2B5EF4-FFF2-40B4-BE49-F238E27FC236}">
              <a16:creationId xmlns:a16="http://schemas.microsoft.com/office/drawing/2014/main" id="{00000000-0008-0000-1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34</xdr:col>
      <xdr:colOff>0</xdr:colOff>
      <xdr:row>160</xdr:row>
      <xdr:rowOff>0</xdr:rowOff>
    </xdr:from>
    <xdr:to>
      <xdr:col>41</xdr:col>
      <xdr:colOff>304800</xdr:colOff>
      <xdr:row>176</xdr:row>
      <xdr:rowOff>152400</xdr:rowOff>
    </xdr:to>
    <xdr:graphicFrame macro="">
      <xdr:nvGraphicFramePr>
        <xdr:cNvPr id="12" name="תרשים 4">
          <a:extLst>
            <a:ext uri="{FF2B5EF4-FFF2-40B4-BE49-F238E27FC236}">
              <a16:creationId xmlns:a16="http://schemas.microsoft.com/office/drawing/2014/main" id="{00000000-0008-0000-1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0</xdr:colOff>
      <xdr:row>199</xdr:row>
      <xdr:rowOff>0</xdr:rowOff>
    </xdr:from>
    <xdr:to>
      <xdr:col>32</xdr:col>
      <xdr:colOff>304800</xdr:colOff>
      <xdr:row>215</xdr:row>
      <xdr:rowOff>152400</xdr:rowOff>
    </xdr:to>
    <xdr:graphicFrame macro="">
      <xdr:nvGraphicFramePr>
        <xdr:cNvPr id="13" name="תרשים 5">
          <a:extLst>
            <a:ext uri="{FF2B5EF4-FFF2-40B4-BE49-F238E27FC236}">
              <a16:creationId xmlns:a16="http://schemas.microsoft.com/office/drawing/2014/main" id="{00000000-0008-0000-1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34</xdr:col>
      <xdr:colOff>0</xdr:colOff>
      <xdr:row>199</xdr:row>
      <xdr:rowOff>0</xdr:rowOff>
    </xdr:from>
    <xdr:to>
      <xdr:col>42</xdr:col>
      <xdr:colOff>304800</xdr:colOff>
      <xdr:row>215</xdr:row>
      <xdr:rowOff>152400</xdr:rowOff>
    </xdr:to>
    <xdr:graphicFrame macro="">
      <xdr:nvGraphicFramePr>
        <xdr:cNvPr id="14" name="תרשים 5">
          <a:extLst>
            <a:ext uri="{FF2B5EF4-FFF2-40B4-BE49-F238E27FC236}">
              <a16:creationId xmlns:a16="http://schemas.microsoft.com/office/drawing/2014/main" id="{00000000-0008-0000-1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43</xdr:col>
      <xdr:colOff>0</xdr:colOff>
      <xdr:row>141</xdr:row>
      <xdr:rowOff>0</xdr:rowOff>
    </xdr:from>
    <xdr:to>
      <xdr:col>50</xdr:col>
      <xdr:colOff>304800</xdr:colOff>
      <xdr:row>157</xdr:row>
      <xdr:rowOff>152400</xdr:rowOff>
    </xdr:to>
    <xdr:graphicFrame macro="">
      <xdr:nvGraphicFramePr>
        <xdr:cNvPr id="15" name="תרשים 2">
          <a:extLst>
            <a:ext uri="{FF2B5EF4-FFF2-40B4-BE49-F238E27FC236}">
              <a16:creationId xmlns:a16="http://schemas.microsoft.com/office/drawing/2014/main" id="{00000000-0008-0000-1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43</xdr:col>
      <xdr:colOff>0</xdr:colOff>
      <xdr:row>160</xdr:row>
      <xdr:rowOff>0</xdr:rowOff>
    </xdr:from>
    <xdr:to>
      <xdr:col>50</xdr:col>
      <xdr:colOff>304800</xdr:colOff>
      <xdr:row>176</xdr:row>
      <xdr:rowOff>152400</xdr:rowOff>
    </xdr:to>
    <xdr:graphicFrame macro="">
      <xdr:nvGraphicFramePr>
        <xdr:cNvPr id="16" name="תרשים 4">
          <a:extLst>
            <a:ext uri="{FF2B5EF4-FFF2-40B4-BE49-F238E27FC236}">
              <a16:creationId xmlns:a16="http://schemas.microsoft.com/office/drawing/2014/main" id="{00000000-0008-0000-15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44</xdr:col>
      <xdr:colOff>0</xdr:colOff>
      <xdr:row>199</xdr:row>
      <xdr:rowOff>0</xdr:rowOff>
    </xdr:from>
    <xdr:to>
      <xdr:col>52</xdr:col>
      <xdr:colOff>304800</xdr:colOff>
      <xdr:row>215</xdr:row>
      <xdr:rowOff>152400</xdr:rowOff>
    </xdr:to>
    <xdr:graphicFrame macro="">
      <xdr:nvGraphicFramePr>
        <xdr:cNvPr id="17" name="תרשים 5">
          <a:extLst>
            <a:ext uri="{FF2B5EF4-FFF2-40B4-BE49-F238E27FC236}">
              <a16:creationId xmlns:a16="http://schemas.microsoft.com/office/drawing/2014/main" id="{00000000-0008-0000-1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0</xdr:colOff>
      <xdr:row>237</xdr:row>
      <xdr:rowOff>0</xdr:rowOff>
    </xdr:from>
    <xdr:to>
      <xdr:col>31</xdr:col>
      <xdr:colOff>304800</xdr:colOff>
      <xdr:row>253</xdr:row>
      <xdr:rowOff>152400</xdr:rowOff>
    </xdr:to>
    <xdr:graphicFrame macro="">
      <xdr:nvGraphicFramePr>
        <xdr:cNvPr id="18" name="תרשים 6">
          <a:extLst>
            <a:ext uri="{FF2B5EF4-FFF2-40B4-BE49-F238E27FC236}">
              <a16:creationId xmlns:a16="http://schemas.microsoft.com/office/drawing/2014/main" id="{00000000-0008-0000-15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0</xdr:colOff>
      <xdr:row>256</xdr:row>
      <xdr:rowOff>0</xdr:rowOff>
    </xdr:from>
    <xdr:to>
      <xdr:col>31</xdr:col>
      <xdr:colOff>304800</xdr:colOff>
      <xdr:row>272</xdr:row>
      <xdr:rowOff>152400</xdr:rowOff>
    </xdr:to>
    <xdr:graphicFrame macro="">
      <xdr:nvGraphicFramePr>
        <xdr:cNvPr id="19" name="תרשים 6">
          <a:extLst>
            <a:ext uri="{FF2B5EF4-FFF2-40B4-BE49-F238E27FC236}">
              <a16:creationId xmlns:a16="http://schemas.microsoft.com/office/drawing/2014/main" id="{00000000-0008-0000-15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23</xdr:col>
      <xdr:colOff>38100</xdr:colOff>
      <xdr:row>122</xdr:row>
      <xdr:rowOff>76200</xdr:rowOff>
    </xdr:from>
    <xdr:to>
      <xdr:col>31</xdr:col>
      <xdr:colOff>390525</xdr:colOff>
      <xdr:row>139</xdr:row>
      <xdr:rowOff>66675</xdr:rowOff>
    </xdr:to>
    <xdr:graphicFrame macro="">
      <xdr:nvGraphicFramePr>
        <xdr:cNvPr id="20" name="תרשים 20">
          <a:extLst>
            <a:ext uri="{FF2B5EF4-FFF2-40B4-BE49-F238E27FC236}">
              <a16:creationId xmlns:a16="http://schemas.microsoft.com/office/drawing/2014/main" id="{00000000-0008-0000-15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0</xdr:colOff>
      <xdr:row>256</xdr:row>
      <xdr:rowOff>152400</xdr:rowOff>
    </xdr:from>
    <xdr:to>
      <xdr:col>14</xdr:col>
      <xdr:colOff>9525</xdr:colOff>
      <xdr:row>273</xdr:row>
      <xdr:rowOff>142875</xdr:rowOff>
    </xdr:to>
    <xdr:graphicFrame macro="">
      <xdr:nvGraphicFramePr>
        <xdr:cNvPr id="21" name="תרשים 5">
          <a:extLst>
            <a:ext uri="{FF2B5EF4-FFF2-40B4-BE49-F238E27FC236}">
              <a16:creationId xmlns:a16="http://schemas.microsoft.com/office/drawing/2014/main" id="{00000000-0008-0000-1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23</xdr:col>
      <xdr:colOff>0</xdr:colOff>
      <xdr:row>276</xdr:row>
      <xdr:rowOff>0</xdr:rowOff>
    </xdr:from>
    <xdr:to>
      <xdr:col>31</xdr:col>
      <xdr:colOff>304800</xdr:colOff>
      <xdr:row>292</xdr:row>
      <xdr:rowOff>152400</xdr:rowOff>
    </xdr:to>
    <xdr:graphicFrame macro="">
      <xdr:nvGraphicFramePr>
        <xdr:cNvPr id="22" name="תרשים 6">
          <a:extLst>
            <a:ext uri="{FF2B5EF4-FFF2-40B4-BE49-F238E27FC236}">
              <a16:creationId xmlns:a16="http://schemas.microsoft.com/office/drawing/2014/main" id="{00000000-0008-0000-15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23</xdr:col>
      <xdr:colOff>0</xdr:colOff>
      <xdr:row>295</xdr:row>
      <xdr:rowOff>0</xdr:rowOff>
    </xdr:from>
    <xdr:to>
      <xdr:col>31</xdr:col>
      <xdr:colOff>304800</xdr:colOff>
      <xdr:row>311</xdr:row>
      <xdr:rowOff>152400</xdr:rowOff>
    </xdr:to>
    <xdr:graphicFrame macro="">
      <xdr:nvGraphicFramePr>
        <xdr:cNvPr id="23" name="תרשים 6">
          <a:extLst>
            <a:ext uri="{FF2B5EF4-FFF2-40B4-BE49-F238E27FC236}">
              <a16:creationId xmlns:a16="http://schemas.microsoft.com/office/drawing/2014/main" id="{00000000-0008-0000-15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23</xdr:col>
      <xdr:colOff>38100</xdr:colOff>
      <xdr:row>122</xdr:row>
      <xdr:rowOff>38100</xdr:rowOff>
    </xdr:from>
    <xdr:to>
      <xdr:col>24</xdr:col>
      <xdr:colOff>533400</xdr:colOff>
      <xdr:row>123</xdr:row>
      <xdr:rowOff>95250</xdr:rowOff>
    </xdr:to>
    <xdr:sp macro="" textlink="">
      <xdr:nvSpPr>
        <xdr:cNvPr id="24" name="TextBox 23">
          <a:extLst>
            <a:ext uri="{FF2B5EF4-FFF2-40B4-BE49-F238E27FC236}">
              <a16:creationId xmlns:a16="http://schemas.microsoft.com/office/drawing/2014/main" id="{00000000-0008-0000-1500-000018000000}"/>
            </a:ext>
          </a:extLst>
        </xdr:cNvPr>
        <xdr:cNvSpPr txBox="1"/>
      </xdr:nvSpPr>
      <xdr:spPr>
        <a:xfrm>
          <a:off x="13420725" y="21155025"/>
          <a:ext cx="11049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1" anchor="ctr"/>
        <a:lstStyle/>
        <a:p>
          <a:pPr algn="ctr"/>
          <a:r>
            <a:rPr lang="en-US" sz="1200" b="0">
              <a:latin typeface="FbKolya Regular" pitchFamily="18" charset="-79"/>
              <a:cs typeface="FbKolya Regular" pitchFamily="18" charset="-79"/>
            </a:rPr>
            <a:t>Million tonnes</a:t>
          </a:r>
          <a:endParaRPr lang="he-IL" sz="1200" b="0">
            <a:latin typeface="FbKolya Regular" pitchFamily="18" charset="-79"/>
            <a:cs typeface="FbKolya Regular" pitchFamily="18" charset="-79"/>
          </a:endParaRPr>
        </a:p>
      </xdr:txBody>
    </xdr:sp>
    <xdr:clientData/>
  </xdr:twoCellAnchor>
  <xdr:twoCellAnchor>
    <xdr:from>
      <xdr:col>40</xdr:col>
      <xdr:colOff>0</xdr:colOff>
      <xdr:row>122</xdr:row>
      <xdr:rowOff>0</xdr:rowOff>
    </xdr:from>
    <xdr:to>
      <xdr:col>48</xdr:col>
      <xdr:colOff>352425</xdr:colOff>
      <xdr:row>138</xdr:row>
      <xdr:rowOff>152400</xdr:rowOff>
    </xdr:to>
    <xdr:graphicFrame macro="">
      <xdr:nvGraphicFramePr>
        <xdr:cNvPr id="25" name="תרשים 20">
          <a:extLst>
            <a:ext uri="{FF2B5EF4-FFF2-40B4-BE49-F238E27FC236}">
              <a16:creationId xmlns:a16="http://schemas.microsoft.com/office/drawing/2014/main" id="{00000000-0008-0000-15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xdr:col>
      <xdr:colOff>104775</xdr:colOff>
      <xdr:row>199</xdr:row>
      <xdr:rowOff>19050</xdr:rowOff>
    </xdr:from>
    <xdr:to>
      <xdr:col>24</xdr:col>
      <xdr:colOff>171450</xdr:colOff>
      <xdr:row>216</xdr:row>
      <xdr:rowOff>9525</xdr:rowOff>
    </xdr:to>
    <xdr:graphicFrame macro="">
      <xdr:nvGraphicFramePr>
        <xdr:cNvPr id="26" name="תרשים 5">
          <a:extLst>
            <a:ext uri="{FF2B5EF4-FFF2-40B4-BE49-F238E27FC236}">
              <a16:creationId xmlns:a16="http://schemas.microsoft.com/office/drawing/2014/main" id="{00000000-0008-0000-15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12</xdr:col>
      <xdr:colOff>99483</xdr:colOff>
      <xdr:row>255</xdr:row>
      <xdr:rowOff>74083</xdr:rowOff>
    </xdr:from>
    <xdr:to>
      <xdr:col>22</xdr:col>
      <xdr:colOff>42333</xdr:colOff>
      <xdr:row>272</xdr:row>
      <xdr:rowOff>67733</xdr:rowOff>
    </xdr:to>
    <xdr:graphicFrame macro="">
      <xdr:nvGraphicFramePr>
        <xdr:cNvPr id="27" name="תרשים 5">
          <a:extLst>
            <a:ext uri="{FF2B5EF4-FFF2-40B4-BE49-F238E27FC236}">
              <a16:creationId xmlns:a16="http://schemas.microsoft.com/office/drawing/2014/main" id="{00000000-0008-0000-15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33</xdr:col>
      <xdr:colOff>0</xdr:colOff>
      <xdr:row>276</xdr:row>
      <xdr:rowOff>0</xdr:rowOff>
    </xdr:from>
    <xdr:to>
      <xdr:col>41</xdr:col>
      <xdr:colOff>304800</xdr:colOff>
      <xdr:row>292</xdr:row>
      <xdr:rowOff>152400</xdr:rowOff>
    </xdr:to>
    <xdr:graphicFrame macro="">
      <xdr:nvGraphicFramePr>
        <xdr:cNvPr id="28" name="תרשים 6">
          <a:extLst>
            <a:ext uri="{FF2B5EF4-FFF2-40B4-BE49-F238E27FC236}">
              <a16:creationId xmlns:a16="http://schemas.microsoft.com/office/drawing/2014/main" id="{00000000-0008-0000-15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17</xdr:col>
      <xdr:colOff>368300</xdr:colOff>
      <xdr:row>259</xdr:row>
      <xdr:rowOff>25400</xdr:rowOff>
    </xdr:from>
    <xdr:to>
      <xdr:col>21</xdr:col>
      <xdr:colOff>677333</xdr:colOff>
      <xdr:row>263</xdr:row>
      <xdr:rowOff>63500</xdr:rowOff>
    </xdr:to>
    <xdr:sp macro="" textlink="">
      <xdr:nvSpPr>
        <xdr:cNvPr id="29" name="TextBox 28">
          <a:extLst>
            <a:ext uri="{FF2B5EF4-FFF2-40B4-BE49-F238E27FC236}">
              <a16:creationId xmlns:a16="http://schemas.microsoft.com/office/drawing/2014/main" id="{00000000-0008-0000-1500-00001D000000}"/>
            </a:ext>
          </a:extLst>
        </xdr:cNvPr>
        <xdr:cNvSpPr txBox="1"/>
      </xdr:nvSpPr>
      <xdr:spPr>
        <a:xfrm>
          <a:off x="12380383" y="42199983"/>
          <a:ext cx="3558117" cy="673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1" anchor="ctr"/>
        <a:lstStyle/>
        <a:p>
          <a:pPr algn="ctr"/>
          <a:r>
            <a:rPr lang="en-US" sz="4000">
              <a:solidFill>
                <a:schemeClr val="bg1">
                  <a:lumMod val="75000"/>
                </a:schemeClr>
              </a:solidFill>
              <a:effectLst>
                <a:outerShdw blurRad="50800" dist="38100" dir="5400000" algn="t" rotWithShape="0">
                  <a:prstClr val="black">
                    <a:alpha val="40000"/>
                  </a:prstClr>
                </a:outerShdw>
              </a:effectLst>
              <a:latin typeface="FbKolya Regular" pitchFamily="18" charset="-79"/>
              <a:cs typeface="FbKolya Regular" pitchFamily="18" charset="-79"/>
            </a:rPr>
            <a:t>Nominal</a:t>
          </a:r>
          <a:endParaRPr lang="he-IL" sz="4000">
            <a:solidFill>
              <a:schemeClr val="bg1">
                <a:lumMod val="75000"/>
              </a:schemeClr>
            </a:solidFill>
            <a:effectLst>
              <a:outerShdw blurRad="50800" dist="38100" dir="5400000" algn="t" rotWithShape="0">
                <a:prstClr val="black">
                  <a:alpha val="40000"/>
                </a:prstClr>
              </a:outerShdw>
            </a:effectLst>
            <a:latin typeface="FbKolya Regular" pitchFamily="18" charset="-79"/>
            <a:cs typeface="FbKolya Regular" pitchFamily="18" charset="-79"/>
          </a:endParaRPr>
        </a:p>
      </xdr:txBody>
    </xdr:sp>
    <xdr:clientData/>
  </xdr:twoCellAnchor>
  <xdr:twoCellAnchor editAs="oneCell">
    <xdr:from>
      <xdr:col>3</xdr:col>
      <xdr:colOff>455083</xdr:colOff>
      <xdr:row>276</xdr:row>
      <xdr:rowOff>105833</xdr:rowOff>
    </xdr:from>
    <xdr:to>
      <xdr:col>13</xdr:col>
      <xdr:colOff>52916</xdr:colOff>
      <xdr:row>300</xdr:row>
      <xdr:rowOff>53975</xdr:rowOff>
    </xdr:to>
    <xdr:pic>
      <xdr:nvPicPr>
        <xdr:cNvPr id="8222" name="Picture 30">
          <a:extLst>
            <a:ext uri="{FF2B5EF4-FFF2-40B4-BE49-F238E27FC236}">
              <a16:creationId xmlns:a16="http://schemas.microsoft.com/office/drawing/2014/main" id="{00000000-0008-0000-1500-00001E200000}"/>
            </a:ext>
          </a:extLst>
        </xdr:cNvPr>
        <xdr:cNvPicPr>
          <a:picLocks noChangeAspect="1" noChangeArrowheads="1"/>
        </xdr:cNvPicPr>
      </xdr:nvPicPr>
      <xdr:blipFill>
        <a:blip xmlns:r="http://schemas.openxmlformats.org/officeDocument/2006/relationships" r:embed="rId27" cstate="print"/>
        <a:srcRect/>
        <a:stretch>
          <a:fillRect/>
        </a:stretch>
      </xdr:blipFill>
      <xdr:spPr bwMode="auto">
        <a:xfrm>
          <a:off x="2106083" y="44979166"/>
          <a:ext cx="6858000" cy="3758142"/>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15</xdr:col>
          <xdr:colOff>0</xdr:colOff>
          <xdr:row>0</xdr:row>
          <xdr:rowOff>0</xdr:rowOff>
        </xdr:from>
        <xdr:to>
          <xdr:col>16</xdr:col>
          <xdr:colOff>142875</xdr:colOff>
          <xdr:row>4</xdr:row>
          <xdr:rowOff>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600-000001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0</xdr:row>
          <xdr:rowOff>0</xdr:rowOff>
        </xdr:from>
        <xdr:to>
          <xdr:col>29</xdr:col>
          <xdr:colOff>0</xdr:colOff>
          <xdr:row>4</xdr:row>
          <xdr:rowOff>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1600-000002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4.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TextBox 23"/>
        <cdr:cNvSpPr txBox="1"/>
      </cdr:nvSpPr>
      <cdr:spPr>
        <a:xfrm xmlns:a="http://schemas.openxmlformats.org/drawingml/2006/main">
          <a:off x="0" y="0"/>
          <a:ext cx="1104900" cy="219075"/>
        </a:xfrm>
        <a:prstGeom xmlns:a="http://schemas.openxmlformats.org/drawingml/2006/main" prst="rect">
          <a:avLst/>
        </a:prstGeom>
        <a:solidFill xmlns:a="http://schemas.openxmlformats.org/drawingml/2006/main">
          <a:sysClr val="window" lastClr="FFFFFF"/>
        </a:solidFill>
        <a:ln xmlns:a="http://schemas.openxmlformats.org/drawingml/2006/main" w="9525" cmpd="sng">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1" anchor="ct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r>
            <a:rPr lang="en-US" sz="1200" b="0">
              <a:latin typeface="FbKolya Regular" pitchFamily="18" charset="-79"/>
              <a:cs typeface="FbKolya Regular" pitchFamily="18" charset="-79"/>
            </a:rPr>
            <a:t>Million tonnes</a:t>
          </a:r>
          <a:endParaRPr lang="he-IL" sz="1200" b="0">
            <a:latin typeface="FbKolya Regular" pitchFamily="18" charset="-79"/>
            <a:cs typeface="FbKolya Regular" pitchFamily="18" charset="-79"/>
          </a:endParaRPr>
        </a:p>
      </cdr:txBody>
    </cdr:sp>
  </cdr:relSizeAnchor>
</c:userShapes>
</file>

<file path=xl/drawings/drawing15.xml><?xml version="1.0" encoding="utf-8"?>
<xdr:wsDr xmlns:xdr="http://schemas.openxmlformats.org/drawingml/2006/spreadsheetDrawing" xmlns:a="http://schemas.openxmlformats.org/drawingml/2006/main">
  <xdr:absoluteAnchor>
    <xdr:pos x="2562225" y="2143125"/>
    <xdr:ext cx="4933950" cy="2819400"/>
    <xdr:graphicFrame macro="">
      <xdr:nvGraphicFramePr>
        <xdr:cNvPr id="5" name="תרשים 4">
          <a:extLst>
            <a:ext uri="{FF2B5EF4-FFF2-40B4-BE49-F238E27FC236}">
              <a16:creationId xmlns:a16="http://schemas.microsoft.com/office/drawing/2014/main" id="{00000000-0008-0000-16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bwMode="auto">
        <a:solidFill>
          <a:srgbClr val="FFFFFF"/>
        </a:solidFill>
        <a:ln w="9525">
          <a:noFill/>
          <a:miter lim="800000"/>
          <a:headEnd/>
          <a:tailEnd/>
        </a:ln>
      </a:spPr>
      <a:bodyPr vertOverflow="clip" wrap="square" lIns="91440" tIns="45720" rIns="91440" bIns="45720" anchor="t" upright="1"/>
      <a:lstStyle>
        <a:defPPr algn="r" rtl="1">
          <a:defRPr sz="900" b="0" i="0" strike="noStrike">
            <a:solidFill>
              <a:srgbClr val="002060"/>
            </a:solidFill>
            <a:latin typeface="Wingdings"/>
          </a:defRPr>
        </a:defPPr>
      </a:lst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3" Type="http://schemas.openxmlformats.org/officeDocument/2006/relationships/oleObject" Target="../embeddings/Microsoft_Word_97_-_2003_Document.doc"/><Relationship Id="rId2" Type="http://schemas.openxmlformats.org/officeDocument/2006/relationships/vmlDrawing" Target="../drawings/vmlDrawing8.vml"/><Relationship Id="rId1" Type="http://schemas.openxmlformats.org/officeDocument/2006/relationships/drawing" Target="../drawings/drawing13.xml"/><Relationship Id="rId6" Type="http://schemas.openxmlformats.org/officeDocument/2006/relationships/comments" Target="../comments8.xml"/><Relationship Id="rId5" Type="http://schemas.openxmlformats.org/officeDocument/2006/relationships/oleObject" Target="../embeddings/Microsoft_Word_97_-_2003_Document1.doc"/><Relationship Id="rId4" Type="http://schemas.openxmlformats.org/officeDocument/2006/relationships/image" Target="../media/image21.emf"/></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Z296"/>
  <sheetViews>
    <sheetView rightToLeft="1" tabSelected="1" topLeftCell="B97" zoomScale="115" zoomScaleNormal="115" workbookViewId="0">
      <selection activeCell="P146" sqref="P146"/>
    </sheetView>
  </sheetViews>
  <sheetFormatPr defaultColWidth="9" defaultRowHeight="15" x14ac:dyDescent="0.25"/>
  <cols>
    <col min="1" max="1" width="9" style="536"/>
    <col min="2" max="2" width="31.85546875" style="536" customWidth="1"/>
    <col min="3" max="7" width="8.5703125" style="615" customWidth="1"/>
    <col min="8" max="8" width="11" style="615" customWidth="1"/>
    <col min="9" max="11" width="8.5703125" style="615" customWidth="1"/>
    <col min="12" max="13" width="8.5703125" style="615" hidden="1" customWidth="1"/>
    <col min="14" max="14" width="2.85546875" style="593" customWidth="1"/>
    <col min="15" max="15" width="9.28515625" style="615" customWidth="1"/>
    <col min="16" max="16" width="7.42578125" style="615" customWidth="1"/>
    <col min="17" max="21" width="9.28515625" style="615" customWidth="1"/>
    <col min="22" max="22" width="9" style="615" customWidth="1"/>
    <col min="23" max="44" width="9.28515625" style="615" customWidth="1"/>
    <col min="45" max="16384" width="9" style="593"/>
  </cols>
  <sheetData>
    <row r="1" spans="1:44" s="536" customFormat="1" ht="36.75" customHeight="1" x14ac:dyDescent="0.25">
      <c r="B1" s="537" t="s">
        <v>728</v>
      </c>
      <c r="C1" s="538"/>
      <c r="D1" s="538"/>
      <c r="E1" s="538"/>
      <c r="F1" s="538"/>
      <c r="G1" s="538"/>
      <c r="H1" s="538"/>
      <c r="I1" s="538"/>
      <c r="J1" s="538"/>
      <c r="K1" s="538"/>
      <c r="L1" s="538"/>
      <c r="M1" s="538"/>
      <c r="O1" s="538"/>
      <c r="P1" s="538"/>
      <c r="Q1" s="538"/>
      <c r="R1" s="538"/>
      <c r="S1" s="538"/>
      <c r="T1" s="538"/>
      <c r="U1" s="538"/>
      <c r="V1" s="538"/>
      <c r="W1" s="538"/>
      <c r="X1" s="538"/>
      <c r="Y1" s="538"/>
      <c r="Z1" s="538"/>
      <c r="AA1" s="538"/>
      <c r="AB1" s="538"/>
      <c r="AC1" s="538"/>
      <c r="AD1" s="538"/>
      <c r="AE1" s="538"/>
      <c r="AF1" s="538"/>
      <c r="AG1" s="538"/>
      <c r="AH1" s="538"/>
      <c r="AI1" s="538"/>
      <c r="AJ1" s="538"/>
      <c r="AK1" s="538"/>
      <c r="AL1" s="538"/>
      <c r="AM1" s="538"/>
      <c r="AN1" s="538"/>
      <c r="AO1" s="538"/>
      <c r="AP1" s="538"/>
      <c r="AQ1" s="538"/>
      <c r="AR1" s="538"/>
    </row>
    <row r="2" spans="1:44" s="536" customFormat="1" x14ac:dyDescent="0.25">
      <c r="A2" s="539" t="s">
        <v>627</v>
      </c>
      <c r="B2" s="540"/>
      <c r="C2" s="541" t="s">
        <v>919</v>
      </c>
      <c r="D2" s="541" t="s">
        <v>906</v>
      </c>
      <c r="E2" s="541" t="s">
        <v>881</v>
      </c>
      <c r="F2" s="541" t="s">
        <v>823</v>
      </c>
      <c r="G2" s="541" t="s">
        <v>815</v>
      </c>
      <c r="H2" s="541" t="s">
        <v>628</v>
      </c>
      <c r="I2" s="541" t="s">
        <v>629</v>
      </c>
      <c r="J2" s="541" t="s">
        <v>630</v>
      </c>
      <c r="K2" s="541" t="s">
        <v>631</v>
      </c>
      <c r="L2" s="541" t="s">
        <v>632</v>
      </c>
      <c r="M2" s="541" t="s">
        <v>633</v>
      </c>
      <c r="O2" s="541" t="s">
        <v>1045</v>
      </c>
      <c r="P2" s="541" t="s">
        <v>978</v>
      </c>
      <c r="Q2" s="541" t="s">
        <v>920</v>
      </c>
      <c r="R2" s="541" t="s">
        <v>915</v>
      </c>
      <c r="S2" s="541" t="s">
        <v>912</v>
      </c>
      <c r="T2" s="541" t="s">
        <v>908</v>
      </c>
      <c r="U2" s="541" t="s">
        <v>907</v>
      </c>
      <c r="V2" s="541" t="s">
        <v>888</v>
      </c>
      <c r="W2" s="541" t="s">
        <v>887</v>
      </c>
      <c r="X2" s="541" t="s">
        <v>882</v>
      </c>
      <c r="Y2" s="541" t="s">
        <v>880</v>
      </c>
      <c r="Z2" s="541" t="s">
        <v>879</v>
      </c>
      <c r="AA2" s="541" t="s">
        <v>878</v>
      </c>
      <c r="AB2" s="541" t="s">
        <v>842</v>
      </c>
      <c r="AC2" s="541" t="s">
        <v>824</v>
      </c>
      <c r="AD2" s="541" t="s">
        <v>822</v>
      </c>
      <c r="AE2" s="541" t="s">
        <v>821</v>
      </c>
      <c r="AF2" s="541" t="s">
        <v>816</v>
      </c>
      <c r="AG2" s="541" t="s">
        <v>814</v>
      </c>
      <c r="AH2" s="541" t="s">
        <v>812</v>
      </c>
      <c r="AI2" s="541" t="s">
        <v>634</v>
      </c>
      <c r="AJ2" s="541" t="s">
        <v>635</v>
      </c>
      <c r="AK2" s="541" t="s">
        <v>636</v>
      </c>
      <c r="AL2" s="541" t="s">
        <v>637</v>
      </c>
      <c r="AM2" s="541" t="s">
        <v>638</v>
      </c>
      <c r="AN2" s="541" t="s">
        <v>639</v>
      </c>
      <c r="AO2" s="541" t="s">
        <v>640</v>
      </c>
      <c r="AP2" s="541" t="s">
        <v>641</v>
      </c>
      <c r="AQ2" s="541" t="s">
        <v>642</v>
      </c>
      <c r="AR2" s="541" t="s">
        <v>643</v>
      </c>
    </row>
    <row r="3" spans="1:44" s="536" customFormat="1" x14ac:dyDescent="0.25">
      <c r="B3" s="542" t="s">
        <v>644</v>
      </c>
      <c r="C3" s="543">
        <v>6841</v>
      </c>
      <c r="D3" s="543">
        <v>7536</v>
      </c>
      <c r="E3" s="543">
        <v>10015</v>
      </c>
      <c r="F3" s="543">
        <v>6955</v>
      </c>
      <c r="G3" s="543">
        <v>5043</v>
      </c>
      <c r="H3" s="543">
        <v>5271</v>
      </c>
      <c r="I3" s="543">
        <v>5556</v>
      </c>
      <c r="J3" s="543">
        <v>5418</v>
      </c>
      <c r="K3" s="543">
        <v>5363</v>
      </c>
      <c r="L3" s="543">
        <v>5405</v>
      </c>
      <c r="M3" s="543">
        <v>6111</v>
      </c>
      <c r="O3" s="543">
        <v>1832</v>
      </c>
      <c r="P3" s="543">
        <v>1767</v>
      </c>
      <c r="Q3" s="543">
        <f>C3-R3-S3-T3</f>
        <v>1601</v>
      </c>
      <c r="R3" s="543">
        <v>1753</v>
      </c>
      <c r="S3" s="543">
        <v>1752</v>
      </c>
      <c r="T3" s="543">
        <v>1735</v>
      </c>
      <c r="U3" s="543">
        <f>D3-V3-W3-X3</f>
        <v>1742</v>
      </c>
      <c r="V3" s="543">
        <v>1862</v>
      </c>
      <c r="W3" s="543">
        <v>1834</v>
      </c>
      <c r="X3" s="543">
        <v>2098</v>
      </c>
      <c r="Y3" s="543">
        <f>E3-Z3-AA3-AB3</f>
        <v>2091</v>
      </c>
      <c r="Z3" s="543">
        <v>2519</v>
      </c>
      <c r="AA3" s="543">
        <v>2880</v>
      </c>
      <c r="AB3" s="543">
        <v>2525</v>
      </c>
      <c r="AC3" s="543">
        <f>F3-AD3-AE3-AF3</f>
        <v>2038</v>
      </c>
      <c r="AD3" s="543">
        <v>1790</v>
      </c>
      <c r="AE3" s="543">
        <v>1617</v>
      </c>
      <c r="AF3" s="543">
        <v>1510</v>
      </c>
      <c r="AG3" s="543">
        <f>G3-AH3-AI3-AJ3</f>
        <v>1317</v>
      </c>
      <c r="AH3" s="543">
        <v>1204</v>
      </c>
      <c r="AI3" s="543">
        <v>1203</v>
      </c>
      <c r="AJ3" s="543">
        <v>1319</v>
      </c>
      <c r="AK3" s="543">
        <f>H3-AL3-AM3-AN3</f>
        <v>1106</v>
      </c>
      <c r="AL3" s="543">
        <v>1325</v>
      </c>
      <c r="AM3" s="543">
        <v>1425</v>
      </c>
      <c r="AN3" s="543">
        <v>1415</v>
      </c>
      <c r="AO3" s="543">
        <f>I3-AP3-AQ3-AR3</f>
        <v>1410</v>
      </c>
      <c r="AP3" s="543">
        <v>1371</v>
      </c>
      <c r="AQ3" s="543">
        <v>1371</v>
      </c>
      <c r="AR3" s="543">
        <v>1404</v>
      </c>
    </row>
    <row r="4" spans="1:44" s="536" customFormat="1" x14ac:dyDescent="0.25">
      <c r="B4" s="544" t="s">
        <v>645</v>
      </c>
      <c r="C4" s="545">
        <v>-4585</v>
      </c>
      <c r="D4" s="545">
        <v>-4865</v>
      </c>
      <c r="E4" s="545">
        <v>-4983</v>
      </c>
      <c r="F4" s="545">
        <v>-4344</v>
      </c>
      <c r="G4" s="545">
        <v>-3553</v>
      </c>
      <c r="H4" s="545">
        <v>-3454</v>
      </c>
      <c r="I4" s="545">
        <v>-3702</v>
      </c>
      <c r="J4" s="545">
        <v>-3746</v>
      </c>
      <c r="K4" s="545">
        <v>-3703</v>
      </c>
      <c r="L4" s="545">
        <v>-3602</v>
      </c>
      <c r="M4" s="545">
        <v>-3915</v>
      </c>
      <c r="O4" s="545">
        <v>-1278</v>
      </c>
      <c r="P4" s="545">
        <v>-1207</v>
      </c>
      <c r="Q4" s="543">
        <f>C4-R4-S4-T4</f>
        <v>-1066</v>
      </c>
      <c r="R4" s="545">
        <v>-1157</v>
      </c>
      <c r="S4" s="545">
        <v>-1184</v>
      </c>
      <c r="T4" s="545">
        <v>-1178</v>
      </c>
      <c r="U4" s="545">
        <f>D4-V4-W4-X4</f>
        <v>-1130</v>
      </c>
      <c r="V4" s="545">
        <v>-1276</v>
      </c>
      <c r="W4" s="545">
        <v>-1189</v>
      </c>
      <c r="X4" s="545">
        <v>-1270</v>
      </c>
      <c r="Y4" s="545">
        <f>E4-Z4-AA4-AB4</f>
        <v>-1158</v>
      </c>
      <c r="Z4" s="545">
        <v>-1204</v>
      </c>
      <c r="AA4" s="545">
        <v>-1341</v>
      </c>
      <c r="AB4" s="545">
        <v>-1280</v>
      </c>
      <c r="AC4" s="543">
        <f>F4-AD4-AE4-AF4</f>
        <v>-1181</v>
      </c>
      <c r="AD4" s="545">
        <v>-1101</v>
      </c>
      <c r="AE4" s="545">
        <v>-1047</v>
      </c>
      <c r="AF4" s="545">
        <v>-1015</v>
      </c>
      <c r="AG4" s="543">
        <f>G4-AH4-AI4-AJ4</f>
        <v>-912</v>
      </c>
      <c r="AH4" s="545">
        <v>-839</v>
      </c>
      <c r="AI4" s="545">
        <v>-883</v>
      </c>
      <c r="AJ4" s="545">
        <v>-919</v>
      </c>
      <c r="AK4" s="545">
        <f>H4-AL4-AM4-AN4</f>
        <v>-770</v>
      </c>
      <c r="AL4" s="545">
        <v>-853</v>
      </c>
      <c r="AM4" s="545">
        <v>-917</v>
      </c>
      <c r="AN4" s="545">
        <v>-914</v>
      </c>
      <c r="AO4" s="545">
        <f>I4-AP4-AQ4-AR4</f>
        <v>-903</v>
      </c>
      <c r="AP4" s="545">
        <v>-913</v>
      </c>
      <c r="AQ4" s="545">
        <v>-913</v>
      </c>
      <c r="AR4" s="545">
        <v>-973</v>
      </c>
    </row>
    <row r="5" spans="1:44" s="546" customFormat="1" x14ac:dyDescent="0.25">
      <c r="B5" s="547" t="s">
        <v>2</v>
      </c>
      <c r="C5" s="548">
        <f t="shared" ref="C5" si="0">C3+C4</f>
        <v>2256</v>
      </c>
      <c r="D5" s="548">
        <f t="shared" ref="D5:E5" si="1">D3+D4</f>
        <v>2671</v>
      </c>
      <c r="E5" s="548">
        <f t="shared" si="1"/>
        <v>5032</v>
      </c>
      <c r="F5" s="548">
        <f t="shared" ref="F5:G5" si="2">F3+F4</f>
        <v>2611</v>
      </c>
      <c r="G5" s="548">
        <f t="shared" si="2"/>
        <v>1490</v>
      </c>
      <c r="H5" s="548">
        <f t="shared" ref="H5:M5" si="3">H3+H4</f>
        <v>1817</v>
      </c>
      <c r="I5" s="548">
        <f t="shared" si="3"/>
        <v>1854</v>
      </c>
      <c r="J5" s="548">
        <f t="shared" si="3"/>
        <v>1672</v>
      </c>
      <c r="K5" s="548">
        <f t="shared" si="3"/>
        <v>1660</v>
      </c>
      <c r="L5" s="548">
        <f t="shared" si="3"/>
        <v>1803</v>
      </c>
      <c r="M5" s="548">
        <f t="shared" si="3"/>
        <v>2196</v>
      </c>
      <c r="N5" s="536"/>
      <c r="O5" s="548">
        <f t="shared" ref="O5" si="4">O3+O4</f>
        <v>554</v>
      </c>
      <c r="P5" s="548">
        <f t="shared" ref="P5" si="5">P3+P4</f>
        <v>560</v>
      </c>
      <c r="Q5" s="548">
        <f t="shared" ref="Q5" si="6">Q3+Q4</f>
        <v>535</v>
      </c>
      <c r="R5" s="548">
        <f t="shared" ref="R5:S5" si="7">R3+R4</f>
        <v>596</v>
      </c>
      <c r="S5" s="548">
        <f t="shared" si="7"/>
        <v>568</v>
      </c>
      <c r="T5" s="548">
        <f t="shared" ref="T5:U5" si="8">T3+T4</f>
        <v>557</v>
      </c>
      <c r="U5" s="548">
        <f t="shared" si="8"/>
        <v>612</v>
      </c>
      <c r="V5" s="548">
        <f t="shared" ref="V5" si="9">V3+V4</f>
        <v>586</v>
      </c>
      <c r="W5" s="548">
        <f t="shared" ref="W5:X5" si="10">W3+W4</f>
        <v>645</v>
      </c>
      <c r="X5" s="548">
        <f t="shared" si="10"/>
        <v>828</v>
      </c>
      <c r="Y5" s="548">
        <f t="shared" ref="Y5" si="11">Y3+Y4</f>
        <v>933</v>
      </c>
      <c r="Z5" s="548">
        <f>Z3+Z4</f>
        <v>1315</v>
      </c>
      <c r="AA5" s="548">
        <f>AA3+AA4</f>
        <v>1539</v>
      </c>
      <c r="AB5" s="548">
        <f t="shared" ref="AB5" si="12">AB3+AB4</f>
        <v>1245</v>
      </c>
      <c r="AC5" s="555">
        <f t="shared" ref="AC5" si="13">AC3+AC4</f>
        <v>857</v>
      </c>
      <c r="AD5" s="548">
        <f>AD3+AD4</f>
        <v>689</v>
      </c>
      <c r="AE5" s="548">
        <f>AE3+AE4</f>
        <v>570</v>
      </c>
      <c r="AF5" s="548">
        <f t="shared" ref="AF5" si="14">AF3+AF4</f>
        <v>495</v>
      </c>
      <c r="AG5" s="548">
        <f t="shared" ref="AG5" si="15">AG3+AG4</f>
        <v>405</v>
      </c>
      <c r="AH5" s="548">
        <f>AH3+AH4</f>
        <v>365</v>
      </c>
      <c r="AI5" s="548">
        <f>AI3+AI4</f>
        <v>320</v>
      </c>
      <c r="AJ5" s="548">
        <f t="shared" ref="AJ5:AR5" si="16">AJ3+AJ4</f>
        <v>400</v>
      </c>
      <c r="AK5" s="548">
        <f t="shared" si="16"/>
        <v>336</v>
      </c>
      <c r="AL5" s="548">
        <f t="shared" si="16"/>
        <v>472</v>
      </c>
      <c r="AM5" s="548">
        <f t="shared" si="16"/>
        <v>508</v>
      </c>
      <c r="AN5" s="548">
        <f t="shared" si="16"/>
        <v>501</v>
      </c>
      <c r="AO5" s="548">
        <f t="shared" si="16"/>
        <v>507</v>
      </c>
      <c r="AP5" s="548">
        <f t="shared" si="16"/>
        <v>458</v>
      </c>
      <c r="AQ5" s="548">
        <f t="shared" si="16"/>
        <v>458</v>
      </c>
      <c r="AR5" s="548">
        <f t="shared" si="16"/>
        <v>431</v>
      </c>
    </row>
    <row r="6" spans="1:44" s="536" customFormat="1" x14ac:dyDescent="0.25">
      <c r="B6" s="536" t="s">
        <v>646</v>
      </c>
      <c r="C6" s="543">
        <v>-1114</v>
      </c>
      <c r="D6" s="543">
        <v>-1093</v>
      </c>
      <c r="E6" s="543">
        <v>-1181</v>
      </c>
      <c r="F6" s="543">
        <v>-1067</v>
      </c>
      <c r="G6" s="543">
        <v>-766</v>
      </c>
      <c r="H6" s="543">
        <v>-767</v>
      </c>
      <c r="I6" s="543">
        <v>-798</v>
      </c>
      <c r="J6" s="543">
        <v>-746</v>
      </c>
      <c r="K6" s="543">
        <v>-722</v>
      </c>
      <c r="L6" s="543">
        <v>-653</v>
      </c>
      <c r="M6" s="543">
        <v>-839</v>
      </c>
      <c r="O6" s="543">
        <v>-274</v>
      </c>
      <c r="P6" s="543">
        <v>-268</v>
      </c>
      <c r="Q6" s="543">
        <f t="shared" ref="Q6:Q8" si="17">C6-R6-S6-T6</f>
        <v>-281</v>
      </c>
      <c r="R6" s="543">
        <v>-280</v>
      </c>
      <c r="S6" s="543">
        <v>-280</v>
      </c>
      <c r="T6" s="543">
        <v>-273</v>
      </c>
      <c r="U6" s="543">
        <f t="shared" ref="U6:U8" si="18">D6-V6-W6-X6</f>
        <v>-286</v>
      </c>
      <c r="V6" s="543">
        <v>-264</v>
      </c>
      <c r="W6" s="543">
        <v>-279</v>
      </c>
      <c r="X6" s="543">
        <v>-264</v>
      </c>
      <c r="Y6" s="543">
        <f>E6-Z6-AA6-AB6</f>
        <v>-281</v>
      </c>
      <c r="Z6" s="543">
        <v>-300</v>
      </c>
      <c r="AA6" s="543">
        <v>-321</v>
      </c>
      <c r="AB6" s="543">
        <v>-279</v>
      </c>
      <c r="AC6" s="543">
        <f>F6-AD6-AE6-AF6</f>
        <v>-304</v>
      </c>
      <c r="AD6" s="543">
        <v>-288</v>
      </c>
      <c r="AE6" s="543">
        <v>-246</v>
      </c>
      <c r="AF6" s="543">
        <v>-229</v>
      </c>
      <c r="AG6" s="543">
        <f t="shared" ref="AG6:AG8" si="19">G6-AH6-AI6-AJ6</f>
        <v>-204</v>
      </c>
      <c r="AH6" s="543">
        <v>-191</v>
      </c>
      <c r="AI6" s="543">
        <v>-183</v>
      </c>
      <c r="AJ6" s="543">
        <v>-188</v>
      </c>
      <c r="AK6" s="543">
        <f>H6-AL6-AM6-AN6</f>
        <v>-177</v>
      </c>
      <c r="AL6" s="543">
        <v>-199</v>
      </c>
      <c r="AM6" s="543">
        <v>-196</v>
      </c>
      <c r="AN6" s="543">
        <v>-195</v>
      </c>
      <c r="AO6" s="543">
        <f>I6-AP6-AQ6-AR6</f>
        <v>-210</v>
      </c>
      <c r="AP6" s="543">
        <v>-191</v>
      </c>
      <c r="AQ6" s="543">
        <v>-197</v>
      </c>
      <c r="AR6" s="543">
        <v>-200</v>
      </c>
    </row>
    <row r="7" spans="1:44" s="536" customFormat="1" x14ac:dyDescent="0.25">
      <c r="B7" s="536" t="s">
        <v>647</v>
      </c>
      <c r="C7" s="543">
        <v>-259</v>
      </c>
      <c r="D7" s="543">
        <v>-260</v>
      </c>
      <c r="E7" s="543">
        <v>-291</v>
      </c>
      <c r="F7" s="543">
        <v>-276</v>
      </c>
      <c r="G7" s="543">
        <v>-232</v>
      </c>
      <c r="H7" s="543">
        <v>-254</v>
      </c>
      <c r="I7" s="543">
        <v>-257</v>
      </c>
      <c r="J7" s="543">
        <v>-261</v>
      </c>
      <c r="K7" s="543">
        <v>-321</v>
      </c>
      <c r="L7" s="543">
        <v>-350</v>
      </c>
      <c r="M7" s="543">
        <v>-306</v>
      </c>
      <c r="O7" s="543">
        <v>-72</v>
      </c>
      <c r="P7" s="543">
        <v>-77</v>
      </c>
      <c r="Q7" s="543">
        <f t="shared" si="17"/>
        <v>-68</v>
      </c>
      <c r="R7" s="543">
        <v>-63</v>
      </c>
      <c r="S7" s="543">
        <v>-64</v>
      </c>
      <c r="T7" s="543">
        <v>-64</v>
      </c>
      <c r="U7" s="543">
        <f t="shared" si="18"/>
        <v>-71</v>
      </c>
      <c r="V7" s="543">
        <v>-66</v>
      </c>
      <c r="W7" s="543">
        <v>-55</v>
      </c>
      <c r="X7" s="543">
        <v>-68</v>
      </c>
      <c r="Y7" s="543">
        <f>E7-Z7-AA7-AB7</f>
        <v>-78</v>
      </c>
      <c r="Z7" s="543">
        <v>-70</v>
      </c>
      <c r="AA7" s="543">
        <v>-74</v>
      </c>
      <c r="AB7" s="543">
        <v>-69</v>
      </c>
      <c r="AC7" s="543">
        <f t="shared" ref="AC7:AC8" si="20">F7-AD7-AE7-AF7</f>
        <v>-78</v>
      </c>
      <c r="AD7" s="543">
        <v>-69</v>
      </c>
      <c r="AE7" s="543">
        <v>-67</v>
      </c>
      <c r="AF7" s="543">
        <v>-62</v>
      </c>
      <c r="AG7" s="543">
        <f t="shared" si="19"/>
        <v>-57</v>
      </c>
      <c r="AH7" s="543">
        <v>-55</v>
      </c>
      <c r="AI7" s="543">
        <v>-56</v>
      </c>
      <c r="AJ7" s="543">
        <v>-64</v>
      </c>
      <c r="AK7" s="543">
        <f>H7-AL7-AM7-AN7</f>
        <v>-64</v>
      </c>
      <c r="AL7" s="543">
        <v>-62</v>
      </c>
      <c r="AM7" s="543">
        <v>-65</v>
      </c>
      <c r="AN7" s="543">
        <v>-63</v>
      </c>
      <c r="AO7" s="543">
        <f>I7-AP7-AQ7-AR7</f>
        <v>-62</v>
      </c>
      <c r="AP7" s="543">
        <v>-63</v>
      </c>
      <c r="AQ7" s="543">
        <v>-62</v>
      </c>
      <c r="AR7" s="543">
        <v>-70</v>
      </c>
    </row>
    <row r="8" spans="1:44" s="536" customFormat="1" x14ac:dyDescent="0.25">
      <c r="B8" s="536" t="s">
        <v>476</v>
      </c>
      <c r="C8" s="543">
        <v>-69</v>
      </c>
      <c r="D8" s="543">
        <v>-71</v>
      </c>
      <c r="E8" s="543">
        <v>-68</v>
      </c>
      <c r="F8" s="543">
        <v>-64</v>
      </c>
      <c r="G8" s="543">
        <v>-54</v>
      </c>
      <c r="H8" s="543">
        <v>-50</v>
      </c>
      <c r="I8" s="543">
        <v>-55</v>
      </c>
      <c r="J8" s="543">
        <v>-55</v>
      </c>
      <c r="K8" s="543">
        <v>-73</v>
      </c>
      <c r="L8" s="543">
        <v>-74</v>
      </c>
      <c r="M8" s="543">
        <v>-87</v>
      </c>
      <c r="O8" s="543">
        <v>-19</v>
      </c>
      <c r="P8" s="543">
        <v>-18</v>
      </c>
      <c r="Q8" s="543">
        <f t="shared" si="17"/>
        <v>-19</v>
      </c>
      <c r="R8" s="543">
        <v>-19</v>
      </c>
      <c r="S8" s="543">
        <v>-14</v>
      </c>
      <c r="T8" s="543">
        <v>-17</v>
      </c>
      <c r="U8" s="543">
        <f t="shared" si="18"/>
        <v>-17</v>
      </c>
      <c r="V8" s="543">
        <v>-17</v>
      </c>
      <c r="W8" s="543">
        <v>-19</v>
      </c>
      <c r="X8" s="543">
        <v>-18</v>
      </c>
      <c r="Y8" s="543">
        <f>E8-Z8-AA8-AB8</f>
        <v>-15</v>
      </c>
      <c r="Z8" s="543">
        <v>-18</v>
      </c>
      <c r="AA8" s="543">
        <v>-17</v>
      </c>
      <c r="AB8" s="543">
        <v>-18</v>
      </c>
      <c r="AC8" s="543">
        <f t="shared" si="20"/>
        <v>-19</v>
      </c>
      <c r="AD8" s="543">
        <v>-16</v>
      </c>
      <c r="AE8" s="543">
        <v>-14</v>
      </c>
      <c r="AF8" s="543">
        <v>-15</v>
      </c>
      <c r="AG8" s="543">
        <f t="shared" si="19"/>
        <v>-17</v>
      </c>
      <c r="AH8" s="543">
        <v>-13</v>
      </c>
      <c r="AI8" s="543">
        <v>-10</v>
      </c>
      <c r="AJ8" s="543">
        <v>-14</v>
      </c>
      <c r="AK8" s="543">
        <f>H8-AL8-AM8-AN8</f>
        <v>-12</v>
      </c>
      <c r="AL8" s="543">
        <v>-13</v>
      </c>
      <c r="AM8" s="543">
        <v>-12</v>
      </c>
      <c r="AN8" s="543">
        <v>-13</v>
      </c>
      <c r="AO8" s="543">
        <f>I8-AP8-AQ8-AR8</f>
        <v>-13</v>
      </c>
      <c r="AP8" s="543">
        <v>-13</v>
      </c>
      <c r="AQ8" s="543">
        <v>-15</v>
      </c>
      <c r="AR8" s="543">
        <v>-14</v>
      </c>
    </row>
    <row r="9" spans="1:44" s="536" customFormat="1" x14ac:dyDescent="0.25">
      <c r="B9" s="547" t="s">
        <v>648</v>
      </c>
      <c r="C9" s="548">
        <f t="shared" ref="C9" si="21">SUM(C5:C8)</f>
        <v>814</v>
      </c>
      <c r="D9" s="548">
        <f t="shared" ref="D9:E9" si="22">SUM(D5:D8)</f>
        <v>1247</v>
      </c>
      <c r="E9" s="548">
        <f t="shared" si="22"/>
        <v>3492</v>
      </c>
      <c r="F9" s="548">
        <f t="shared" ref="F9:G9" si="23">SUM(F5:F8)</f>
        <v>1204</v>
      </c>
      <c r="G9" s="548">
        <f t="shared" si="23"/>
        <v>438</v>
      </c>
      <c r="H9" s="548">
        <f t="shared" ref="H9:M9" si="24">SUM(H5:H8)</f>
        <v>746</v>
      </c>
      <c r="I9" s="548">
        <f t="shared" si="24"/>
        <v>744</v>
      </c>
      <c r="J9" s="548">
        <f t="shared" si="24"/>
        <v>610</v>
      </c>
      <c r="K9" s="548">
        <f t="shared" si="24"/>
        <v>544</v>
      </c>
      <c r="L9" s="548">
        <f t="shared" si="24"/>
        <v>726</v>
      </c>
      <c r="M9" s="548">
        <f t="shared" si="24"/>
        <v>964</v>
      </c>
      <c r="O9" s="548">
        <f t="shared" ref="O9" si="25">SUM(O5:O8)</f>
        <v>189</v>
      </c>
      <c r="P9" s="548">
        <f t="shared" ref="P9" si="26">SUM(P5:P8)</f>
        <v>197</v>
      </c>
      <c r="Q9" s="548">
        <f t="shared" ref="Q9" si="27">SUM(Q5:Q8)</f>
        <v>167</v>
      </c>
      <c r="R9" s="548">
        <f t="shared" ref="R9:S9" si="28">SUM(R5:R8)</f>
        <v>234</v>
      </c>
      <c r="S9" s="548">
        <f t="shared" si="28"/>
        <v>210</v>
      </c>
      <c r="T9" s="548">
        <f t="shared" ref="T9:U9" si="29">SUM(T5:T8)</f>
        <v>203</v>
      </c>
      <c r="U9" s="548">
        <f t="shared" si="29"/>
        <v>238</v>
      </c>
      <c r="V9" s="548">
        <f t="shared" ref="V9" si="30">SUM(V5:V8)</f>
        <v>239</v>
      </c>
      <c r="W9" s="548">
        <f t="shared" ref="W9:X9" si="31">SUM(W5:W8)</f>
        <v>292</v>
      </c>
      <c r="X9" s="548">
        <f t="shared" si="31"/>
        <v>478</v>
      </c>
      <c r="Y9" s="548">
        <f t="shared" ref="Y9:AA9" si="32">SUM(Y5:Y8)</f>
        <v>559</v>
      </c>
      <c r="Z9" s="548">
        <f t="shared" si="32"/>
        <v>927</v>
      </c>
      <c r="AA9" s="548">
        <f t="shared" si="32"/>
        <v>1127</v>
      </c>
      <c r="AB9" s="548">
        <f t="shared" ref="AB9" si="33">SUM(AB5:AB8)</f>
        <v>879</v>
      </c>
      <c r="AC9" s="548">
        <f t="shared" ref="AC9" si="34">SUM(AC5:AC8)</f>
        <v>456</v>
      </c>
      <c r="AD9" s="548">
        <f t="shared" ref="AD9" si="35">SUM(AD5:AD8)</f>
        <v>316</v>
      </c>
      <c r="AE9" s="548">
        <f t="shared" ref="AE9:AF9" si="36">SUM(AE5:AE8)</f>
        <v>243</v>
      </c>
      <c r="AF9" s="548">
        <f t="shared" si="36"/>
        <v>189</v>
      </c>
      <c r="AG9" s="548">
        <f t="shared" ref="AG9" si="37">SUM(AG5:AG8)</f>
        <v>127</v>
      </c>
      <c r="AH9" s="548">
        <f t="shared" ref="AH9" si="38">SUM(AH5:AH8)</f>
        <v>106</v>
      </c>
      <c r="AI9" s="548">
        <f t="shared" ref="AI9:AR9" si="39">SUM(AI5:AI8)</f>
        <v>71</v>
      </c>
      <c r="AJ9" s="548">
        <f t="shared" si="39"/>
        <v>134</v>
      </c>
      <c r="AK9" s="548">
        <f t="shared" si="39"/>
        <v>83</v>
      </c>
      <c r="AL9" s="548">
        <f t="shared" si="39"/>
        <v>198</v>
      </c>
      <c r="AM9" s="548">
        <f t="shared" si="39"/>
        <v>235</v>
      </c>
      <c r="AN9" s="548">
        <f t="shared" si="39"/>
        <v>230</v>
      </c>
      <c r="AO9" s="548">
        <f t="shared" si="39"/>
        <v>222</v>
      </c>
      <c r="AP9" s="548">
        <f t="shared" si="39"/>
        <v>191</v>
      </c>
      <c r="AQ9" s="548">
        <f t="shared" si="39"/>
        <v>184</v>
      </c>
      <c r="AR9" s="548">
        <f t="shared" si="39"/>
        <v>147</v>
      </c>
    </row>
    <row r="10" spans="1:44" s="536" customFormat="1" x14ac:dyDescent="0.25">
      <c r="B10" s="544" t="s">
        <v>727</v>
      </c>
      <c r="C10" s="545">
        <f>21-60</f>
        <v>-39</v>
      </c>
      <c r="D10" s="545">
        <f>22-128</f>
        <v>-106</v>
      </c>
      <c r="E10" s="545">
        <f>54-30</f>
        <v>24</v>
      </c>
      <c r="F10" s="545">
        <f>63-57</f>
        <v>6</v>
      </c>
      <c r="G10" s="545">
        <f>-256+20</f>
        <v>-236</v>
      </c>
      <c r="H10" s="545">
        <v>10</v>
      </c>
      <c r="I10" s="545">
        <f>859-84</f>
        <v>775</v>
      </c>
      <c r="J10" s="545">
        <f>109-90</f>
        <v>19</v>
      </c>
      <c r="K10" s="545">
        <f>-618+71</f>
        <v>-547</v>
      </c>
      <c r="L10" s="545">
        <f>250-211</f>
        <v>39</v>
      </c>
      <c r="M10" s="545">
        <f>-259+53</f>
        <v>-206</v>
      </c>
      <c r="O10" s="545">
        <f>-11+3</f>
        <v>-8</v>
      </c>
      <c r="P10" s="545">
        <f>-16+4</f>
        <v>-12</v>
      </c>
      <c r="Q10" s="543">
        <f>C10-R10-S10-T10</f>
        <v>-20</v>
      </c>
      <c r="R10" s="545">
        <f>-22+2</f>
        <v>-20</v>
      </c>
      <c r="S10" s="545">
        <f>-2+3</f>
        <v>1</v>
      </c>
      <c r="T10" s="545">
        <f>3-3</f>
        <v>0</v>
      </c>
      <c r="U10" s="545">
        <f>D10-V10-W10-X10</f>
        <v>-89</v>
      </c>
      <c r="V10" s="545">
        <f>2-14</f>
        <v>-12</v>
      </c>
      <c r="W10" s="545">
        <f>10-2</f>
        <v>8</v>
      </c>
      <c r="X10" s="545">
        <f>3-16</f>
        <v>-13</v>
      </c>
      <c r="Y10" s="545">
        <f>E10-Z10-AA10-AB10</f>
        <v>-19</v>
      </c>
      <c r="Z10" s="545">
        <v>8</v>
      </c>
      <c r="AA10" s="545">
        <f>18-6</f>
        <v>12</v>
      </c>
      <c r="AB10" s="545">
        <v>23</v>
      </c>
      <c r="AC10" s="543">
        <f>F10-AD10-AE10-AF10</f>
        <v>5</v>
      </c>
      <c r="AD10" s="545">
        <f>14-9</f>
        <v>5</v>
      </c>
      <c r="AE10" s="545">
        <f>25-25</f>
        <v>0</v>
      </c>
      <c r="AF10" s="545">
        <f>-5+1</f>
        <v>-4</v>
      </c>
      <c r="AG10" s="543">
        <f>G10-AH10-AI10-AJ10</f>
        <v>12</v>
      </c>
      <c r="AH10" s="545">
        <v>-6</v>
      </c>
      <c r="AI10" s="545">
        <f>-244+4</f>
        <v>-240</v>
      </c>
      <c r="AJ10" s="545">
        <v>-2</v>
      </c>
      <c r="AK10" s="545">
        <f>H10-AL10-AM10-AN10</f>
        <v>5</v>
      </c>
      <c r="AL10" s="545">
        <f>5-2</f>
        <v>3</v>
      </c>
      <c r="AM10" s="545">
        <f>10-5</f>
        <v>5</v>
      </c>
      <c r="AN10" s="545">
        <f>13-16</f>
        <v>-3</v>
      </c>
      <c r="AO10" s="545">
        <f>I10-AP10-AQ10-AR10</f>
        <v>-56</v>
      </c>
      <c r="AP10" s="545">
        <f>19-14</f>
        <v>5</v>
      </c>
      <c r="AQ10" s="545">
        <f>-16+4</f>
        <v>-12</v>
      </c>
      <c r="AR10" s="545">
        <f>846-8</f>
        <v>838</v>
      </c>
    </row>
    <row r="11" spans="1:44" s="536" customFormat="1" x14ac:dyDescent="0.25">
      <c r="B11" s="536" t="s">
        <v>649</v>
      </c>
      <c r="C11" s="543">
        <v>-181</v>
      </c>
      <c r="D11" s="543">
        <v>-259</v>
      </c>
      <c r="E11" s="543">
        <v>-327</v>
      </c>
      <c r="F11" s="543">
        <v>-216</v>
      </c>
      <c r="G11" s="543">
        <v>-219</v>
      </c>
      <c r="H11" s="543">
        <v>-220</v>
      </c>
      <c r="I11" s="543">
        <v>-214</v>
      </c>
      <c r="J11" s="543">
        <v>-229</v>
      </c>
      <c r="K11" s="543">
        <v>-157</v>
      </c>
      <c r="L11" s="543">
        <v>-160</v>
      </c>
      <c r="M11" s="543">
        <v>-279</v>
      </c>
      <c r="O11" s="543">
        <v>-98</v>
      </c>
      <c r="P11" s="543">
        <v>-62</v>
      </c>
      <c r="Q11" s="543">
        <f t="shared" ref="Q11:Q12" si="40">C11-R11-S11-T11</f>
        <v>-16</v>
      </c>
      <c r="R11" s="543">
        <v>-46</v>
      </c>
      <c r="S11" s="543">
        <v>-59</v>
      </c>
      <c r="T11" s="543">
        <v>-60</v>
      </c>
      <c r="U11" s="543">
        <f t="shared" ref="U11:U12" si="41">D11-V11-W11-X11</f>
        <v>-4</v>
      </c>
      <c r="V11" s="543">
        <v>-79</v>
      </c>
      <c r="W11" s="543">
        <f>-89</f>
        <v>-89</v>
      </c>
      <c r="X11" s="543">
        <v>-87</v>
      </c>
      <c r="Y11" s="543">
        <f>E11-Z11-AA11-AB11</f>
        <v>-65</v>
      </c>
      <c r="Z11" s="543">
        <v>-57</v>
      </c>
      <c r="AA11" s="543">
        <v>-138</v>
      </c>
      <c r="AB11" s="543">
        <v>-67</v>
      </c>
      <c r="AC11" s="597">
        <f t="shared" ref="AC11:AC12" si="42">F11-AD11-AE11-AF11</f>
        <v>-38</v>
      </c>
      <c r="AD11" s="543">
        <v>-54</v>
      </c>
      <c r="AE11" s="543">
        <v>-64</v>
      </c>
      <c r="AF11" s="543">
        <v>-60</v>
      </c>
      <c r="AG11" s="543">
        <f t="shared" ref="AG11:AG12" si="43">G11-AH11-AI11-AJ11</f>
        <v>-40</v>
      </c>
      <c r="AH11" s="543">
        <v>-52</v>
      </c>
      <c r="AI11" s="543">
        <v>-54</v>
      </c>
      <c r="AJ11" s="543">
        <v>-73</v>
      </c>
      <c r="AK11" s="543">
        <f>H11-AL11-AM11-AN11</f>
        <v>-25</v>
      </c>
      <c r="AL11" s="543">
        <v>-67</v>
      </c>
      <c r="AM11" s="543">
        <v>-49</v>
      </c>
      <c r="AN11" s="543">
        <v>-79</v>
      </c>
      <c r="AO11" s="543">
        <f>I11-AP11-AQ11-AR11</f>
        <v>-56</v>
      </c>
      <c r="AP11" s="543">
        <v>-42</v>
      </c>
      <c r="AQ11" s="543">
        <v>-76</v>
      </c>
      <c r="AR11" s="543">
        <v>-40</v>
      </c>
    </row>
    <row r="12" spans="1:44" s="536" customFormat="1" x14ac:dyDescent="0.25">
      <c r="B12" s="536" t="s">
        <v>650</v>
      </c>
      <c r="C12" s="543">
        <v>41</v>
      </c>
      <c r="D12" s="543">
        <v>91</v>
      </c>
      <c r="E12" s="543">
        <v>214</v>
      </c>
      <c r="F12" s="543">
        <v>94</v>
      </c>
      <c r="G12" s="543">
        <v>61</v>
      </c>
      <c r="H12" s="543">
        <v>91</v>
      </c>
      <c r="I12" s="543">
        <v>56</v>
      </c>
      <c r="J12" s="543">
        <v>105</v>
      </c>
      <c r="K12" s="543">
        <v>25</v>
      </c>
      <c r="L12" s="543">
        <v>52</v>
      </c>
      <c r="M12" s="543">
        <v>122</v>
      </c>
      <c r="O12" s="543">
        <v>85</v>
      </c>
      <c r="P12" s="543">
        <v>25</v>
      </c>
      <c r="Q12" s="543">
        <f t="shared" si="40"/>
        <v>-17</v>
      </c>
      <c r="R12" s="543">
        <v>7</v>
      </c>
      <c r="S12" s="543">
        <v>26</v>
      </c>
      <c r="T12" s="543">
        <v>25</v>
      </c>
      <c r="U12" s="543">
        <f t="shared" si="41"/>
        <v>-29</v>
      </c>
      <c r="V12" s="543">
        <v>37</v>
      </c>
      <c r="W12" s="543">
        <v>40</v>
      </c>
      <c r="X12" s="543">
        <v>43</v>
      </c>
      <c r="Y12" s="543">
        <f>E12-Z12-AA12-AB12</f>
        <v>24</v>
      </c>
      <c r="Z12" s="543">
        <v>33</v>
      </c>
      <c r="AA12" s="543">
        <v>124</v>
      </c>
      <c r="AB12" s="543">
        <v>33</v>
      </c>
      <c r="AC12" s="543">
        <f t="shared" si="42"/>
        <v>0</v>
      </c>
      <c r="AD12" s="543">
        <v>20</v>
      </c>
      <c r="AE12" s="543">
        <v>34</v>
      </c>
      <c r="AF12" s="543">
        <v>40</v>
      </c>
      <c r="AG12" s="543">
        <f t="shared" si="43"/>
        <v>-6</v>
      </c>
      <c r="AH12" s="543">
        <v>23</v>
      </c>
      <c r="AI12" s="543">
        <v>23</v>
      </c>
      <c r="AJ12" s="543">
        <v>21</v>
      </c>
      <c r="AK12" s="543">
        <f>H12-AL12-AM12-AN12</f>
        <v>0</v>
      </c>
      <c r="AL12" s="543">
        <v>35</v>
      </c>
      <c r="AM12" s="543">
        <v>12</v>
      </c>
      <c r="AN12" s="543">
        <v>44</v>
      </c>
      <c r="AO12" s="543">
        <f>I12-AP12-AQ12-AR12</f>
        <v>-10</v>
      </c>
      <c r="AP12" s="543">
        <v>19</v>
      </c>
      <c r="AQ12" s="543">
        <v>22</v>
      </c>
      <c r="AR12" s="543">
        <v>25</v>
      </c>
    </row>
    <row r="13" spans="1:44" s="536" customFormat="1" x14ac:dyDescent="0.25">
      <c r="B13" s="549" t="s">
        <v>651</v>
      </c>
      <c r="C13" s="550">
        <f t="shared" ref="C13" si="44">SUM(C11:C12)</f>
        <v>-140</v>
      </c>
      <c r="D13" s="550">
        <f t="shared" ref="D13:E13" si="45">SUM(D11:D12)</f>
        <v>-168</v>
      </c>
      <c r="E13" s="550">
        <f t="shared" si="45"/>
        <v>-113</v>
      </c>
      <c r="F13" s="550">
        <f t="shared" ref="F13:G13" si="46">SUM(F11:F12)</f>
        <v>-122</v>
      </c>
      <c r="G13" s="550">
        <f t="shared" si="46"/>
        <v>-158</v>
      </c>
      <c r="H13" s="550">
        <f>SUM(H11:H12)</f>
        <v>-129</v>
      </c>
      <c r="I13" s="550">
        <f t="shared" ref="I13:M13" si="47">SUM(I11:I12)</f>
        <v>-158</v>
      </c>
      <c r="J13" s="550">
        <f t="shared" si="47"/>
        <v>-124</v>
      </c>
      <c r="K13" s="550">
        <f t="shared" si="47"/>
        <v>-132</v>
      </c>
      <c r="L13" s="550">
        <f t="shared" si="47"/>
        <v>-108</v>
      </c>
      <c r="M13" s="550">
        <f t="shared" si="47"/>
        <v>-157</v>
      </c>
      <c r="O13" s="550">
        <f t="shared" ref="O13" si="48">SUM(O11:O12)</f>
        <v>-13</v>
      </c>
      <c r="P13" s="550">
        <f t="shared" ref="P13" si="49">SUM(P11:P12)</f>
        <v>-37</v>
      </c>
      <c r="Q13" s="550">
        <f t="shared" ref="Q13" si="50">SUM(Q11:Q12)</f>
        <v>-33</v>
      </c>
      <c r="R13" s="550">
        <f t="shared" ref="R13:S13" si="51">SUM(R11:R12)</f>
        <v>-39</v>
      </c>
      <c r="S13" s="550">
        <f t="shared" si="51"/>
        <v>-33</v>
      </c>
      <c r="T13" s="550">
        <f t="shared" ref="T13:U13" si="52">SUM(T11:T12)</f>
        <v>-35</v>
      </c>
      <c r="U13" s="550">
        <f t="shared" si="52"/>
        <v>-33</v>
      </c>
      <c r="V13" s="550">
        <f t="shared" ref="V13" si="53">SUM(V11:V12)</f>
        <v>-42</v>
      </c>
      <c r="W13" s="550">
        <f t="shared" ref="W13:X13" si="54">SUM(W11:W12)</f>
        <v>-49</v>
      </c>
      <c r="X13" s="550">
        <f t="shared" si="54"/>
        <v>-44</v>
      </c>
      <c r="Y13" s="550">
        <f t="shared" ref="Y13" si="55">SUM(Y11:Y12)</f>
        <v>-41</v>
      </c>
      <c r="Z13" s="550">
        <f>SUM(Z11:Z12)</f>
        <v>-24</v>
      </c>
      <c r="AA13" s="550">
        <f>SUM(AA11:AA12)</f>
        <v>-14</v>
      </c>
      <c r="AB13" s="550">
        <f t="shared" ref="AB13" si="56">SUM(AB11:AB12)</f>
        <v>-34</v>
      </c>
      <c r="AC13" s="550">
        <f t="shared" ref="AC13" si="57">SUM(AC11:AC12)</f>
        <v>-38</v>
      </c>
      <c r="AD13" s="550">
        <f>SUM(AD11:AD12)</f>
        <v>-34</v>
      </c>
      <c r="AE13" s="550">
        <f>SUM(AE11:AE12)</f>
        <v>-30</v>
      </c>
      <c r="AF13" s="550">
        <f t="shared" ref="AF13" si="58">SUM(AF11:AF12)</f>
        <v>-20</v>
      </c>
      <c r="AG13" s="550">
        <f t="shared" ref="AG13" si="59">SUM(AG11:AG12)</f>
        <v>-46</v>
      </c>
      <c r="AH13" s="550">
        <f>SUM(AH11:AH12)</f>
        <v>-29</v>
      </c>
      <c r="AI13" s="550">
        <f>SUM(AI11:AI12)</f>
        <v>-31</v>
      </c>
      <c r="AJ13" s="550">
        <f t="shared" ref="AJ13:AR13" si="60">SUM(AJ11:AJ12)</f>
        <v>-52</v>
      </c>
      <c r="AK13" s="550">
        <f t="shared" si="60"/>
        <v>-25</v>
      </c>
      <c r="AL13" s="550">
        <f t="shared" si="60"/>
        <v>-32</v>
      </c>
      <c r="AM13" s="550">
        <f t="shared" si="60"/>
        <v>-37</v>
      </c>
      <c r="AN13" s="550">
        <f t="shared" si="60"/>
        <v>-35</v>
      </c>
      <c r="AO13" s="550">
        <f t="shared" si="60"/>
        <v>-66</v>
      </c>
      <c r="AP13" s="550">
        <f t="shared" si="60"/>
        <v>-23</v>
      </c>
      <c r="AQ13" s="550">
        <f t="shared" si="60"/>
        <v>-54</v>
      </c>
      <c r="AR13" s="550">
        <f t="shared" si="60"/>
        <v>-15</v>
      </c>
    </row>
    <row r="14" spans="1:44" s="536" customFormat="1" x14ac:dyDescent="0.25">
      <c r="B14" s="547" t="s">
        <v>304</v>
      </c>
      <c r="C14" s="548">
        <v>1</v>
      </c>
      <c r="D14" s="548">
        <v>1</v>
      </c>
      <c r="E14" s="548">
        <v>1</v>
      </c>
      <c r="F14" s="548">
        <v>4</v>
      </c>
      <c r="G14" s="548">
        <v>5</v>
      </c>
      <c r="H14" s="543">
        <v>1</v>
      </c>
      <c r="I14" s="543">
        <v>3</v>
      </c>
      <c r="J14" s="543">
        <v>0</v>
      </c>
      <c r="K14" s="543">
        <v>18</v>
      </c>
      <c r="L14" s="543">
        <v>11</v>
      </c>
      <c r="M14" s="543">
        <v>31</v>
      </c>
      <c r="O14" s="548">
        <v>0</v>
      </c>
      <c r="P14" s="548">
        <v>0</v>
      </c>
      <c r="Q14" s="543">
        <f>C14-R14-S14-T14</f>
        <v>0</v>
      </c>
      <c r="R14" s="548">
        <v>1</v>
      </c>
      <c r="S14" s="548">
        <v>0</v>
      </c>
      <c r="T14" s="548">
        <v>0</v>
      </c>
      <c r="U14" s="548">
        <f>D14-V14-W14-X14</f>
        <v>1</v>
      </c>
      <c r="V14" s="548">
        <v>0</v>
      </c>
      <c r="W14" s="548">
        <v>0</v>
      </c>
      <c r="X14" s="548">
        <v>0</v>
      </c>
      <c r="Y14" s="543">
        <f>E14-Z14-AA14-AB14</f>
        <v>1</v>
      </c>
      <c r="Z14" s="543">
        <v>0</v>
      </c>
      <c r="AA14" s="543">
        <v>0</v>
      </c>
      <c r="AB14" s="548">
        <v>0</v>
      </c>
      <c r="AC14" s="543">
        <f>F14-AD14-AE14-AF14</f>
        <v>3</v>
      </c>
      <c r="AD14" s="543">
        <v>0</v>
      </c>
      <c r="AE14" s="543">
        <v>1</v>
      </c>
      <c r="AF14" s="548">
        <v>0</v>
      </c>
      <c r="AG14" s="543">
        <f>G14-AH14-AI14-AJ14</f>
        <v>1</v>
      </c>
      <c r="AH14" s="543">
        <v>2</v>
      </c>
      <c r="AI14" s="543">
        <v>1</v>
      </c>
      <c r="AJ14" s="548">
        <v>1</v>
      </c>
      <c r="AK14" s="548"/>
      <c r="AL14" s="548">
        <v>0</v>
      </c>
      <c r="AM14" s="548">
        <v>1</v>
      </c>
      <c r="AN14" s="548">
        <v>0</v>
      </c>
      <c r="AO14" s="548"/>
      <c r="AP14" s="548">
        <v>-1</v>
      </c>
      <c r="AQ14" s="548">
        <v>0</v>
      </c>
      <c r="AR14" s="548">
        <v>1</v>
      </c>
    </row>
    <row r="15" spans="1:44" s="536" customFormat="1" x14ac:dyDescent="0.25">
      <c r="B15" s="549" t="s">
        <v>652</v>
      </c>
      <c r="C15" s="550">
        <f t="shared" ref="C15" si="61">C9+C10+C13+C14</f>
        <v>636</v>
      </c>
      <c r="D15" s="550">
        <f t="shared" ref="D15:E15" si="62">D9+D10+D13+D14</f>
        <v>974</v>
      </c>
      <c r="E15" s="550">
        <f t="shared" si="62"/>
        <v>3404</v>
      </c>
      <c r="F15" s="550">
        <f t="shared" ref="F15:G15" si="63">F9+F10+F13+F14</f>
        <v>1092</v>
      </c>
      <c r="G15" s="550">
        <f t="shared" si="63"/>
        <v>49</v>
      </c>
      <c r="H15" s="550">
        <f t="shared" ref="H15:M15" si="64">H9+H10+H13+H14</f>
        <v>628</v>
      </c>
      <c r="I15" s="550">
        <f t="shared" si="64"/>
        <v>1364</v>
      </c>
      <c r="J15" s="550">
        <f t="shared" si="64"/>
        <v>505</v>
      </c>
      <c r="K15" s="550">
        <f t="shared" si="64"/>
        <v>-117</v>
      </c>
      <c r="L15" s="550">
        <f t="shared" si="64"/>
        <v>668</v>
      </c>
      <c r="M15" s="550">
        <f t="shared" si="64"/>
        <v>632</v>
      </c>
      <c r="O15" s="550">
        <f t="shared" ref="O15" si="65">O9+O10+O13+O14</f>
        <v>168</v>
      </c>
      <c r="P15" s="550">
        <f t="shared" ref="P15" si="66">P9+P10+P13+P14</f>
        <v>148</v>
      </c>
      <c r="Q15" s="550">
        <f t="shared" ref="Q15" si="67">Q9+Q10+Q13+Q14</f>
        <v>114</v>
      </c>
      <c r="R15" s="550">
        <f t="shared" ref="R15:S15" si="68">R9+R10+R13+R14</f>
        <v>176</v>
      </c>
      <c r="S15" s="550">
        <f t="shared" si="68"/>
        <v>178</v>
      </c>
      <c r="T15" s="550">
        <f t="shared" ref="T15:U15" si="69">T9+T10+T13+T14</f>
        <v>168</v>
      </c>
      <c r="U15" s="550">
        <f t="shared" si="69"/>
        <v>117</v>
      </c>
      <c r="V15" s="550">
        <f t="shared" ref="V15" si="70">V9+V10+V13+V14</f>
        <v>185</v>
      </c>
      <c r="W15" s="550">
        <f t="shared" ref="W15:X15" si="71">W9+W10+W13+W14</f>
        <v>251</v>
      </c>
      <c r="X15" s="550">
        <f t="shared" si="71"/>
        <v>421</v>
      </c>
      <c r="Y15" s="550">
        <f t="shared" ref="Y15:AA15" si="72">Y9+Y10+Y13+Y14</f>
        <v>500</v>
      </c>
      <c r="Z15" s="550">
        <f t="shared" si="72"/>
        <v>911</v>
      </c>
      <c r="AA15" s="550">
        <f t="shared" si="72"/>
        <v>1125</v>
      </c>
      <c r="AB15" s="550">
        <f t="shared" ref="AB15" si="73">AB9+AB10+AB13+AB14</f>
        <v>868</v>
      </c>
      <c r="AC15" s="550">
        <f t="shared" ref="AC15" si="74">AC9+AC10+AC13+AC14</f>
        <v>426</v>
      </c>
      <c r="AD15" s="550">
        <f t="shared" ref="AD15" si="75">AD9+AD10+AD13+AD14</f>
        <v>287</v>
      </c>
      <c r="AE15" s="550">
        <f t="shared" ref="AE15:AF15" si="76">AE9+AE10+AE13+AE14</f>
        <v>214</v>
      </c>
      <c r="AF15" s="550">
        <f t="shared" si="76"/>
        <v>165</v>
      </c>
      <c r="AG15" s="550">
        <f t="shared" ref="AG15" si="77">AG9+AG10+AG13+AG14</f>
        <v>94</v>
      </c>
      <c r="AH15" s="550">
        <f t="shared" ref="AH15" si="78">AH9+AH10+AH13+AH14</f>
        <v>73</v>
      </c>
      <c r="AI15" s="550">
        <f t="shared" ref="AI15:AR15" si="79">AI9+AI10+AI13+AI14</f>
        <v>-199</v>
      </c>
      <c r="AJ15" s="550">
        <f t="shared" si="79"/>
        <v>81</v>
      </c>
      <c r="AK15" s="550">
        <f t="shared" si="79"/>
        <v>63</v>
      </c>
      <c r="AL15" s="550">
        <f t="shared" si="79"/>
        <v>169</v>
      </c>
      <c r="AM15" s="550">
        <f t="shared" si="79"/>
        <v>204</v>
      </c>
      <c r="AN15" s="550">
        <f t="shared" si="79"/>
        <v>192</v>
      </c>
      <c r="AO15" s="550">
        <f t="shared" si="79"/>
        <v>100</v>
      </c>
      <c r="AP15" s="550">
        <f t="shared" si="79"/>
        <v>172</v>
      </c>
      <c r="AQ15" s="550">
        <f t="shared" si="79"/>
        <v>118</v>
      </c>
      <c r="AR15" s="550">
        <f t="shared" si="79"/>
        <v>971</v>
      </c>
    </row>
    <row r="16" spans="1:44" s="536" customFormat="1" ht="15.75" thickBot="1" x14ac:dyDescent="0.3">
      <c r="B16" s="551" t="s">
        <v>653</v>
      </c>
      <c r="C16" s="552">
        <v>-172</v>
      </c>
      <c r="D16" s="552">
        <v>-287</v>
      </c>
      <c r="E16" s="552">
        <v>-1185</v>
      </c>
      <c r="F16" s="552">
        <v>-260</v>
      </c>
      <c r="G16" s="552">
        <v>-25</v>
      </c>
      <c r="H16" s="552">
        <v>-147</v>
      </c>
      <c r="I16" s="552">
        <v>-129</v>
      </c>
      <c r="J16" s="552">
        <v>-158</v>
      </c>
      <c r="K16" s="552">
        <v>-55</v>
      </c>
      <c r="L16" s="552">
        <v>-162</v>
      </c>
      <c r="M16" s="552">
        <v>-166</v>
      </c>
      <c r="O16" s="552">
        <v>-60</v>
      </c>
      <c r="P16" s="552">
        <v>-42</v>
      </c>
      <c r="Q16" s="543">
        <f>C16-R16-S16-T16</f>
        <v>-33</v>
      </c>
      <c r="R16" s="552">
        <v>-49</v>
      </c>
      <c r="S16" s="552">
        <v>-48</v>
      </c>
      <c r="T16" s="552">
        <v>-42</v>
      </c>
      <c r="U16" s="552">
        <f>D16-V16-W16-X16</f>
        <v>-33</v>
      </c>
      <c r="V16" s="552">
        <v>-43</v>
      </c>
      <c r="W16" s="552">
        <v>-84</v>
      </c>
      <c r="X16" s="552">
        <v>-127</v>
      </c>
      <c r="Y16" s="552">
        <f>E16-Z16-AA16-AB16</f>
        <v>-158</v>
      </c>
      <c r="Z16" s="552">
        <v>-276</v>
      </c>
      <c r="AA16" s="552">
        <v>-540</v>
      </c>
      <c r="AB16" s="552">
        <v>-211</v>
      </c>
      <c r="AC16" s="691">
        <f>F16-AD16-AE16-AF16</f>
        <v>-128</v>
      </c>
      <c r="AD16" s="552">
        <v>-45</v>
      </c>
      <c r="AE16" s="552">
        <v>-64</v>
      </c>
      <c r="AF16" s="552">
        <v>-23</v>
      </c>
      <c r="AG16" s="543">
        <f>G16-AH16-AI16-AJ16</f>
        <v>-24</v>
      </c>
      <c r="AH16" s="552">
        <v>-14</v>
      </c>
      <c r="AI16" s="552">
        <v>33</v>
      </c>
      <c r="AJ16" s="552">
        <v>-20</v>
      </c>
      <c r="AK16" s="552">
        <f>H16-AL16-AM16-AN16</f>
        <v>-15</v>
      </c>
      <c r="AL16" s="552">
        <v>-35</v>
      </c>
      <c r="AM16" s="552">
        <v>-46</v>
      </c>
      <c r="AN16" s="552">
        <v>-51</v>
      </c>
      <c r="AO16" s="552">
        <f>I16-AP16-AQ16-AR16</f>
        <v>-19</v>
      </c>
      <c r="AP16" s="552">
        <v>-45</v>
      </c>
      <c r="AQ16" s="552">
        <v>-20</v>
      </c>
      <c r="AR16" s="552">
        <v>-45</v>
      </c>
    </row>
    <row r="17" spans="2:44" s="536" customFormat="1" ht="15.75" thickTop="1" x14ac:dyDescent="0.25">
      <c r="B17" s="547" t="s">
        <v>36</v>
      </c>
      <c r="C17" s="548">
        <f t="shared" ref="C17" si="80">SUM(C15:C16)</f>
        <v>464</v>
      </c>
      <c r="D17" s="548">
        <f t="shared" ref="D17:E17" si="81">SUM(D15:D16)</f>
        <v>687</v>
      </c>
      <c r="E17" s="548">
        <f t="shared" si="81"/>
        <v>2219</v>
      </c>
      <c r="F17" s="548">
        <f t="shared" ref="F17:G17" si="82">SUM(F15:F16)</f>
        <v>832</v>
      </c>
      <c r="G17" s="548">
        <f t="shared" si="82"/>
        <v>24</v>
      </c>
      <c r="H17" s="548">
        <f t="shared" ref="H17:M17" si="83">SUM(H15:H16)</f>
        <v>481</v>
      </c>
      <c r="I17" s="548">
        <f t="shared" si="83"/>
        <v>1235</v>
      </c>
      <c r="J17" s="548">
        <f t="shared" si="83"/>
        <v>347</v>
      </c>
      <c r="K17" s="548">
        <f t="shared" si="83"/>
        <v>-172</v>
      </c>
      <c r="L17" s="548">
        <f t="shared" si="83"/>
        <v>506</v>
      </c>
      <c r="M17" s="548">
        <f t="shared" si="83"/>
        <v>466</v>
      </c>
      <c r="N17" s="548"/>
      <c r="O17" s="548">
        <f t="shared" ref="O17" si="84">SUM(O15:O16)</f>
        <v>108</v>
      </c>
      <c r="P17" s="548">
        <f t="shared" ref="P17" si="85">SUM(P15:P16)</f>
        <v>106</v>
      </c>
      <c r="Q17" s="548">
        <f t="shared" ref="Q17" si="86">SUM(Q15:Q16)</f>
        <v>81</v>
      </c>
      <c r="R17" s="548">
        <f t="shared" ref="R17:S17" si="87">SUM(R15:R16)</f>
        <v>127</v>
      </c>
      <c r="S17" s="548">
        <f t="shared" si="87"/>
        <v>130</v>
      </c>
      <c r="T17" s="548">
        <f t="shared" ref="T17:U17" si="88">SUM(T15:T16)</f>
        <v>126</v>
      </c>
      <c r="U17" s="548">
        <f t="shared" si="88"/>
        <v>84</v>
      </c>
      <c r="V17" s="548">
        <f t="shared" ref="V17" si="89">SUM(V15:V16)</f>
        <v>142</v>
      </c>
      <c r="W17" s="548">
        <f t="shared" ref="W17:X17" si="90">SUM(W15:W16)</f>
        <v>167</v>
      </c>
      <c r="X17" s="548">
        <f t="shared" si="90"/>
        <v>294</v>
      </c>
      <c r="Y17" s="548">
        <f t="shared" ref="Y17" si="91">SUM(Y15:Y16)</f>
        <v>342</v>
      </c>
      <c r="Z17" s="548">
        <f>SUM(Z15:Z16)</f>
        <v>635</v>
      </c>
      <c r="AA17" s="548">
        <f>SUM(AA15:AA16)</f>
        <v>585</v>
      </c>
      <c r="AB17" s="548">
        <f t="shared" ref="AB17" si="92">SUM(AB15:AB16)</f>
        <v>657</v>
      </c>
      <c r="AC17" s="548">
        <f t="shared" ref="AC17" si="93">SUM(AC15:AC16)</f>
        <v>298</v>
      </c>
      <c r="AD17" s="548">
        <f>SUM(AD15:AD16)</f>
        <v>242</v>
      </c>
      <c r="AE17" s="548">
        <f>SUM(AE15:AE16)</f>
        <v>150</v>
      </c>
      <c r="AF17" s="548">
        <f t="shared" ref="AF17" si="94">SUM(AF15:AF16)</f>
        <v>142</v>
      </c>
      <c r="AG17" s="548">
        <f t="shared" ref="AG17" si="95">SUM(AG15:AG16)</f>
        <v>70</v>
      </c>
      <c r="AH17" s="548">
        <f>SUM(AH15:AH16)</f>
        <v>59</v>
      </c>
      <c r="AI17" s="548">
        <f>SUM(AI15:AI16)</f>
        <v>-166</v>
      </c>
      <c r="AJ17" s="548">
        <f t="shared" ref="AJ17:AR17" si="96">SUM(AJ15:AJ16)</f>
        <v>61</v>
      </c>
      <c r="AK17" s="548">
        <f t="shared" si="96"/>
        <v>48</v>
      </c>
      <c r="AL17" s="548">
        <f t="shared" si="96"/>
        <v>134</v>
      </c>
      <c r="AM17" s="548">
        <f t="shared" si="96"/>
        <v>158</v>
      </c>
      <c r="AN17" s="548">
        <f t="shared" si="96"/>
        <v>141</v>
      </c>
      <c r="AO17" s="548">
        <f t="shared" si="96"/>
        <v>81</v>
      </c>
      <c r="AP17" s="548">
        <f t="shared" si="96"/>
        <v>127</v>
      </c>
      <c r="AQ17" s="548">
        <f t="shared" si="96"/>
        <v>98</v>
      </c>
      <c r="AR17" s="548">
        <f t="shared" si="96"/>
        <v>926</v>
      </c>
    </row>
    <row r="18" spans="2:44" s="536" customFormat="1" x14ac:dyDescent="0.25">
      <c r="B18" s="547"/>
      <c r="C18" s="548"/>
      <c r="D18" s="548"/>
      <c r="E18" s="548"/>
      <c r="F18" s="548"/>
      <c r="G18" s="548"/>
      <c r="H18" s="548"/>
      <c r="I18" s="548"/>
      <c r="J18" s="548"/>
      <c r="K18" s="548"/>
      <c r="L18" s="548"/>
      <c r="M18" s="548"/>
      <c r="O18" s="548"/>
      <c r="P18" s="548"/>
      <c r="Q18" s="548"/>
      <c r="R18" s="548"/>
      <c r="S18" s="548"/>
      <c r="T18" s="548"/>
      <c r="U18" s="548"/>
      <c r="V18" s="548"/>
      <c r="W18" s="548"/>
      <c r="X18" s="548"/>
      <c r="Y18" s="548"/>
      <c r="Z18" s="548"/>
      <c r="AA18" s="548"/>
      <c r="AB18" s="548"/>
      <c r="AC18" s="548"/>
      <c r="AD18" s="548"/>
      <c r="AE18" s="548"/>
      <c r="AF18" s="548"/>
      <c r="AG18" s="548"/>
      <c r="AH18" s="548"/>
      <c r="AI18" s="548"/>
      <c r="AJ18" s="548"/>
      <c r="AK18" s="548"/>
      <c r="AL18" s="548"/>
      <c r="AM18" s="548"/>
      <c r="AN18" s="548"/>
      <c r="AO18" s="548"/>
      <c r="AP18" s="548"/>
      <c r="AQ18" s="548"/>
      <c r="AR18" s="548"/>
    </row>
    <row r="19" spans="2:44" s="536" customFormat="1" x14ac:dyDescent="0.25">
      <c r="B19" s="536" t="s">
        <v>654</v>
      </c>
      <c r="C19" s="543">
        <f t="shared" ref="C19" si="97">C17-C20</f>
        <v>407</v>
      </c>
      <c r="D19" s="543">
        <f t="shared" ref="D19:E19" si="98">D17-D20</f>
        <v>647</v>
      </c>
      <c r="E19" s="543">
        <f t="shared" si="98"/>
        <v>2159</v>
      </c>
      <c r="F19" s="543">
        <f t="shared" ref="F19:G19" si="99">F17-F20</f>
        <v>783</v>
      </c>
      <c r="G19" s="543">
        <f t="shared" si="99"/>
        <v>11</v>
      </c>
      <c r="H19" s="543">
        <f t="shared" ref="H19:M19" si="100">H17-H20</f>
        <v>475</v>
      </c>
      <c r="I19" s="543">
        <f t="shared" si="100"/>
        <v>1240</v>
      </c>
      <c r="J19" s="543">
        <f t="shared" si="100"/>
        <v>364</v>
      </c>
      <c r="K19" s="543">
        <f t="shared" si="100"/>
        <v>-122</v>
      </c>
      <c r="L19" s="543">
        <f t="shared" si="100"/>
        <v>509</v>
      </c>
      <c r="M19" s="543">
        <f t="shared" si="100"/>
        <v>464</v>
      </c>
      <c r="N19" s="543"/>
      <c r="O19" s="543">
        <f t="shared" ref="O19" si="101">O17-O20</f>
        <v>93</v>
      </c>
      <c r="P19" s="543">
        <f t="shared" ref="P19" si="102">P17-P20</f>
        <v>91</v>
      </c>
      <c r="Q19" s="543">
        <f>C19-R19-S19-T19</f>
        <v>70</v>
      </c>
      <c r="R19" s="543">
        <f t="shared" ref="R19:S19" si="103">R17-R20</f>
        <v>113</v>
      </c>
      <c r="S19" s="543">
        <f t="shared" si="103"/>
        <v>115</v>
      </c>
      <c r="T19" s="543">
        <f t="shared" ref="T19" si="104">T17-T20</f>
        <v>109</v>
      </c>
      <c r="U19" s="543" t="e">
        <f>#REF!-V19-W19-X19</f>
        <v>#REF!</v>
      </c>
      <c r="V19" s="543">
        <f t="shared" ref="V19" si="105">V17-V20</f>
        <v>137</v>
      </c>
      <c r="W19" s="543">
        <f t="shared" ref="W19:X19" si="106">W17-W20</f>
        <v>163</v>
      </c>
      <c r="X19" s="543">
        <f t="shared" si="106"/>
        <v>269</v>
      </c>
      <c r="Y19" s="543">
        <f>E19-Z19-AA19-AB19</f>
        <v>331</v>
      </c>
      <c r="Z19" s="543">
        <f t="shared" ref="Z19:AA19" si="107">Z17-Z20</f>
        <v>633</v>
      </c>
      <c r="AA19" s="543">
        <f t="shared" si="107"/>
        <v>563</v>
      </c>
      <c r="AB19" s="543">
        <f t="shared" ref="AB19" si="108">AB17-AB20</f>
        <v>632</v>
      </c>
      <c r="AC19" s="543">
        <f>F19-AD19-AE19-AF19</f>
        <v>283</v>
      </c>
      <c r="AD19" s="543">
        <f t="shared" ref="AD19" si="109">AD17-AD20</f>
        <v>225</v>
      </c>
      <c r="AE19" s="543">
        <f t="shared" ref="AE19:AF19" si="110">AE17-AE20</f>
        <v>140</v>
      </c>
      <c r="AF19" s="543">
        <f t="shared" si="110"/>
        <v>135</v>
      </c>
      <c r="AG19" s="543">
        <f t="shared" ref="AG19:AG20" si="111">G19-AH19-AI19-AJ19</f>
        <v>65</v>
      </c>
      <c r="AH19" s="543">
        <f t="shared" ref="AH19" si="112">AH17-AH20</f>
        <v>54</v>
      </c>
      <c r="AI19" s="543">
        <f t="shared" ref="AI19:AR19" si="113">AI17-AI20</f>
        <v>-168</v>
      </c>
      <c r="AJ19" s="543">
        <f t="shared" si="113"/>
        <v>60</v>
      </c>
      <c r="AK19" s="543">
        <f t="shared" si="113"/>
        <v>48</v>
      </c>
      <c r="AL19" s="543">
        <f t="shared" si="113"/>
        <v>130</v>
      </c>
      <c r="AM19" s="543">
        <f t="shared" si="113"/>
        <v>158</v>
      </c>
      <c r="AN19" s="543">
        <f t="shared" si="113"/>
        <v>139</v>
      </c>
      <c r="AO19" s="543">
        <f t="shared" si="113"/>
        <v>79</v>
      </c>
      <c r="AP19" s="543">
        <f t="shared" si="113"/>
        <v>129</v>
      </c>
      <c r="AQ19" s="543">
        <f t="shared" si="113"/>
        <v>101</v>
      </c>
      <c r="AR19" s="543">
        <f t="shared" si="113"/>
        <v>928</v>
      </c>
    </row>
    <row r="20" spans="2:44" s="536" customFormat="1" x14ac:dyDescent="0.25">
      <c r="B20" s="536" t="s">
        <v>655</v>
      </c>
      <c r="C20" s="543">
        <v>57</v>
      </c>
      <c r="D20" s="543">
        <v>40</v>
      </c>
      <c r="E20" s="543">
        <v>60</v>
      </c>
      <c r="F20" s="543">
        <v>49</v>
      </c>
      <c r="G20" s="543">
        <v>13</v>
      </c>
      <c r="H20" s="543">
        <v>6</v>
      </c>
      <c r="I20" s="543">
        <v>-5</v>
      </c>
      <c r="J20" s="543">
        <v>-17</v>
      </c>
      <c r="K20" s="543">
        <v>-50</v>
      </c>
      <c r="L20" s="543">
        <v>-3</v>
      </c>
      <c r="M20" s="543">
        <v>2</v>
      </c>
      <c r="N20" s="543"/>
      <c r="O20" s="543">
        <v>15</v>
      </c>
      <c r="P20" s="543">
        <v>15</v>
      </c>
      <c r="Q20" s="543">
        <f>C20-R20-S20-T20</f>
        <v>11</v>
      </c>
      <c r="R20" s="543">
        <v>14</v>
      </c>
      <c r="S20" s="543">
        <v>15</v>
      </c>
      <c r="T20" s="543">
        <v>17</v>
      </c>
      <c r="U20" s="543" t="e">
        <f>#REF!-V20-W20-X20</f>
        <v>#REF!</v>
      </c>
      <c r="V20" s="543">
        <v>5</v>
      </c>
      <c r="W20" s="543">
        <v>4</v>
      </c>
      <c r="X20" s="543">
        <v>25</v>
      </c>
      <c r="Y20" s="543">
        <f>E20-Z20-AA20-AB20</f>
        <v>11</v>
      </c>
      <c r="Z20" s="543">
        <v>2</v>
      </c>
      <c r="AA20" s="543">
        <v>22</v>
      </c>
      <c r="AB20" s="543">
        <v>25</v>
      </c>
      <c r="AC20" s="543">
        <f>F20-AD20-AE20-AF20</f>
        <v>15</v>
      </c>
      <c r="AD20" s="543">
        <v>17</v>
      </c>
      <c r="AE20" s="543">
        <v>10</v>
      </c>
      <c r="AF20" s="543">
        <v>7</v>
      </c>
      <c r="AG20" s="543">
        <f t="shared" si="111"/>
        <v>5</v>
      </c>
      <c r="AH20" s="543">
        <v>5</v>
      </c>
      <c r="AI20" s="543">
        <v>2</v>
      </c>
      <c r="AJ20" s="543">
        <v>1</v>
      </c>
      <c r="AK20" s="543">
        <f>H20-AL20-AM20-AN20</f>
        <v>0</v>
      </c>
      <c r="AL20" s="543">
        <v>4</v>
      </c>
      <c r="AM20" s="543">
        <v>0</v>
      </c>
      <c r="AN20" s="543">
        <v>2</v>
      </c>
      <c r="AO20" s="543">
        <f>I20-AP20-AQ20-AR20</f>
        <v>2</v>
      </c>
      <c r="AP20" s="543">
        <v>-2</v>
      </c>
      <c r="AQ20" s="543">
        <v>-3</v>
      </c>
      <c r="AR20" s="543">
        <v>-2</v>
      </c>
    </row>
    <row r="21" spans="2:44" s="536" customFormat="1" x14ac:dyDescent="0.25">
      <c r="C21" s="543"/>
      <c r="D21" s="543"/>
      <c r="E21" s="543"/>
      <c r="F21" s="543"/>
      <c r="G21" s="543"/>
      <c r="H21" s="543"/>
      <c r="I21" s="543"/>
      <c r="J21" s="543"/>
      <c r="K21" s="543"/>
      <c r="L21" s="543"/>
      <c r="M21" s="543"/>
      <c r="N21" s="543"/>
      <c r="O21" s="543"/>
      <c r="P21" s="543"/>
      <c r="Q21" s="543"/>
      <c r="R21" s="543"/>
      <c r="S21" s="543"/>
      <c r="T21" s="543"/>
      <c r="U21" s="543"/>
      <c r="V21" s="543"/>
      <c r="W21" s="543"/>
      <c r="X21" s="543"/>
      <c r="Y21" s="543"/>
      <c r="Z21" s="543"/>
      <c r="AA21" s="543"/>
      <c r="AB21" s="543"/>
      <c r="AC21" s="543"/>
      <c r="AD21" s="543"/>
      <c r="AE21" s="543"/>
      <c r="AF21" s="543"/>
      <c r="AG21" s="543"/>
      <c r="AH21" s="543"/>
      <c r="AI21" s="543"/>
      <c r="AJ21" s="543"/>
      <c r="AK21" s="543"/>
      <c r="AL21" s="543"/>
      <c r="AM21" s="543"/>
      <c r="AN21" s="543"/>
      <c r="AO21" s="543"/>
      <c r="AP21" s="543"/>
      <c r="AQ21" s="543"/>
      <c r="AR21" s="543"/>
    </row>
    <row r="22" spans="2:44" s="547" customFormat="1" x14ac:dyDescent="0.25">
      <c r="B22" s="547" t="s">
        <v>656</v>
      </c>
      <c r="C22" s="553">
        <f t="shared" ref="C22:F22" si="114">C3/D3-1</f>
        <v>-9.2223991507430991E-2</v>
      </c>
      <c r="D22" s="553">
        <f t="shared" si="114"/>
        <v>-0.24752870693959061</v>
      </c>
      <c r="E22" s="553">
        <f t="shared" si="114"/>
        <v>0.43997124370956153</v>
      </c>
      <c r="F22" s="553">
        <f t="shared" si="114"/>
        <v>0.37913940115010902</v>
      </c>
      <c r="G22" s="553">
        <f t="shared" ref="G22:L22" si="115">G3/H3-1</f>
        <v>-4.3255549231644874E-2</v>
      </c>
      <c r="H22" s="553">
        <f t="shared" si="115"/>
        <v>-5.1295896328293789E-2</v>
      </c>
      <c r="I22" s="553">
        <f t="shared" si="115"/>
        <v>2.5470653377630104E-2</v>
      </c>
      <c r="J22" s="553">
        <f t="shared" si="115"/>
        <v>1.0255454036919742E-2</v>
      </c>
      <c r="K22" s="553">
        <f t="shared" si="115"/>
        <v>-7.7705827937095684E-3</v>
      </c>
      <c r="L22" s="553">
        <f t="shared" si="115"/>
        <v>-0.11552937326133206</v>
      </c>
      <c r="M22" s="553"/>
      <c r="N22" s="553"/>
      <c r="O22" s="553">
        <f t="shared" ref="O22" si="116">O3/P3-1</f>
        <v>3.6785512167515577E-2</v>
      </c>
      <c r="P22" s="553">
        <f t="shared" ref="P22" si="117">P3/Q3-1</f>
        <v>0.10368519675203003</v>
      </c>
      <c r="Q22" s="553">
        <f t="shared" ref="Q22" si="118">Q3/R3-1</f>
        <v>-8.6708499714774678E-2</v>
      </c>
      <c r="R22" s="553">
        <f t="shared" ref="R22:S22" si="119">R3/S3-1</f>
        <v>5.7077625570767232E-4</v>
      </c>
      <c r="S22" s="553">
        <f t="shared" si="119"/>
        <v>9.7982708933717078E-3</v>
      </c>
      <c r="T22" s="553">
        <f t="shared" ref="T22" si="120">T3/U3-1</f>
        <v>-4.0183696900114585E-3</v>
      </c>
      <c r="U22" s="553">
        <f t="shared" ref="U22" si="121">U3/V3-1</f>
        <v>-6.4446831364124546E-2</v>
      </c>
      <c r="V22" s="553">
        <f t="shared" ref="V22:X22" si="122">V3/W3-1</f>
        <v>1.5267175572519109E-2</v>
      </c>
      <c r="W22" s="553">
        <f t="shared" si="122"/>
        <v>-0.12583412774070546</v>
      </c>
      <c r="X22" s="553">
        <f t="shared" si="122"/>
        <v>3.3476805356289496E-3</v>
      </c>
      <c r="Y22" s="553">
        <f t="shared" ref="Y22" si="123">Y3/Z3-1</f>
        <v>-0.16990869392616115</v>
      </c>
      <c r="Z22" s="553">
        <f t="shared" ref="Z22" si="124">Z3/AA3-1</f>
        <v>-0.12534722222222228</v>
      </c>
      <c r="AA22" s="553">
        <f t="shared" ref="AA22" si="125">AA3/AB3-1</f>
        <v>0.1405940594059405</v>
      </c>
      <c r="AB22" s="553">
        <f t="shared" ref="AB22" si="126">AB3/AC3-1</f>
        <v>0.23895976447497547</v>
      </c>
      <c r="AC22" s="553">
        <f t="shared" ref="AC22" si="127">AC3/AD3-1</f>
        <v>0.13854748603351963</v>
      </c>
      <c r="AD22" s="553">
        <f t="shared" ref="AD22:AE22" si="128">AD3/AE3-1</f>
        <v>0.10698824984539268</v>
      </c>
      <c r="AE22" s="553">
        <f t="shared" si="128"/>
        <v>7.0860927152317954E-2</v>
      </c>
      <c r="AF22" s="553">
        <f t="shared" ref="AF22" si="129">AF3/AG3-1</f>
        <v>0.14654517843583892</v>
      </c>
      <c r="AG22" s="553">
        <f t="shared" ref="AG22:AQ22" si="130">AG3/AH3-1</f>
        <v>9.3853820598006621E-2</v>
      </c>
      <c r="AH22" s="553">
        <f t="shared" si="130"/>
        <v>8.3125519534488213E-4</v>
      </c>
      <c r="AI22" s="553">
        <f t="shared" si="130"/>
        <v>-8.7945413191811928E-2</v>
      </c>
      <c r="AJ22" s="553">
        <f t="shared" si="130"/>
        <v>0.19258589511754076</v>
      </c>
      <c r="AK22" s="553">
        <f t="shared" si="130"/>
        <v>-0.16528301886792451</v>
      </c>
      <c r="AL22" s="553">
        <f t="shared" si="130"/>
        <v>-7.0175438596491224E-2</v>
      </c>
      <c r="AM22" s="553">
        <f t="shared" si="130"/>
        <v>7.0671378091873294E-3</v>
      </c>
      <c r="AN22" s="553">
        <f t="shared" si="130"/>
        <v>3.5460992907800915E-3</v>
      </c>
      <c r="AO22" s="553">
        <f t="shared" si="130"/>
        <v>2.8446389496717739E-2</v>
      </c>
      <c r="AP22" s="553">
        <f t="shared" si="130"/>
        <v>0</v>
      </c>
      <c r="AQ22" s="553">
        <f t="shared" si="130"/>
        <v>-2.3504273504273532E-2</v>
      </c>
      <c r="AR22" s="553"/>
    </row>
    <row r="23" spans="2:44" s="536" customFormat="1" x14ac:dyDescent="0.25">
      <c r="B23" s="547"/>
      <c r="C23" s="548"/>
      <c r="D23" s="548"/>
      <c r="E23" s="548"/>
      <c r="F23" s="548"/>
      <c r="G23" s="548"/>
      <c r="H23" s="548"/>
      <c r="I23" s="548"/>
      <c r="J23" s="548"/>
      <c r="K23" s="548"/>
      <c r="L23" s="548"/>
      <c r="M23" s="548"/>
      <c r="O23" s="548"/>
      <c r="P23" s="548"/>
      <c r="Q23" s="548"/>
      <c r="R23" s="548"/>
      <c r="S23" s="548"/>
      <c r="T23" s="548"/>
      <c r="U23" s="548"/>
      <c r="V23" s="548"/>
      <c r="W23" s="548"/>
      <c r="X23" s="548"/>
      <c r="Y23" s="548"/>
      <c r="Z23" s="548"/>
      <c r="AA23" s="548"/>
      <c r="AB23" s="548"/>
      <c r="AC23" s="548"/>
      <c r="AD23" s="548"/>
      <c r="AE23" s="548"/>
      <c r="AF23" s="548"/>
      <c r="AG23" s="548"/>
      <c r="AH23" s="548"/>
      <c r="AI23" s="548"/>
      <c r="AJ23" s="548"/>
      <c r="AK23" s="548"/>
      <c r="AL23" s="548"/>
      <c r="AM23" s="548"/>
      <c r="AN23" s="548"/>
      <c r="AO23" s="548"/>
      <c r="AP23" s="548"/>
      <c r="AQ23" s="548"/>
      <c r="AR23" s="548"/>
    </row>
    <row r="24" spans="2:44" s="536" customFormat="1" x14ac:dyDescent="0.25">
      <c r="B24" s="554" t="s">
        <v>657</v>
      </c>
      <c r="C24" s="555"/>
      <c r="D24" s="555"/>
      <c r="E24" s="555"/>
      <c r="F24" s="555"/>
      <c r="G24" s="555"/>
      <c r="H24" s="555"/>
      <c r="I24" s="555"/>
      <c r="J24" s="555"/>
      <c r="K24" s="555"/>
      <c r="L24" s="555"/>
      <c r="M24" s="556"/>
      <c r="O24" s="555"/>
      <c r="P24" s="555"/>
      <c r="Q24" s="555"/>
      <c r="R24" s="555"/>
      <c r="S24" s="555"/>
      <c r="T24" s="555"/>
      <c r="U24" s="555"/>
      <c r="V24" s="555"/>
      <c r="W24" s="555"/>
      <c r="X24" s="555"/>
      <c r="Y24" s="557"/>
      <c r="Z24" s="557"/>
      <c r="AA24" s="557"/>
      <c r="AB24" s="555"/>
      <c r="AC24" s="555"/>
      <c r="AD24" s="557"/>
      <c r="AE24" s="557"/>
      <c r="AF24" s="555"/>
      <c r="AG24" s="555"/>
      <c r="AH24" s="557"/>
      <c r="AI24" s="557"/>
      <c r="AJ24" s="555"/>
      <c r="AK24" s="555"/>
      <c r="AL24" s="555"/>
      <c r="AM24" s="555"/>
      <c r="AN24" s="555"/>
      <c r="AO24" s="555"/>
      <c r="AP24" s="555"/>
      <c r="AQ24" s="555"/>
      <c r="AR24" s="556"/>
    </row>
    <row r="25" spans="2:44" s="536" customFormat="1" x14ac:dyDescent="0.25">
      <c r="B25" s="558" t="str">
        <f>B4</f>
        <v>עלות העבודות השירותים ומתן המכירות, העבודות</v>
      </c>
      <c r="C25" s="559">
        <f t="shared" ref="C25" si="131">IFERROR(IF(-C4/C$3&lt;0,C4/C$3,-C4/C$3),"")</f>
        <v>0.67022365151293672</v>
      </c>
      <c r="D25" s="559">
        <f t="shared" ref="D25:E25" si="132">IFERROR(IF(-D4/D$3&lt;0,D4/D$3,-D4/D$3),"")</f>
        <v>0.64556794055201694</v>
      </c>
      <c r="E25" s="559">
        <f t="shared" si="132"/>
        <v>0.49755366949575636</v>
      </c>
      <c r="F25" s="559">
        <f t="shared" ref="F25:G25" si="133">IFERROR(IF(-F4/F$3&lt;0,F4/F$3,-F4/F$3),"")</f>
        <v>0.62458662832494605</v>
      </c>
      <c r="G25" s="559">
        <f t="shared" si="133"/>
        <v>0.70454094784850285</v>
      </c>
      <c r="H25" s="559">
        <f t="shared" ref="H25:M29" si="134">IFERROR(IF(-H4/H$3&lt;0,H4/H$3,-H4/H$3),"")</f>
        <v>0.6552836273951812</v>
      </c>
      <c r="I25" s="559">
        <f t="shared" si="134"/>
        <v>0.66630669546436283</v>
      </c>
      <c r="J25" s="559">
        <f t="shared" si="134"/>
        <v>0.69139904023624954</v>
      </c>
      <c r="K25" s="559">
        <f t="shared" si="134"/>
        <v>0.69047175088569834</v>
      </c>
      <c r="L25" s="559">
        <f t="shared" si="134"/>
        <v>0.66641998149861237</v>
      </c>
      <c r="M25" s="560">
        <f t="shared" si="134"/>
        <v>0.64064801178203246</v>
      </c>
      <c r="O25" s="559">
        <f t="shared" ref="O25" si="135">IFERROR(IF(-O4/O$3&lt;0,O4/O$3,-O4/O$3),"")</f>
        <v>0.69759825327510916</v>
      </c>
      <c r="P25" s="559">
        <f t="shared" ref="P25" si="136">IFERROR(IF(-P4/P$3&lt;0,P4/P$3,-P4/P$3),"")</f>
        <v>0.68307866440294285</v>
      </c>
      <c r="Q25" s="559">
        <f t="shared" ref="Q25" si="137">IFERROR(IF(-Q4/Q$3&lt;0,Q4/Q$3,-Q4/Q$3),"")</f>
        <v>0.66583385384134919</v>
      </c>
      <c r="R25" s="559">
        <f t="shared" ref="R25:S25" si="138">IFERROR(IF(-R4/R$3&lt;0,R4/R$3,-R4/R$3),"")</f>
        <v>0.66001140901312039</v>
      </c>
      <c r="S25" s="559">
        <f t="shared" si="138"/>
        <v>0.67579908675799083</v>
      </c>
      <c r="T25" s="559">
        <f t="shared" ref="T25:U25" si="139">IFERROR(IF(-T4/T$3&lt;0,T4/T$3,-T4/T$3),"")</f>
        <v>0.67896253602305479</v>
      </c>
      <c r="U25" s="559">
        <f t="shared" si="139"/>
        <v>0.64867967853042485</v>
      </c>
      <c r="V25" s="559">
        <f t="shared" ref="V25" si="140">IFERROR(IF(-V4/V$3&lt;0,V4/V$3,-V4/V$3),"")</f>
        <v>0.68528464017185819</v>
      </c>
      <c r="W25" s="559">
        <f t="shared" ref="W25:X29" si="141">IFERROR(IF(-W4/W$3&lt;0,W4/W$3,-W4/W$3),"")</f>
        <v>0.64830970556161394</v>
      </c>
      <c r="X25" s="559">
        <f t="shared" si="141"/>
        <v>0.60533841754051476</v>
      </c>
      <c r="Y25" s="561">
        <f t="shared" ref="Y25:AA29" si="142">IFERROR(IF(-Y4/Y$3&lt;0,Y4/Y$3,-Y4/Y$3),"")</f>
        <v>0.55380200860832141</v>
      </c>
      <c r="Z25" s="561">
        <f t="shared" si="142"/>
        <v>0.47796744739976182</v>
      </c>
      <c r="AA25" s="561">
        <f t="shared" si="142"/>
        <v>0.46562500000000001</v>
      </c>
      <c r="AB25" s="559">
        <f t="shared" ref="AB25" si="143">IFERROR(IF(-AB4/AB$3&lt;0,AB4/AB$3,-AB4/AB$3),"")</f>
        <v>0.50693069306930694</v>
      </c>
      <c r="AC25" s="559">
        <f t="shared" ref="AC25:AC29" si="144">IFERROR(IF(-AC4/AC$3&lt;0,AC4/AC$3,-AC4/AC$3),"")</f>
        <v>0.57948969578017662</v>
      </c>
      <c r="AD25" s="561">
        <f t="shared" ref="AD25" si="145">IFERROR(IF(-AD4/AD$3&lt;0,AD4/AD$3,-AD4/AD$3),"")</f>
        <v>0.61508379888268161</v>
      </c>
      <c r="AE25" s="561">
        <f t="shared" ref="AE25:AF25" si="146">IFERROR(IF(-AE4/AE$3&lt;0,AE4/AE$3,-AE4/AE$3),"")</f>
        <v>0.64749536178107603</v>
      </c>
      <c r="AF25" s="559">
        <f t="shared" si="146"/>
        <v>0.67218543046357615</v>
      </c>
      <c r="AG25" s="559">
        <f t="shared" ref="AG25" si="147">IFERROR(IF(-AG4/AG$3&lt;0,AG4/AG$3,-AG4/AG$3),"")</f>
        <v>0.69248291571753984</v>
      </c>
      <c r="AH25" s="561">
        <f t="shared" ref="AH25" si="148">IFERROR(IF(-AH4/AH$3&lt;0,AH4/AH$3,-AH4/AH$3),"")</f>
        <v>0.69684385382059799</v>
      </c>
      <c r="AI25" s="561">
        <f t="shared" ref="AI25:AR25" si="149">IFERROR(IF(-AI4/AI$3&lt;0,AI4/AI$3,-AI4/AI$3),"")</f>
        <v>0.7339983374896093</v>
      </c>
      <c r="AJ25" s="559">
        <f t="shared" si="149"/>
        <v>0.69673995451099313</v>
      </c>
      <c r="AK25" s="559">
        <f t="shared" si="149"/>
        <v>0.69620253164556967</v>
      </c>
      <c r="AL25" s="559">
        <f t="shared" si="149"/>
        <v>0.64377358490566039</v>
      </c>
      <c r="AM25" s="559">
        <f t="shared" si="149"/>
        <v>0.64350877192982459</v>
      </c>
      <c r="AN25" s="559">
        <f t="shared" si="149"/>
        <v>0.64593639575971729</v>
      </c>
      <c r="AO25" s="559">
        <f t="shared" si="149"/>
        <v>0.6404255319148936</v>
      </c>
      <c r="AP25" s="559">
        <f t="shared" si="149"/>
        <v>0.66593727206418674</v>
      </c>
      <c r="AQ25" s="559">
        <f t="shared" si="149"/>
        <v>0.66593727206418674</v>
      </c>
      <c r="AR25" s="560">
        <f t="shared" si="149"/>
        <v>0.69301994301994307</v>
      </c>
    </row>
    <row r="26" spans="2:44" s="536" customFormat="1" x14ac:dyDescent="0.25">
      <c r="B26" s="562" t="str">
        <f>B5</f>
        <v>רווח גולמי</v>
      </c>
      <c r="C26" s="563">
        <f t="shared" ref="C26" si="150">IFERROR(IF(-C5/C$3&lt;0,C5/C$3,-C5/C$3),"")</f>
        <v>0.32977634848706328</v>
      </c>
      <c r="D26" s="563">
        <f t="shared" ref="D26:E26" si="151">IFERROR(IF(-D5/D$3&lt;0,D5/D$3,-D5/D$3),"")</f>
        <v>0.35443205944798301</v>
      </c>
      <c r="E26" s="563">
        <f t="shared" si="151"/>
        <v>0.50244633050424359</v>
      </c>
      <c r="F26" s="563">
        <f t="shared" ref="F26:G26" si="152">IFERROR(IF(-F5/F$3&lt;0,F5/F$3,-F5/F$3),"")</f>
        <v>0.3754133716750539</v>
      </c>
      <c r="G26" s="563">
        <f t="shared" si="152"/>
        <v>0.29545905215149715</v>
      </c>
      <c r="H26" s="563">
        <f t="shared" si="134"/>
        <v>0.3447163726048188</v>
      </c>
      <c r="I26" s="563">
        <f t="shared" si="134"/>
        <v>0.33369330453563717</v>
      </c>
      <c r="J26" s="563">
        <f t="shared" si="134"/>
        <v>0.30860095976375046</v>
      </c>
      <c r="K26" s="563">
        <f t="shared" si="134"/>
        <v>0.30952824911430171</v>
      </c>
      <c r="L26" s="563">
        <f t="shared" si="134"/>
        <v>0.33358001850138763</v>
      </c>
      <c r="M26" s="564">
        <f t="shared" si="134"/>
        <v>0.3593519882179676</v>
      </c>
      <c r="O26" s="563">
        <f t="shared" ref="O26" si="153">IFERROR(IF(-O5/O$3&lt;0,O5/O$3,-O5/O$3),"")</f>
        <v>0.30240174672489084</v>
      </c>
      <c r="P26" s="563">
        <f t="shared" ref="P26" si="154">IFERROR(IF(-P5/P$3&lt;0,P5/P$3,-P5/P$3),"")</f>
        <v>0.31692133559705715</v>
      </c>
      <c r="Q26" s="563">
        <f t="shared" ref="Q26" si="155">IFERROR(IF(-Q5/Q$3&lt;0,Q5/Q$3,-Q5/Q$3),"")</f>
        <v>0.33416614615865087</v>
      </c>
      <c r="R26" s="563">
        <f t="shared" ref="R26:S26" si="156">IFERROR(IF(-R5/R$3&lt;0,R5/R$3,-R5/R$3),"")</f>
        <v>0.33998859098687961</v>
      </c>
      <c r="S26" s="563">
        <f t="shared" si="156"/>
        <v>0.32420091324200911</v>
      </c>
      <c r="T26" s="563">
        <f t="shared" ref="T26:U26" si="157">IFERROR(IF(-T5/T$3&lt;0,T5/T$3,-T5/T$3),"")</f>
        <v>0.32103746397694527</v>
      </c>
      <c r="U26" s="563">
        <f t="shared" si="157"/>
        <v>0.3513203214695752</v>
      </c>
      <c r="V26" s="563">
        <f t="shared" ref="V26" si="158">IFERROR(IF(-V5/V$3&lt;0,V5/V$3,-V5/V$3),"")</f>
        <v>0.31471535982814181</v>
      </c>
      <c r="W26" s="563">
        <f t="shared" si="141"/>
        <v>0.35169029443838606</v>
      </c>
      <c r="X26" s="563">
        <f t="shared" si="141"/>
        <v>0.39466158245948524</v>
      </c>
      <c r="Y26" s="565">
        <f t="shared" si="142"/>
        <v>0.44619799139167865</v>
      </c>
      <c r="Z26" s="565">
        <f t="shared" si="142"/>
        <v>0.52203255260023818</v>
      </c>
      <c r="AA26" s="565">
        <f t="shared" si="142"/>
        <v>0.53437500000000004</v>
      </c>
      <c r="AB26" s="563">
        <f t="shared" ref="AB26" si="159">IFERROR(IF(-AB5/AB$3&lt;0,AB5/AB$3,-AB5/AB$3),"")</f>
        <v>0.49306930693069306</v>
      </c>
      <c r="AC26" s="563">
        <f t="shared" si="144"/>
        <v>0.42051030421982338</v>
      </c>
      <c r="AD26" s="565">
        <f t="shared" ref="AD26" si="160">IFERROR(IF(-AD5/AD$3&lt;0,AD5/AD$3,-AD5/AD$3),"")</f>
        <v>0.38491620111731845</v>
      </c>
      <c r="AE26" s="565">
        <f t="shared" ref="AE26:AF26" si="161">IFERROR(IF(-AE5/AE$3&lt;0,AE5/AE$3,-AE5/AE$3),"")</f>
        <v>0.35250463821892392</v>
      </c>
      <c r="AF26" s="563">
        <f t="shared" si="161"/>
        <v>0.32781456953642385</v>
      </c>
      <c r="AG26" s="563">
        <f t="shared" ref="AG26" si="162">IFERROR(IF(-AG5/AG$3&lt;0,AG5/AG$3,-AG5/AG$3),"")</f>
        <v>0.30751708428246016</v>
      </c>
      <c r="AH26" s="565">
        <f t="shared" ref="AH26" si="163">IFERROR(IF(-AH5/AH$3&lt;0,AH5/AH$3,-AH5/AH$3),"")</f>
        <v>0.30315614617940201</v>
      </c>
      <c r="AI26" s="565">
        <f t="shared" ref="AI26:AR26" si="164">IFERROR(IF(-AI5/AI$3&lt;0,AI5/AI$3,-AI5/AI$3),"")</f>
        <v>0.2660016625103907</v>
      </c>
      <c r="AJ26" s="563">
        <f t="shared" si="164"/>
        <v>0.30326004548900681</v>
      </c>
      <c r="AK26" s="563">
        <f t="shared" si="164"/>
        <v>0.30379746835443039</v>
      </c>
      <c r="AL26" s="563">
        <f t="shared" si="164"/>
        <v>0.35622641509433961</v>
      </c>
      <c r="AM26" s="563">
        <f t="shared" si="164"/>
        <v>0.35649122807017541</v>
      </c>
      <c r="AN26" s="563">
        <f t="shared" si="164"/>
        <v>0.35406360424028266</v>
      </c>
      <c r="AO26" s="563">
        <f t="shared" si="164"/>
        <v>0.3595744680851064</v>
      </c>
      <c r="AP26" s="563">
        <f t="shared" si="164"/>
        <v>0.33406272793581326</v>
      </c>
      <c r="AQ26" s="563">
        <f t="shared" si="164"/>
        <v>0.33406272793581326</v>
      </c>
      <c r="AR26" s="564">
        <f t="shared" si="164"/>
        <v>0.30698005698005698</v>
      </c>
    </row>
    <row r="27" spans="2:44" s="536" customFormat="1" x14ac:dyDescent="0.25">
      <c r="B27" s="566" t="str">
        <f>B6</f>
        <v>הוצאות מכירה ושיווק</v>
      </c>
      <c r="C27" s="567">
        <f t="shared" ref="C27" si="165">IFERROR(IF(-C6/C$3&lt;0,C6/C$3,-C6/C$3),"")</f>
        <v>0.16284168981143107</v>
      </c>
      <c r="D27" s="567">
        <f t="shared" ref="D27:E27" si="166">IFERROR(IF(-D6/D$3&lt;0,D6/D$3,-D6/D$3),"")</f>
        <v>0.1450371549893843</v>
      </c>
      <c r="E27" s="567">
        <f t="shared" si="166"/>
        <v>0.11792311532700948</v>
      </c>
      <c r="F27" s="567">
        <f t="shared" ref="F27:G27" si="167">IFERROR(IF(-F6/F$3&lt;0,F6/F$3,-F6/F$3),"")</f>
        <v>0.15341480948957584</v>
      </c>
      <c r="G27" s="567">
        <f t="shared" si="167"/>
        <v>0.1518937140590918</v>
      </c>
      <c r="H27" s="567">
        <f t="shared" si="134"/>
        <v>0.14551318535382279</v>
      </c>
      <c r="I27" s="567">
        <f t="shared" si="134"/>
        <v>0.14362850971922247</v>
      </c>
      <c r="J27" s="567">
        <f t="shared" si="134"/>
        <v>0.13768918420081211</v>
      </c>
      <c r="K27" s="567">
        <f t="shared" si="134"/>
        <v>0.13462614208465412</v>
      </c>
      <c r="L27" s="567">
        <f t="shared" si="134"/>
        <v>0.12081406105457909</v>
      </c>
      <c r="M27" s="568">
        <f t="shared" si="134"/>
        <v>0.13729340533464246</v>
      </c>
      <c r="O27" s="567">
        <f t="shared" ref="O27" si="168">IFERROR(IF(-O6/O$3&lt;0,O6/O$3,-O6/O$3),"")</f>
        <v>0.14956331877729256</v>
      </c>
      <c r="P27" s="567">
        <f t="shared" ref="P27" si="169">IFERROR(IF(-P6/P$3&lt;0,P6/P$3,-P6/P$3),"")</f>
        <v>0.15166949632144877</v>
      </c>
      <c r="Q27" s="567">
        <f t="shared" ref="Q27" si="170">IFERROR(IF(-Q6/Q$3&lt;0,Q6/Q$3,-Q6/Q$3),"")</f>
        <v>0.1755153029356652</v>
      </c>
      <c r="R27" s="567">
        <f t="shared" ref="R27:S27" si="171">IFERROR(IF(-R6/R$3&lt;0,R6/R$3,-R6/R$3),"")</f>
        <v>0.15972618368511124</v>
      </c>
      <c r="S27" s="567">
        <f t="shared" si="171"/>
        <v>0.15981735159817351</v>
      </c>
      <c r="T27" s="567">
        <f t="shared" ref="T27:U27" si="172">IFERROR(IF(-T6/T$3&lt;0,T6/T$3,-T6/T$3),"")</f>
        <v>0.15734870317002883</v>
      </c>
      <c r="U27" s="567">
        <f t="shared" si="172"/>
        <v>0.16417910447761194</v>
      </c>
      <c r="V27" s="567">
        <f t="shared" ref="V27" si="173">IFERROR(IF(-V6/V$3&lt;0,V6/V$3,-V6/V$3),"")</f>
        <v>0.14178302900107412</v>
      </c>
      <c r="W27" s="567">
        <f t="shared" si="141"/>
        <v>0.15212649945474374</v>
      </c>
      <c r="X27" s="567">
        <f t="shared" si="141"/>
        <v>0.12583412774070543</v>
      </c>
      <c r="Y27" s="569">
        <f t="shared" si="142"/>
        <v>0.13438546150167385</v>
      </c>
      <c r="Z27" s="569">
        <f t="shared" si="142"/>
        <v>0.11909487892020643</v>
      </c>
      <c r="AA27" s="569">
        <f t="shared" si="142"/>
        <v>0.11145833333333334</v>
      </c>
      <c r="AB27" s="567">
        <f t="shared" ref="AB27" si="174">IFERROR(IF(-AB6/AB$3&lt;0,AB6/AB$3,-AB6/AB$3),"")</f>
        <v>0.1104950495049505</v>
      </c>
      <c r="AC27" s="567">
        <f t="shared" si="144"/>
        <v>0.1491658488714426</v>
      </c>
      <c r="AD27" s="569">
        <f t="shared" ref="AD27" si="175">IFERROR(IF(-AD6/AD$3&lt;0,AD6/AD$3,-AD6/AD$3),"")</f>
        <v>0.16089385474860335</v>
      </c>
      <c r="AE27" s="569">
        <f t="shared" ref="AE27:AF27" si="176">IFERROR(IF(-AE6/AE$3&lt;0,AE6/AE$3,-AE6/AE$3),"")</f>
        <v>0.15213358070500926</v>
      </c>
      <c r="AF27" s="567">
        <f t="shared" si="176"/>
        <v>0.15165562913907285</v>
      </c>
      <c r="AG27" s="567">
        <f t="shared" ref="AG27" si="177">IFERROR(IF(-AG6/AG$3&lt;0,AG6/AG$3,-AG6/AG$3),"")</f>
        <v>0.15489749430523919</v>
      </c>
      <c r="AH27" s="569">
        <f t="shared" ref="AH27" si="178">IFERROR(IF(-AH6/AH$3&lt;0,AH6/AH$3,-AH6/AH$3),"")</f>
        <v>0.15863787375415284</v>
      </c>
      <c r="AI27" s="569">
        <f t="shared" ref="AI27:AR27" si="179">IFERROR(IF(-AI6/AI$3&lt;0,AI6/AI$3,-AI6/AI$3),"")</f>
        <v>0.15211970074812967</v>
      </c>
      <c r="AJ27" s="567">
        <f t="shared" si="179"/>
        <v>0.14253222137983321</v>
      </c>
      <c r="AK27" s="567">
        <f t="shared" si="179"/>
        <v>0.16003616636528029</v>
      </c>
      <c r="AL27" s="567">
        <f t="shared" si="179"/>
        <v>0.15018867924528301</v>
      </c>
      <c r="AM27" s="567">
        <f t="shared" si="179"/>
        <v>0.1375438596491228</v>
      </c>
      <c r="AN27" s="567">
        <f t="shared" si="179"/>
        <v>0.13780918727915195</v>
      </c>
      <c r="AO27" s="567">
        <f t="shared" si="179"/>
        <v>0.14893617021276595</v>
      </c>
      <c r="AP27" s="567">
        <f t="shared" si="179"/>
        <v>0.13931436907366884</v>
      </c>
      <c r="AQ27" s="567">
        <f t="shared" si="179"/>
        <v>0.14369073668854851</v>
      </c>
      <c r="AR27" s="568">
        <f t="shared" si="179"/>
        <v>0.14245014245014245</v>
      </c>
    </row>
    <row r="28" spans="2:44" s="536" customFormat="1" x14ac:dyDescent="0.25">
      <c r="B28" s="566" t="str">
        <f>B7</f>
        <v>הוצאות הנהלה וכלליות ואחרות</v>
      </c>
      <c r="C28" s="567">
        <f t="shared" ref="C28" si="180">IFERROR(IF(-C7/C$3&lt;0,C7/C$3,-C7/C$3),"")</f>
        <v>3.7859961993860547E-2</v>
      </c>
      <c r="D28" s="567">
        <f t="shared" ref="D28:E28" si="181">IFERROR(IF(-D7/D$3&lt;0,D7/D$3,-D7/D$3),"")</f>
        <v>3.4501061571125265E-2</v>
      </c>
      <c r="E28" s="567">
        <f t="shared" si="181"/>
        <v>2.9056415376934597E-2</v>
      </c>
      <c r="F28" s="567">
        <f t="shared" ref="F28:G28" si="182">IFERROR(IF(-F7/F$3&lt;0,F7/F$3,-F7/F$3),"")</f>
        <v>3.9683680805176133E-2</v>
      </c>
      <c r="G28" s="567">
        <f t="shared" si="182"/>
        <v>4.6004362482649219E-2</v>
      </c>
      <c r="H28" s="567">
        <f t="shared" si="134"/>
        <v>4.8188199582621896E-2</v>
      </c>
      <c r="I28" s="567">
        <f t="shared" si="134"/>
        <v>4.6256299496040314E-2</v>
      </c>
      <c r="J28" s="567">
        <f t="shared" si="134"/>
        <v>4.817275747508306E-2</v>
      </c>
      <c r="K28" s="567">
        <f t="shared" si="134"/>
        <v>5.9854559015476413E-2</v>
      </c>
      <c r="L28" s="567">
        <f t="shared" si="134"/>
        <v>6.475485661424607E-2</v>
      </c>
      <c r="M28" s="568">
        <f t="shared" si="134"/>
        <v>5.0073637702503684E-2</v>
      </c>
      <c r="O28" s="567">
        <f t="shared" ref="O28" si="183">IFERROR(IF(-O7/O$3&lt;0,O7/O$3,-O7/O$3),"")</f>
        <v>3.9301310043668124E-2</v>
      </c>
      <c r="P28" s="567">
        <f t="shared" ref="P28" si="184">IFERROR(IF(-P7/P$3&lt;0,P7/P$3,-P7/P$3),"")</f>
        <v>4.3576683644595361E-2</v>
      </c>
      <c r="Q28" s="567">
        <f t="shared" ref="Q28" si="185">IFERROR(IF(-Q7/Q$3&lt;0,Q7/Q$3,-Q7/Q$3),"")</f>
        <v>4.2473454091193005E-2</v>
      </c>
      <c r="R28" s="567">
        <f t="shared" ref="R28:S28" si="186">IFERROR(IF(-R7/R$3&lt;0,R7/R$3,-R7/R$3),"")</f>
        <v>3.5938391329150027E-2</v>
      </c>
      <c r="S28" s="567">
        <f t="shared" si="186"/>
        <v>3.6529680365296802E-2</v>
      </c>
      <c r="T28" s="567">
        <f t="shared" ref="T28:U28" si="187">IFERROR(IF(-T7/T$3&lt;0,T7/T$3,-T7/T$3),"")</f>
        <v>3.6887608069164267E-2</v>
      </c>
      <c r="U28" s="567">
        <f t="shared" si="187"/>
        <v>4.0757749712973593E-2</v>
      </c>
      <c r="V28" s="567">
        <f t="shared" ref="V28" si="188">IFERROR(IF(-V7/V$3&lt;0,V7/V$3,-V7/V$3),"")</f>
        <v>3.5445757250268529E-2</v>
      </c>
      <c r="W28" s="567">
        <f t="shared" si="141"/>
        <v>2.9989094874591057E-2</v>
      </c>
      <c r="X28" s="567">
        <f t="shared" si="141"/>
        <v>3.2411820781696854E-2</v>
      </c>
      <c r="Y28" s="569">
        <f t="shared" si="142"/>
        <v>3.7302725968436153E-2</v>
      </c>
      <c r="Z28" s="569">
        <f t="shared" si="142"/>
        <v>2.7788805081381502E-2</v>
      </c>
      <c r="AA28" s="569">
        <f t="shared" si="142"/>
        <v>2.5694444444444443E-2</v>
      </c>
      <c r="AB28" s="567">
        <f t="shared" ref="AB28" si="189">IFERROR(IF(-AB7/AB$3&lt;0,AB7/AB$3,-AB7/AB$3),"")</f>
        <v>2.7326732673267327E-2</v>
      </c>
      <c r="AC28" s="567">
        <f t="shared" si="144"/>
        <v>3.8272816486751716E-2</v>
      </c>
      <c r="AD28" s="569">
        <f t="shared" ref="AD28" si="190">IFERROR(IF(-AD7/AD$3&lt;0,AD7/AD$3,-AD7/AD$3),"")</f>
        <v>3.8547486033519554E-2</v>
      </c>
      <c r="AE28" s="569">
        <f t="shared" ref="AE28:AF28" si="191">IFERROR(IF(-AE7/AE$3&lt;0,AE7/AE$3,-AE7/AE$3),"")</f>
        <v>4.1434755720470007E-2</v>
      </c>
      <c r="AF28" s="567">
        <f t="shared" si="191"/>
        <v>4.105960264900662E-2</v>
      </c>
      <c r="AG28" s="567">
        <f t="shared" ref="AG28" si="192">IFERROR(IF(-AG7/AG$3&lt;0,AG7/AG$3,-AG7/AG$3),"")</f>
        <v>4.328018223234624E-2</v>
      </c>
      <c r="AH28" s="569">
        <f t="shared" ref="AH28" si="193">IFERROR(IF(-AH7/AH$3&lt;0,AH7/AH$3,-AH7/AH$3),"")</f>
        <v>4.5681063122923589E-2</v>
      </c>
      <c r="AI28" s="569">
        <f t="shared" ref="AI28:AR28" si="194">IFERROR(IF(-AI7/AI$3&lt;0,AI7/AI$3,-AI7/AI$3),"")</f>
        <v>4.6550290939318374E-2</v>
      </c>
      <c r="AJ28" s="567">
        <f t="shared" si="194"/>
        <v>4.8521607278241091E-2</v>
      </c>
      <c r="AK28" s="567">
        <f t="shared" si="194"/>
        <v>5.7866184448462928E-2</v>
      </c>
      <c r="AL28" s="567">
        <f t="shared" si="194"/>
        <v>4.679245283018868E-2</v>
      </c>
      <c r="AM28" s="567">
        <f t="shared" si="194"/>
        <v>4.5614035087719301E-2</v>
      </c>
      <c r="AN28" s="567">
        <f t="shared" si="194"/>
        <v>4.4522968197879861E-2</v>
      </c>
      <c r="AO28" s="567">
        <f t="shared" si="194"/>
        <v>4.397163120567376E-2</v>
      </c>
      <c r="AP28" s="567">
        <f t="shared" si="194"/>
        <v>4.5951859956236324E-2</v>
      </c>
      <c r="AQ28" s="567">
        <f t="shared" si="194"/>
        <v>4.5222465353756382E-2</v>
      </c>
      <c r="AR28" s="568">
        <f t="shared" si="194"/>
        <v>4.9857549857549859E-2</v>
      </c>
    </row>
    <row r="29" spans="2:44" s="536" customFormat="1" x14ac:dyDescent="0.25">
      <c r="B29" s="558" t="str">
        <f>B8</f>
        <v>הוצאות מחקר ופיתוח</v>
      </c>
      <c r="C29" s="559">
        <f t="shared" ref="C29" si="195">IFERROR(IF(-C8/C$3&lt;0,C8/C$3,-C8/C$3),"")</f>
        <v>1.0086244701067096E-2</v>
      </c>
      <c r="D29" s="559">
        <f t="shared" ref="D29:E29" si="196">IFERROR(IF(-D8/D$3&lt;0,D8/D$3,-D8/D$3),"")</f>
        <v>9.4214437367303606E-3</v>
      </c>
      <c r="E29" s="559">
        <f t="shared" si="196"/>
        <v>6.7898152770843731E-3</v>
      </c>
      <c r="F29" s="559">
        <f t="shared" ref="F29:G29" si="197">IFERROR(IF(-F8/F$3&lt;0,F8/F$3,-F8/F$3),"")</f>
        <v>9.2020129403306977E-3</v>
      </c>
      <c r="G29" s="559">
        <f t="shared" si="197"/>
        <v>1.0707911957168352E-2</v>
      </c>
      <c r="H29" s="559">
        <f t="shared" si="134"/>
        <v>9.4858660595712394E-3</v>
      </c>
      <c r="I29" s="559">
        <f t="shared" si="134"/>
        <v>9.899208063354932E-3</v>
      </c>
      <c r="J29" s="559">
        <f t="shared" si="134"/>
        <v>1.0151347360649687E-2</v>
      </c>
      <c r="K29" s="559">
        <f t="shared" si="134"/>
        <v>1.3611784449002424E-2</v>
      </c>
      <c r="L29" s="559">
        <f t="shared" si="134"/>
        <v>1.3691026827012025E-2</v>
      </c>
      <c r="M29" s="560">
        <f t="shared" si="134"/>
        <v>1.4236622484045164E-2</v>
      </c>
      <c r="O29" s="559">
        <f t="shared" ref="O29" si="198">IFERROR(IF(-O8/O$3&lt;0,O8/O$3,-O8/O$3),"")</f>
        <v>1.037117903930131E-2</v>
      </c>
      <c r="P29" s="559">
        <f t="shared" ref="P29" si="199">IFERROR(IF(-P8/P$3&lt;0,P8/P$3,-P8/P$3),"")</f>
        <v>1.0186757215619695E-2</v>
      </c>
      <c r="Q29" s="559">
        <f t="shared" ref="Q29" si="200">IFERROR(IF(-Q8/Q$3&lt;0,Q8/Q$3,-Q8/Q$3),"")</f>
        <v>1.1867582760774516E-2</v>
      </c>
      <c r="R29" s="559">
        <f t="shared" ref="R29:S29" si="201">IFERROR(IF(-R8/R$3&lt;0,R8/R$3,-R8/R$3),"")</f>
        <v>1.0838562464346835E-2</v>
      </c>
      <c r="S29" s="559">
        <f t="shared" si="201"/>
        <v>7.9908675799086754E-3</v>
      </c>
      <c r="T29" s="559">
        <f t="shared" ref="T29:U29" si="202">IFERROR(IF(-T8/T$3&lt;0,T8/T$3,-T8/T$3),"")</f>
        <v>9.7982708933717581E-3</v>
      </c>
      <c r="U29" s="559">
        <f t="shared" si="202"/>
        <v>9.7588978185993106E-3</v>
      </c>
      <c r="V29" s="559">
        <f t="shared" ref="V29" si="203">IFERROR(IF(-V8/V$3&lt;0,V8/V$3,-V8/V$3),"")</f>
        <v>9.1299677765843187E-3</v>
      </c>
      <c r="W29" s="559">
        <f t="shared" si="141"/>
        <v>1.0359869138495093E-2</v>
      </c>
      <c r="X29" s="559">
        <f t="shared" si="141"/>
        <v>8.5795996186844616E-3</v>
      </c>
      <c r="Y29" s="561">
        <f t="shared" si="142"/>
        <v>7.1736011477761836E-3</v>
      </c>
      <c r="Z29" s="561">
        <f t="shared" si="142"/>
        <v>7.1456927352123861E-3</v>
      </c>
      <c r="AA29" s="561">
        <f t="shared" si="142"/>
        <v>5.9027777777777776E-3</v>
      </c>
      <c r="AB29" s="559">
        <f t="shared" ref="AB29" si="204">IFERROR(IF(-AB8/AB$3&lt;0,AB8/AB$3,-AB8/AB$3),"")</f>
        <v>7.128712871287129E-3</v>
      </c>
      <c r="AC29" s="559">
        <f t="shared" si="144"/>
        <v>9.3228655544651626E-3</v>
      </c>
      <c r="AD29" s="561">
        <f t="shared" ref="AD29" si="205">IFERROR(IF(-AD8/AD$3&lt;0,AD8/AD$3,-AD8/AD$3),"")</f>
        <v>8.9385474860335188E-3</v>
      </c>
      <c r="AE29" s="561">
        <f t="shared" ref="AE29:AF29" si="206">IFERROR(IF(-AE8/AE$3&lt;0,AE8/AE$3,-AE8/AE$3),"")</f>
        <v>8.658008658008658E-3</v>
      </c>
      <c r="AF29" s="559">
        <f t="shared" si="206"/>
        <v>9.9337748344370865E-3</v>
      </c>
      <c r="AG29" s="559">
        <f t="shared" ref="AG29" si="207">IFERROR(IF(-AG8/AG$3&lt;0,AG8/AG$3,-AG8/AG$3),"")</f>
        <v>1.2908124525436599E-2</v>
      </c>
      <c r="AH29" s="561">
        <f t="shared" ref="AH29" si="208">IFERROR(IF(-AH8/AH$3&lt;0,AH8/AH$3,-AH8/AH$3),"")</f>
        <v>1.079734219269103E-2</v>
      </c>
      <c r="AI29" s="561">
        <f t="shared" ref="AI29:AR29" si="209">IFERROR(IF(-AI8/AI$3&lt;0,AI8/AI$3,-AI8/AI$3),"")</f>
        <v>8.3125519534497094E-3</v>
      </c>
      <c r="AJ29" s="559">
        <f t="shared" si="209"/>
        <v>1.061410159211524E-2</v>
      </c>
      <c r="AK29" s="559">
        <f t="shared" si="209"/>
        <v>1.0849909584086799E-2</v>
      </c>
      <c r="AL29" s="559">
        <f t="shared" si="209"/>
        <v>9.8113207547169817E-3</v>
      </c>
      <c r="AM29" s="559">
        <f t="shared" si="209"/>
        <v>8.4210526315789472E-3</v>
      </c>
      <c r="AN29" s="559">
        <f t="shared" si="209"/>
        <v>9.1872791519434626E-3</v>
      </c>
      <c r="AO29" s="559">
        <f t="shared" si="209"/>
        <v>9.2198581560283682E-3</v>
      </c>
      <c r="AP29" s="559">
        <f t="shared" si="209"/>
        <v>9.4821298322392417E-3</v>
      </c>
      <c r="AQ29" s="559">
        <f t="shared" si="209"/>
        <v>1.0940919037199124E-2</v>
      </c>
      <c r="AR29" s="560">
        <f t="shared" si="209"/>
        <v>9.9715099715099714E-3</v>
      </c>
    </row>
    <row r="30" spans="2:44" s="536" customFormat="1" x14ac:dyDescent="0.25">
      <c r="B30" s="562" t="str">
        <f>B10</f>
        <v>הכנסות (הוצאות) אחרות נטו</v>
      </c>
      <c r="C30" s="570">
        <f t="shared" ref="C30" si="210">IFERROR(IF(-C10/C$3&lt;0,C10/C$3,-C10/C$3),"")</f>
        <v>5.7009209179944452E-3</v>
      </c>
      <c r="D30" s="570">
        <f t="shared" ref="D30:E30" si="211">IFERROR(IF(-D10/D$3&lt;0,D10/D$3,-D10/D$3),"")</f>
        <v>1.4065817409766455E-2</v>
      </c>
      <c r="E30" s="570">
        <f t="shared" si="211"/>
        <v>2.396405391912132E-3</v>
      </c>
      <c r="F30" s="570">
        <f t="shared" ref="F30:G30" si="212">IFERROR(IF(-F10/F$3&lt;0,F10/F$3,-F10/F$3),"")</f>
        <v>8.6268871315600291E-4</v>
      </c>
      <c r="G30" s="570">
        <f t="shared" si="212"/>
        <v>4.6797541146143172E-2</v>
      </c>
      <c r="H30" s="570">
        <f t="shared" ref="H30:M30" si="213">IFERROR(IF(-H10/H$3&lt;0,H10/H$3,-H10/H$3),"")</f>
        <v>1.8971732119142477E-3</v>
      </c>
      <c r="I30" s="570">
        <f t="shared" si="213"/>
        <v>0.13948884089272859</v>
      </c>
      <c r="J30" s="570">
        <f t="shared" si="213"/>
        <v>3.5068290882244372E-3</v>
      </c>
      <c r="K30" s="570">
        <f t="shared" si="213"/>
        <v>0.10199515196718255</v>
      </c>
      <c r="L30" s="570">
        <f t="shared" si="213"/>
        <v>7.2155411655874194E-3</v>
      </c>
      <c r="M30" s="571">
        <f t="shared" si="213"/>
        <v>3.3709703812796595E-2</v>
      </c>
      <c r="O30" s="570">
        <f t="shared" ref="O30" si="214">IFERROR(IF(-O10/O$3&lt;0,O10/O$3,-O10/O$3),"")</f>
        <v>4.3668122270742356E-3</v>
      </c>
      <c r="P30" s="570">
        <f t="shared" ref="P30" si="215">IFERROR(IF(-P10/P$3&lt;0,P10/P$3,-P10/P$3),"")</f>
        <v>6.7911714770797962E-3</v>
      </c>
      <c r="Q30" s="570">
        <f t="shared" ref="Q30" si="216">IFERROR(IF(-Q10/Q$3&lt;0,Q10/Q$3,-Q10/Q$3),"")</f>
        <v>1.2492192379762648E-2</v>
      </c>
      <c r="R30" s="570">
        <f t="shared" ref="R30:S30" si="217">IFERROR(IF(-R10/R$3&lt;0,R10/R$3,-R10/R$3),"")</f>
        <v>1.1409013120365089E-2</v>
      </c>
      <c r="S30" s="570">
        <f t="shared" si="217"/>
        <v>5.7077625570776253E-4</v>
      </c>
      <c r="T30" s="570">
        <f t="shared" ref="T30:U30" si="218">IFERROR(IF(-T10/T$3&lt;0,T10/T$3,-T10/T$3),"")</f>
        <v>0</v>
      </c>
      <c r="U30" s="570">
        <f t="shared" si="218"/>
        <v>5.1090700344431687E-2</v>
      </c>
      <c r="V30" s="570">
        <f t="shared" ref="V30" si="219">IFERROR(IF(-V10/V$3&lt;0,V10/V$3,-V10/V$3),"")</f>
        <v>6.44468313641246E-3</v>
      </c>
      <c r="W30" s="570">
        <f t="shared" ref="W30:X30" si="220">IFERROR(IF(-W10/W$3&lt;0,W10/W$3,-W10/W$3),"")</f>
        <v>4.3620501635768813E-3</v>
      </c>
      <c r="X30" s="570">
        <f t="shared" si="220"/>
        <v>6.1963775023832221E-3</v>
      </c>
      <c r="Y30" s="572">
        <f t="shared" ref="Y30:AA30" si="221">IFERROR(IF(-Y10/Y$3&lt;0,Y10/Y$3,-Y10/Y$3),"")</f>
        <v>9.0865614538498327E-3</v>
      </c>
      <c r="Z30" s="572">
        <f t="shared" si="221"/>
        <v>3.1758634378721714E-3</v>
      </c>
      <c r="AA30" s="572">
        <f t="shared" si="221"/>
        <v>4.1666666666666666E-3</v>
      </c>
      <c r="AB30" s="570">
        <f t="shared" ref="AB30" si="222">IFERROR(IF(-AB10/AB$3&lt;0,AB10/AB$3,-AB10/AB$3),"")</f>
        <v>9.1089108910891083E-3</v>
      </c>
      <c r="AC30" s="570">
        <f t="shared" ref="AC30" si="223">IFERROR(IF(-AC10/AC$3&lt;0,AC10/AC$3,-AC10/AC$3),"")</f>
        <v>2.4533856722276743E-3</v>
      </c>
      <c r="AD30" s="572">
        <f t="shared" ref="AD30" si="224">IFERROR(IF(-AD10/AD$3&lt;0,AD10/AD$3,-AD10/AD$3),"")</f>
        <v>2.7932960893854749E-3</v>
      </c>
      <c r="AE30" s="572">
        <f t="shared" ref="AE30:AF30" si="225">IFERROR(IF(-AE10/AE$3&lt;0,AE10/AE$3,-AE10/AE$3),"")</f>
        <v>0</v>
      </c>
      <c r="AF30" s="570">
        <f t="shared" si="225"/>
        <v>2.6490066225165563E-3</v>
      </c>
      <c r="AG30" s="570">
        <f t="shared" ref="AG30" si="226">IFERROR(IF(-AG10/AG$3&lt;0,AG10/AG$3,-AG10/AG$3),"")</f>
        <v>9.1116173120728925E-3</v>
      </c>
      <c r="AH30" s="572">
        <f t="shared" ref="AH30" si="227">IFERROR(IF(-AH10/AH$3&lt;0,AH10/AH$3,-AH10/AH$3),"")</f>
        <v>4.9833887043189366E-3</v>
      </c>
      <c r="AI30" s="572">
        <f t="shared" ref="AI30:AR30" si="228">IFERROR(IF(-AI10/AI$3&lt;0,AI10/AI$3,-AI10/AI$3),"")</f>
        <v>0.19950124688279303</v>
      </c>
      <c r="AJ30" s="570">
        <f t="shared" si="228"/>
        <v>1.5163002274450341E-3</v>
      </c>
      <c r="AK30" s="570">
        <f t="shared" si="228"/>
        <v>4.5207956600361665E-3</v>
      </c>
      <c r="AL30" s="570">
        <f t="shared" si="228"/>
        <v>2.2641509433962265E-3</v>
      </c>
      <c r="AM30" s="570">
        <f t="shared" si="228"/>
        <v>3.5087719298245615E-3</v>
      </c>
      <c r="AN30" s="570">
        <f t="shared" si="228"/>
        <v>2.1201413427561835E-3</v>
      </c>
      <c r="AO30" s="570">
        <f t="shared" si="228"/>
        <v>3.971631205673759E-2</v>
      </c>
      <c r="AP30" s="570">
        <f t="shared" si="228"/>
        <v>3.6469730123997084E-3</v>
      </c>
      <c r="AQ30" s="570">
        <f t="shared" si="228"/>
        <v>8.7527352297592995E-3</v>
      </c>
      <c r="AR30" s="571">
        <f t="shared" si="228"/>
        <v>0.59686609686609682</v>
      </c>
    </row>
    <row r="31" spans="2:44" s="536" customFormat="1" x14ac:dyDescent="0.25">
      <c r="B31" s="558"/>
      <c r="C31" s="559" t="str">
        <f>IFERROR(IF(-#REF!/C$3&lt;0,#REF!/C$3,-#REF!/C$3),"")</f>
        <v/>
      </c>
      <c r="D31" s="559" t="str">
        <f>IFERROR(IF(-#REF!/D$3&lt;0,#REF!/D$3,-#REF!/D$3),"")</f>
        <v/>
      </c>
      <c r="E31" s="559" t="str">
        <f>IFERROR(IF(-#REF!/E$3&lt;0,#REF!/E$3,-#REF!/E$3),"")</f>
        <v/>
      </c>
      <c r="F31" s="559" t="str">
        <f>IFERROR(IF(-#REF!/F$3&lt;0,#REF!/F$3,-#REF!/F$3),"")</f>
        <v/>
      </c>
      <c r="G31" s="559" t="str">
        <f>IFERROR(IF(-#REF!/G$3&lt;0,#REF!/G$3,-#REF!/G$3),"")</f>
        <v/>
      </c>
      <c r="H31" s="559" t="str">
        <f>IFERROR(IF(-#REF!/H$3&lt;0,#REF!/H$3,-#REF!/H$3),"")</f>
        <v/>
      </c>
      <c r="I31" s="559" t="str">
        <f>IFERROR(IF(-#REF!/I$3&lt;0,#REF!/I$3,-#REF!/I$3),"")</f>
        <v/>
      </c>
      <c r="J31" s="559" t="str">
        <f>IFERROR(IF(-#REF!/J$3&lt;0,#REF!/J$3,-#REF!/J$3),"")</f>
        <v/>
      </c>
      <c r="K31" s="559" t="str">
        <f>IFERROR(IF(-#REF!/K$3&lt;0,#REF!/K$3,-#REF!/K$3),"")</f>
        <v/>
      </c>
      <c r="L31" s="559" t="str">
        <f>IFERROR(IF(-#REF!/L$3&lt;0,#REF!/L$3,-#REF!/L$3),"")</f>
        <v/>
      </c>
      <c r="M31" s="560" t="str">
        <f>IFERROR(IF(-#REF!/M$3&lt;0,#REF!/M$3,-#REF!/M$3),"")</f>
        <v/>
      </c>
      <c r="O31" s="559" t="str">
        <f>IFERROR(IF(-#REF!/O$3&lt;0,#REF!/O$3,-#REF!/O$3),"")</f>
        <v/>
      </c>
      <c r="P31" s="559" t="str">
        <f>IFERROR(IF(-#REF!/P$3&lt;0,#REF!/P$3,-#REF!/P$3),"")</f>
        <v/>
      </c>
      <c r="Q31" s="559" t="str">
        <f>IFERROR(IF(-#REF!/Q$3&lt;0,#REF!/Q$3,-#REF!/Q$3),"")</f>
        <v/>
      </c>
      <c r="R31" s="559" t="str">
        <f>IFERROR(IF(-#REF!/R$3&lt;0,#REF!/R$3,-#REF!/R$3),"")</f>
        <v/>
      </c>
      <c r="S31" s="559" t="str">
        <f>IFERROR(IF(-#REF!/S$3&lt;0,#REF!/S$3,-#REF!/S$3),"")</f>
        <v/>
      </c>
      <c r="T31" s="559" t="str">
        <f>IFERROR(IF(-#REF!/T$3&lt;0,#REF!/T$3,-#REF!/T$3),"")</f>
        <v/>
      </c>
      <c r="U31" s="559" t="str">
        <f>IFERROR(IF(-#REF!/U$3&lt;0,#REF!/U$3,-#REF!/U$3),"")</f>
        <v/>
      </c>
      <c r="V31" s="559" t="str">
        <f>IFERROR(IF(-#REF!/V$3&lt;0,#REF!/V$3,-#REF!/V$3),"")</f>
        <v/>
      </c>
      <c r="W31" s="559" t="str">
        <f>IFERROR(IF(-#REF!/W$3&lt;0,#REF!/W$3,-#REF!/W$3),"")</f>
        <v/>
      </c>
      <c r="X31" s="559" t="str">
        <f>IFERROR(IF(-#REF!/X$3&lt;0,#REF!/X$3,-#REF!/X$3),"")</f>
        <v/>
      </c>
      <c r="Y31" s="561" t="str">
        <f>IFERROR(IF(-#REF!/Y$3&lt;0,#REF!/Y$3,-#REF!/Y$3),"")</f>
        <v/>
      </c>
      <c r="Z31" s="561" t="str">
        <f>IFERROR(IF(-#REF!/Z$3&lt;0,#REF!/Z$3,-#REF!/Z$3),"")</f>
        <v/>
      </c>
      <c r="AA31" s="561" t="str">
        <f>IFERROR(IF(-#REF!/AA$3&lt;0,#REF!/AA$3,-#REF!/AA$3),"")</f>
        <v/>
      </c>
      <c r="AB31" s="559" t="str">
        <f>IFERROR(IF(-#REF!/AB$3&lt;0,#REF!/AB$3,-#REF!/AB$3),"")</f>
        <v/>
      </c>
      <c r="AC31" s="559" t="str">
        <f>IFERROR(IF(-#REF!/AC$3&lt;0,#REF!/AC$3,-#REF!/AC$3),"")</f>
        <v/>
      </c>
      <c r="AD31" s="561" t="str">
        <f>IFERROR(IF(-#REF!/AD$3&lt;0,#REF!/AD$3,-#REF!/AD$3),"")</f>
        <v/>
      </c>
      <c r="AE31" s="561" t="str">
        <f>IFERROR(IF(-#REF!/AE$3&lt;0,#REF!/AE$3,-#REF!/AE$3),"")</f>
        <v/>
      </c>
      <c r="AF31" s="559" t="str">
        <f>IFERROR(IF(-#REF!/AF$3&lt;0,#REF!/AF$3,-#REF!/AF$3),"")</f>
        <v/>
      </c>
      <c r="AG31" s="559" t="str">
        <f>IFERROR(IF(-#REF!/AG$3&lt;0,#REF!/AG$3,-#REF!/AG$3),"")</f>
        <v/>
      </c>
      <c r="AH31" s="561" t="str">
        <f>IFERROR(IF(-#REF!/AH$3&lt;0,#REF!/AH$3,-#REF!/AH$3),"")</f>
        <v/>
      </c>
      <c r="AI31" s="561" t="str">
        <f>IFERROR(IF(-#REF!/AI$3&lt;0,#REF!/AI$3,-#REF!/AI$3),"")</f>
        <v/>
      </c>
      <c r="AJ31" s="559" t="str">
        <f>IFERROR(IF(-#REF!/AJ$3&lt;0,#REF!/AJ$3,-#REF!/AJ$3),"")</f>
        <v/>
      </c>
      <c r="AK31" s="559" t="str">
        <f>IFERROR(IF(-#REF!/AK$3&lt;0,#REF!/AK$3,-#REF!/AK$3),"")</f>
        <v/>
      </c>
      <c r="AL31" s="559" t="str">
        <f>IFERROR(IF(-#REF!/AL$3&lt;0,#REF!/AL$3,-#REF!/AL$3),"")</f>
        <v/>
      </c>
      <c r="AM31" s="559" t="str">
        <f>IFERROR(IF(-#REF!/AM$3&lt;0,#REF!/AM$3,-#REF!/AM$3),"")</f>
        <v/>
      </c>
      <c r="AN31" s="559" t="str">
        <f>IFERROR(IF(-#REF!/AN$3&lt;0,#REF!/AN$3,-#REF!/AN$3),"")</f>
        <v/>
      </c>
      <c r="AO31" s="559" t="str">
        <f>IFERROR(IF(-#REF!/AO$3&lt;0,#REF!/AO$3,-#REF!/AO$3),"")</f>
        <v/>
      </c>
      <c r="AP31" s="559" t="str">
        <f>IFERROR(IF(-#REF!/AP$3&lt;0,#REF!/AP$3,-#REF!/AP$3),"")</f>
        <v/>
      </c>
      <c r="AQ31" s="559" t="str">
        <f>IFERROR(IF(-#REF!/AQ$3&lt;0,#REF!/AQ$3,-#REF!/AQ$3),"")</f>
        <v/>
      </c>
      <c r="AR31" s="560" t="str">
        <f>IFERROR(IF(-#REF!/AR$3&lt;0,#REF!/AR$3,-#REF!/AR$3),"")</f>
        <v/>
      </c>
    </row>
    <row r="32" spans="2:44" s="536" customFormat="1" x14ac:dyDescent="0.25">
      <c r="B32" s="562" t="str">
        <f>B9</f>
        <v>רווח תפעולי לפני הוצאות אחרות</v>
      </c>
      <c r="C32" s="563">
        <f t="shared" ref="C32" si="229">IFERROR(IF(-C9/C$3&lt;0,C9/C$3,-C9/C$3),"")</f>
        <v>0.11898845198070458</v>
      </c>
      <c r="D32" s="563">
        <f t="shared" ref="D32:E32" si="230">IFERROR(IF(-D9/D$3&lt;0,D9/D$3,-D9/D$3),"")</f>
        <v>0.1654723991507431</v>
      </c>
      <c r="E32" s="563">
        <f t="shared" si="230"/>
        <v>0.34867698452321516</v>
      </c>
      <c r="F32" s="563">
        <f t="shared" ref="F32:G32" si="231">IFERROR(IF(-F9/F$3&lt;0,F9/F$3,-F9/F$3),"")</f>
        <v>0.17311286843997126</v>
      </c>
      <c r="G32" s="563">
        <f t="shared" si="231"/>
        <v>8.6853063652587742E-2</v>
      </c>
      <c r="H32" s="563">
        <f t="shared" ref="H32:M32" si="232">IFERROR(IF(-H9/H$3&lt;0,H9/H$3,-H9/H$3),"")</f>
        <v>0.14152912160880288</v>
      </c>
      <c r="I32" s="563">
        <f t="shared" si="232"/>
        <v>0.13390928725701945</v>
      </c>
      <c r="J32" s="563">
        <f t="shared" si="232"/>
        <v>0.11258767072720562</v>
      </c>
      <c r="K32" s="563">
        <f t="shared" si="232"/>
        <v>0.10143576356516874</v>
      </c>
      <c r="L32" s="563">
        <f t="shared" si="232"/>
        <v>0.1343200740055504</v>
      </c>
      <c r="M32" s="564">
        <f t="shared" si="232"/>
        <v>0.1577483226967763</v>
      </c>
      <c r="O32" s="563">
        <f t="shared" ref="O32" si="233">IFERROR(IF(-O9/O$3&lt;0,O9/O$3,-O9/O$3),"")</f>
        <v>0.10316593886462883</v>
      </c>
      <c r="P32" s="563">
        <f t="shared" ref="P32" si="234">IFERROR(IF(-P9/P$3&lt;0,P9/P$3,-P9/P$3),"")</f>
        <v>0.11148839841539332</v>
      </c>
      <c r="Q32" s="563">
        <f t="shared" ref="Q32" si="235">IFERROR(IF(-Q9/Q$3&lt;0,Q9/Q$3,-Q9/Q$3),"")</f>
        <v>0.10430980637101811</v>
      </c>
      <c r="R32" s="563">
        <f t="shared" ref="R32:S32" si="236">IFERROR(IF(-R9/R$3&lt;0,R9/R$3,-R9/R$3),"")</f>
        <v>0.13348545350827154</v>
      </c>
      <c r="S32" s="563">
        <f t="shared" si="236"/>
        <v>0.11986301369863013</v>
      </c>
      <c r="T32" s="563">
        <f t="shared" ref="T32:U32" si="237">IFERROR(IF(-T9/T$3&lt;0,T9/T$3,-T9/T$3),"")</f>
        <v>0.1170028818443804</v>
      </c>
      <c r="U32" s="563">
        <f t="shared" si="237"/>
        <v>0.13662456946039037</v>
      </c>
      <c r="V32" s="563">
        <f t="shared" ref="V32" si="238">IFERROR(IF(-V9/V$3&lt;0,V9/V$3,-V9/V$3),"")</f>
        <v>0.12835660580021482</v>
      </c>
      <c r="W32" s="563">
        <f t="shared" ref="W32:X32" si="239">IFERROR(IF(-W9/W$3&lt;0,W9/W$3,-W9/W$3),"")</f>
        <v>0.15921483097055616</v>
      </c>
      <c r="X32" s="563">
        <f t="shared" si="239"/>
        <v>0.22783603431839847</v>
      </c>
      <c r="Y32" s="565">
        <f t="shared" ref="Y32:AA32" si="240">IFERROR(IF(-Y9/Y$3&lt;0,Y9/Y$3,-Y9/Y$3),"")</f>
        <v>0.26733620277379244</v>
      </c>
      <c r="Z32" s="565">
        <f t="shared" si="240"/>
        <v>0.36800317586343789</v>
      </c>
      <c r="AA32" s="565">
        <f t="shared" si="240"/>
        <v>0.39131944444444444</v>
      </c>
      <c r="AB32" s="563">
        <f t="shared" ref="AB32" si="241">IFERROR(IF(-AB9/AB$3&lt;0,AB9/AB$3,-AB9/AB$3),"")</f>
        <v>0.34811881188118809</v>
      </c>
      <c r="AC32" s="563">
        <f t="shared" ref="AC32" si="242">IFERROR(IF(-AC9/AC$3&lt;0,AC9/AC$3,-AC9/AC$3),"")</f>
        <v>0.22374877330716389</v>
      </c>
      <c r="AD32" s="565">
        <f t="shared" ref="AD32" si="243">IFERROR(IF(-AD9/AD$3&lt;0,AD9/AD$3,-AD9/AD$3),"")</f>
        <v>0.17653631284916202</v>
      </c>
      <c r="AE32" s="565">
        <f t="shared" ref="AE32:AF32" si="244">IFERROR(IF(-AE9/AE$3&lt;0,AE9/AE$3,-AE9/AE$3),"")</f>
        <v>0.150278293135436</v>
      </c>
      <c r="AF32" s="563">
        <f t="shared" si="244"/>
        <v>0.12516556291390729</v>
      </c>
      <c r="AG32" s="563">
        <f t="shared" ref="AG32" si="245">IFERROR(IF(-AG9/AG$3&lt;0,AG9/AG$3,-AG9/AG$3),"")</f>
        <v>9.6431283219438113E-2</v>
      </c>
      <c r="AH32" s="565">
        <f t="shared" ref="AH32" si="246">IFERROR(IF(-AH9/AH$3&lt;0,AH9/AH$3,-AH9/AH$3),"")</f>
        <v>8.8039867109634545E-2</v>
      </c>
      <c r="AI32" s="565">
        <f t="shared" ref="AI32:AR32" si="247">IFERROR(IF(-AI9/AI$3&lt;0,AI9/AI$3,-AI9/AI$3),"")</f>
        <v>5.9019118869492931E-2</v>
      </c>
      <c r="AJ32" s="563">
        <f t="shared" si="247"/>
        <v>0.10159211523881728</v>
      </c>
      <c r="AK32" s="563">
        <f t="shared" si="247"/>
        <v>7.5045207956600357E-2</v>
      </c>
      <c r="AL32" s="563">
        <f t="shared" si="247"/>
        <v>0.14943396226415095</v>
      </c>
      <c r="AM32" s="563">
        <f t="shared" si="247"/>
        <v>0.1649122807017544</v>
      </c>
      <c r="AN32" s="563">
        <f t="shared" si="247"/>
        <v>0.16254416961130741</v>
      </c>
      <c r="AO32" s="563">
        <f t="shared" si="247"/>
        <v>0.1574468085106383</v>
      </c>
      <c r="AP32" s="563">
        <f t="shared" si="247"/>
        <v>0.13931436907366884</v>
      </c>
      <c r="AQ32" s="563">
        <f t="shared" si="247"/>
        <v>0.13420860685630925</v>
      </c>
      <c r="AR32" s="564">
        <f t="shared" si="247"/>
        <v>0.1047008547008547</v>
      </c>
    </row>
    <row r="33" spans="1:44" s="536" customFormat="1" x14ac:dyDescent="0.25">
      <c r="B33" s="573"/>
      <c r="C33" s="559" t="str">
        <f>IFERROR(IF(-#REF!/C$3&lt;0,#REF!/C$3,-#REF!/C$3),"")</f>
        <v/>
      </c>
      <c r="D33" s="559" t="str">
        <f>IFERROR(IF(-#REF!/D$3&lt;0,#REF!/D$3,-#REF!/D$3),"")</f>
        <v/>
      </c>
      <c r="E33" s="559" t="str">
        <f>IFERROR(IF(-#REF!/E$3&lt;0,#REF!/E$3,-#REF!/E$3),"")</f>
        <v/>
      </c>
      <c r="F33" s="559" t="str">
        <f>IFERROR(IF(-#REF!/F$3&lt;0,#REF!/F$3,-#REF!/F$3),"")</f>
        <v/>
      </c>
      <c r="G33" s="559" t="str">
        <f>IFERROR(IF(-#REF!/G$3&lt;0,#REF!/G$3,-#REF!/G$3),"")</f>
        <v/>
      </c>
      <c r="H33" s="559" t="str">
        <f>IFERROR(IF(-#REF!/H$3&lt;0,#REF!/H$3,-#REF!/H$3),"")</f>
        <v/>
      </c>
      <c r="I33" s="559" t="str">
        <f>IFERROR(IF(-#REF!/I$3&lt;0,#REF!/I$3,-#REF!/I$3),"")</f>
        <v/>
      </c>
      <c r="J33" s="559" t="str">
        <f>IFERROR(IF(-#REF!/J$3&lt;0,#REF!/J$3,-#REF!/J$3),"")</f>
        <v/>
      </c>
      <c r="K33" s="559" t="str">
        <f>IFERROR(IF(-#REF!/K$3&lt;0,#REF!/K$3,-#REF!/K$3),"")</f>
        <v/>
      </c>
      <c r="L33" s="559" t="str">
        <f>IFERROR(IF(-#REF!/L$3&lt;0,#REF!/L$3,-#REF!/L$3),"")</f>
        <v/>
      </c>
      <c r="M33" s="560" t="str">
        <f>IFERROR(IF(-#REF!/M$3&lt;0,#REF!/M$3,-#REF!/M$3),"")</f>
        <v/>
      </c>
      <c r="O33" s="559" t="str">
        <f>IFERROR(IF(-#REF!/O$3&lt;0,#REF!/O$3,-#REF!/O$3),"")</f>
        <v/>
      </c>
      <c r="P33" s="559" t="str">
        <f>IFERROR(IF(-#REF!/P$3&lt;0,#REF!/P$3,-#REF!/P$3),"")</f>
        <v/>
      </c>
      <c r="Q33" s="559" t="str">
        <f>IFERROR(IF(-#REF!/Q$3&lt;0,#REF!/Q$3,-#REF!/Q$3),"")</f>
        <v/>
      </c>
      <c r="R33" s="559" t="str">
        <f>IFERROR(IF(-#REF!/R$3&lt;0,#REF!/R$3,-#REF!/R$3),"")</f>
        <v/>
      </c>
      <c r="S33" s="559" t="str">
        <f>IFERROR(IF(-#REF!/S$3&lt;0,#REF!/S$3,-#REF!/S$3),"")</f>
        <v/>
      </c>
      <c r="T33" s="559" t="str">
        <f>IFERROR(IF(-#REF!/T$3&lt;0,#REF!/T$3,-#REF!/T$3),"")</f>
        <v/>
      </c>
      <c r="U33" s="559" t="str">
        <f>IFERROR(IF(-#REF!/U$3&lt;0,#REF!/U$3,-#REF!/U$3),"")</f>
        <v/>
      </c>
      <c r="V33" s="559" t="str">
        <f>IFERROR(IF(-#REF!/V$3&lt;0,#REF!/V$3,-#REF!/V$3),"")</f>
        <v/>
      </c>
      <c r="W33" s="559" t="str">
        <f>IFERROR(IF(-#REF!/W$3&lt;0,#REF!/W$3,-#REF!/W$3),"")</f>
        <v/>
      </c>
      <c r="X33" s="559" t="str">
        <f>IFERROR(IF(-#REF!/X$3&lt;0,#REF!/X$3,-#REF!/X$3),"")</f>
        <v/>
      </c>
      <c r="Y33" s="561" t="str">
        <f>IFERROR(IF(-#REF!/Y$3&lt;0,#REF!/Y$3,-#REF!/Y$3),"")</f>
        <v/>
      </c>
      <c r="Z33" s="561" t="str">
        <f>IFERROR(IF(-#REF!/Z$3&lt;0,#REF!/Z$3,-#REF!/Z$3),"")</f>
        <v/>
      </c>
      <c r="AA33" s="561" t="str">
        <f>IFERROR(IF(-#REF!/AA$3&lt;0,#REF!/AA$3,-#REF!/AA$3),"")</f>
        <v/>
      </c>
      <c r="AB33" s="559" t="str">
        <f>IFERROR(IF(-#REF!/AB$3&lt;0,#REF!/AB$3,-#REF!/AB$3),"")</f>
        <v/>
      </c>
      <c r="AC33" s="559" t="str">
        <f>IFERROR(IF(-#REF!/AC$3&lt;0,#REF!/AC$3,-#REF!/AC$3),"")</f>
        <v/>
      </c>
      <c r="AD33" s="561" t="str">
        <f>IFERROR(IF(-#REF!/AD$3&lt;0,#REF!/AD$3,-#REF!/AD$3),"")</f>
        <v/>
      </c>
      <c r="AE33" s="561" t="str">
        <f>IFERROR(IF(-#REF!/AE$3&lt;0,#REF!/AE$3,-#REF!/AE$3),"")</f>
        <v/>
      </c>
      <c r="AF33" s="559" t="str">
        <f>IFERROR(IF(-#REF!/AF$3&lt;0,#REF!/AF$3,-#REF!/AF$3),"")</f>
        <v/>
      </c>
      <c r="AG33" s="559" t="str">
        <f>IFERROR(IF(-#REF!/AG$3&lt;0,#REF!/AG$3,-#REF!/AG$3),"")</f>
        <v/>
      </c>
      <c r="AH33" s="561" t="str">
        <f>IFERROR(IF(-#REF!/AH$3&lt;0,#REF!/AH$3,-#REF!/AH$3),"")</f>
        <v/>
      </c>
      <c r="AI33" s="561" t="str">
        <f>IFERROR(IF(-#REF!/AI$3&lt;0,#REF!/AI$3,-#REF!/AI$3),"")</f>
        <v/>
      </c>
      <c r="AJ33" s="559" t="str">
        <f>IFERROR(IF(-#REF!/AJ$3&lt;0,#REF!/AJ$3,-#REF!/AJ$3),"")</f>
        <v/>
      </c>
      <c r="AK33" s="559" t="str">
        <f>IFERROR(IF(-#REF!/AK$3&lt;0,#REF!/AK$3,-#REF!/AK$3),"")</f>
        <v/>
      </c>
      <c r="AL33" s="559" t="str">
        <f>IFERROR(IF(-#REF!/AL$3&lt;0,#REF!/AL$3,-#REF!/AL$3),"")</f>
        <v/>
      </c>
      <c r="AM33" s="559" t="str">
        <f>IFERROR(IF(-#REF!/AM$3&lt;0,#REF!/AM$3,-#REF!/AM$3),"")</f>
        <v/>
      </c>
      <c r="AN33" s="559" t="str">
        <f>IFERROR(IF(-#REF!/AN$3&lt;0,#REF!/AN$3,-#REF!/AN$3),"")</f>
        <v/>
      </c>
      <c r="AO33" s="559" t="str">
        <f>IFERROR(IF(-#REF!/AO$3&lt;0,#REF!/AO$3,-#REF!/AO$3),"")</f>
        <v/>
      </c>
      <c r="AP33" s="559" t="str">
        <f>IFERROR(IF(-#REF!/AP$3&lt;0,#REF!/AP$3,-#REF!/AP$3),"")</f>
        <v/>
      </c>
      <c r="AQ33" s="559" t="str">
        <f>IFERROR(IF(-#REF!/AQ$3&lt;0,#REF!/AQ$3,-#REF!/AQ$3),"")</f>
        <v/>
      </c>
      <c r="AR33" s="560" t="str">
        <f>IFERROR(IF(-#REF!/AR$3&lt;0,#REF!/AR$3,-#REF!/AR$3),"")</f>
        <v/>
      </c>
    </row>
    <row r="34" spans="1:44" s="536" customFormat="1" x14ac:dyDescent="0.25">
      <c r="B34" s="616" t="str">
        <f>B11</f>
        <v xml:space="preserve">הוצאות מימון </v>
      </c>
      <c r="C34" s="567">
        <f t="shared" ref="C34" si="248">IFERROR(IF(-C11/C$3&lt;0,C11/C$3,-C11/C$3),"")</f>
        <v>2.6458120157871655E-2</v>
      </c>
      <c r="D34" s="567">
        <f t="shared" ref="D34:E34" si="249">IFERROR(IF(-D11/D$3&lt;0,D11/D$3,-D11/D$3),"")</f>
        <v>3.4368365180467091E-2</v>
      </c>
      <c r="E34" s="567">
        <f t="shared" si="249"/>
        <v>3.2651023464802795E-2</v>
      </c>
      <c r="F34" s="567">
        <f t="shared" ref="F34:G34" si="250">IFERROR(IF(-F11/F$3&lt;0,F11/F$3,-F11/F$3),"")</f>
        <v>3.1056793673616103E-2</v>
      </c>
      <c r="G34" s="567">
        <f t="shared" si="250"/>
        <v>4.3426531826293871E-2</v>
      </c>
      <c r="H34" s="567">
        <f t="shared" ref="H34:M36" si="251">IFERROR(IF(-H11/H$3&lt;0,H11/H$3,-H11/H$3),"")</f>
        <v>4.1737810662113448E-2</v>
      </c>
      <c r="I34" s="567">
        <f t="shared" si="251"/>
        <v>3.8516918646508282E-2</v>
      </c>
      <c r="J34" s="567">
        <f t="shared" si="251"/>
        <v>4.2266519010705057E-2</v>
      </c>
      <c r="K34" s="567">
        <f t="shared" si="251"/>
        <v>2.9274659705388777E-2</v>
      </c>
      <c r="L34" s="567">
        <f t="shared" si="251"/>
        <v>2.960222016651249E-2</v>
      </c>
      <c r="M34" s="568">
        <f t="shared" si="251"/>
        <v>4.5655375552282766E-2</v>
      </c>
      <c r="O34" s="567">
        <f t="shared" ref="O34" si="252">IFERROR(IF(-O11/O$3&lt;0,O11/O$3,-O11/O$3),"")</f>
        <v>5.3493449781659388E-2</v>
      </c>
      <c r="P34" s="567">
        <f t="shared" ref="P34" si="253">IFERROR(IF(-P11/P$3&lt;0,P11/P$3,-P11/P$3),"")</f>
        <v>3.5087719298245612E-2</v>
      </c>
      <c r="Q34" s="567">
        <f t="shared" ref="Q34" si="254">IFERROR(IF(-Q11/Q$3&lt;0,Q11/Q$3,-Q11/Q$3),"")</f>
        <v>9.9937539038101181E-3</v>
      </c>
      <c r="R34" s="567">
        <f t="shared" ref="R34:S34" si="255">IFERROR(IF(-R11/R$3&lt;0,R11/R$3,-R11/R$3),"")</f>
        <v>2.6240730176839703E-2</v>
      </c>
      <c r="S34" s="567">
        <f t="shared" si="255"/>
        <v>3.3675799086757989E-2</v>
      </c>
      <c r="T34" s="567">
        <f t="shared" ref="T34:U34" si="256">IFERROR(IF(-T11/T$3&lt;0,T11/T$3,-T11/T$3),"")</f>
        <v>3.4582132564841501E-2</v>
      </c>
      <c r="U34" s="567">
        <f t="shared" si="256"/>
        <v>2.2962112514351321E-3</v>
      </c>
      <c r="V34" s="567">
        <f t="shared" ref="V34" si="257">IFERROR(IF(-V11/V$3&lt;0,V11/V$3,-V11/V$3),"")</f>
        <v>4.2427497314715359E-2</v>
      </c>
      <c r="W34" s="567">
        <f t="shared" ref="W34:X36" si="258">IFERROR(IF(-W11/W$3&lt;0,W11/W$3,-W11/W$3),"")</f>
        <v>4.8527808069792802E-2</v>
      </c>
      <c r="X34" s="567">
        <f t="shared" si="258"/>
        <v>4.1468064823641564E-2</v>
      </c>
      <c r="Y34" s="569">
        <f t="shared" ref="Y34:AA36" si="259">IFERROR(IF(-Y11/Y$3&lt;0,Y11/Y$3,-Y11/Y$3),"")</f>
        <v>3.1085604973696796E-2</v>
      </c>
      <c r="Z34" s="569">
        <f t="shared" si="259"/>
        <v>2.262802699483922E-2</v>
      </c>
      <c r="AA34" s="569">
        <f t="shared" si="259"/>
        <v>4.791666666666667E-2</v>
      </c>
      <c r="AB34" s="567">
        <f t="shared" ref="AB34" si="260">IFERROR(IF(-AB11/AB$3&lt;0,AB11/AB$3,-AB11/AB$3),"")</f>
        <v>2.6534653465346534E-2</v>
      </c>
      <c r="AC34" s="567">
        <f t="shared" ref="AC34:AC36" si="261">IFERROR(IF(-AC11/AC$3&lt;0,AC11/AC$3,-AC11/AC$3),"")</f>
        <v>1.8645731108930325E-2</v>
      </c>
      <c r="AD34" s="569">
        <f t="shared" ref="AD34" si="262">IFERROR(IF(-AD11/AD$3&lt;0,AD11/AD$3,-AD11/AD$3),"")</f>
        <v>3.0167597765363128E-2</v>
      </c>
      <c r="AE34" s="569">
        <f t="shared" ref="AE34:AF34" si="263">IFERROR(IF(-AE11/AE$3&lt;0,AE11/AE$3,-AE11/AE$3),"")</f>
        <v>3.9579468150896725E-2</v>
      </c>
      <c r="AF34" s="567">
        <f t="shared" si="263"/>
        <v>3.9735099337748346E-2</v>
      </c>
      <c r="AG34" s="567">
        <f t="shared" ref="AG34" si="264">IFERROR(IF(-AG11/AG$3&lt;0,AG11/AG$3,-AG11/AG$3),"")</f>
        <v>3.0372057706909643E-2</v>
      </c>
      <c r="AH34" s="569">
        <f t="shared" ref="AH34" si="265">IFERROR(IF(-AH11/AH$3&lt;0,AH11/AH$3,-AH11/AH$3),"")</f>
        <v>4.3189368770764118E-2</v>
      </c>
      <c r="AI34" s="569">
        <f t="shared" ref="AI34:AR34" si="266">IFERROR(IF(-AI11/AI$3&lt;0,AI11/AI$3,-AI11/AI$3),"")</f>
        <v>4.488778054862843E-2</v>
      </c>
      <c r="AJ34" s="567">
        <f t="shared" si="266"/>
        <v>5.5344958301743748E-2</v>
      </c>
      <c r="AK34" s="567">
        <f t="shared" si="266"/>
        <v>2.2603978300180832E-2</v>
      </c>
      <c r="AL34" s="567">
        <f t="shared" si="266"/>
        <v>5.0566037735849056E-2</v>
      </c>
      <c r="AM34" s="567">
        <f t="shared" si="266"/>
        <v>3.43859649122807E-2</v>
      </c>
      <c r="AN34" s="567">
        <f t="shared" si="266"/>
        <v>5.5830388692579502E-2</v>
      </c>
      <c r="AO34" s="567">
        <f t="shared" si="266"/>
        <v>3.971631205673759E-2</v>
      </c>
      <c r="AP34" s="567">
        <f t="shared" si="266"/>
        <v>3.0634573304157548E-2</v>
      </c>
      <c r="AQ34" s="567">
        <f t="shared" si="266"/>
        <v>5.5433989788475566E-2</v>
      </c>
      <c r="AR34" s="568">
        <f t="shared" si="266"/>
        <v>2.8490028490028491E-2</v>
      </c>
    </row>
    <row r="35" spans="1:44" s="536" customFormat="1" x14ac:dyDescent="0.25">
      <c r="B35" s="566" t="str">
        <f>B12</f>
        <v>הכנסות מימון</v>
      </c>
      <c r="C35" s="567">
        <f t="shared" ref="C35" si="267">IFERROR(IF(-C12/C$3&lt;0,C12/C$3,-C12/C$3),"")</f>
        <v>5.9932758368659552E-3</v>
      </c>
      <c r="D35" s="567">
        <f t="shared" ref="D35:E35" si="268">IFERROR(IF(-D12/D$3&lt;0,D12/D$3,-D12/D$3),"")</f>
        <v>1.2075371549893844E-2</v>
      </c>
      <c r="E35" s="567">
        <f t="shared" si="268"/>
        <v>2.1367948077883177E-2</v>
      </c>
      <c r="F35" s="567">
        <f t="shared" ref="F35:G35" si="269">IFERROR(IF(-F12/F$3&lt;0,F12/F$3,-F12/F$3),"")</f>
        <v>1.3515456506110711E-2</v>
      </c>
      <c r="G35" s="567">
        <f t="shared" si="269"/>
        <v>1.2095974618282768E-2</v>
      </c>
      <c r="H35" s="567">
        <f t="shared" si="251"/>
        <v>1.7264276228419653E-2</v>
      </c>
      <c r="I35" s="567">
        <f t="shared" si="251"/>
        <v>1.0079193664506839E-2</v>
      </c>
      <c r="J35" s="567">
        <f t="shared" si="251"/>
        <v>1.937984496124031E-2</v>
      </c>
      <c r="K35" s="567">
        <f t="shared" si="251"/>
        <v>4.6615700167816519E-3</v>
      </c>
      <c r="L35" s="567">
        <f t="shared" si="251"/>
        <v>9.6207215541165587E-3</v>
      </c>
      <c r="M35" s="568">
        <f t="shared" si="251"/>
        <v>1.9963999345442643E-2</v>
      </c>
      <c r="O35" s="567">
        <f t="shared" ref="O35" si="270">IFERROR(IF(-O12/O$3&lt;0,O12/O$3,-O12/O$3),"")</f>
        <v>4.6397379912663753E-2</v>
      </c>
      <c r="P35" s="567">
        <f t="shared" ref="P35" si="271">IFERROR(IF(-P12/P$3&lt;0,P12/P$3,-P12/P$3),"")</f>
        <v>1.4148273910582909E-2</v>
      </c>
      <c r="Q35" s="567">
        <f t="shared" ref="Q35" si="272">IFERROR(IF(-Q12/Q$3&lt;0,Q12/Q$3,-Q12/Q$3),"")</f>
        <v>1.0618363522798251E-2</v>
      </c>
      <c r="R35" s="567">
        <f t="shared" ref="R35:S35" si="273">IFERROR(IF(-R12/R$3&lt;0,R12/R$3,-R12/R$3),"")</f>
        <v>3.9931545921277813E-3</v>
      </c>
      <c r="S35" s="567">
        <f t="shared" si="273"/>
        <v>1.4840182648401826E-2</v>
      </c>
      <c r="T35" s="567">
        <f t="shared" ref="T35:U35" si="274">IFERROR(IF(-T12/T$3&lt;0,T12/T$3,-T12/T$3),"")</f>
        <v>1.4409221902017291E-2</v>
      </c>
      <c r="U35" s="567">
        <f t="shared" si="274"/>
        <v>1.6647531572904706E-2</v>
      </c>
      <c r="V35" s="567">
        <f t="shared" ref="V35" si="275">IFERROR(IF(-V12/V$3&lt;0,V12/V$3,-V12/V$3),"")</f>
        <v>1.9871106337271752E-2</v>
      </c>
      <c r="W35" s="567">
        <f t="shared" si="258"/>
        <v>2.1810250817884406E-2</v>
      </c>
      <c r="X35" s="567">
        <f t="shared" si="258"/>
        <v>2.0495710200190656E-2</v>
      </c>
      <c r="Y35" s="569">
        <f t="shared" si="259"/>
        <v>1.1477761836441894E-2</v>
      </c>
      <c r="Z35" s="569">
        <f t="shared" si="259"/>
        <v>1.3100436681222707E-2</v>
      </c>
      <c r="AA35" s="569">
        <f t="shared" si="259"/>
        <v>4.3055555555555555E-2</v>
      </c>
      <c r="AB35" s="567">
        <f t="shared" ref="AB35" si="276">IFERROR(IF(-AB12/AB$3&lt;0,AB12/AB$3,-AB12/AB$3),"")</f>
        <v>1.3069306930693069E-2</v>
      </c>
      <c r="AC35" s="567">
        <f t="shared" si="261"/>
        <v>0</v>
      </c>
      <c r="AD35" s="569">
        <f t="shared" ref="AD35" si="277">IFERROR(IF(-AD12/AD$3&lt;0,AD12/AD$3,-AD12/AD$3),"")</f>
        <v>1.11731843575419E-2</v>
      </c>
      <c r="AE35" s="569">
        <f t="shared" ref="AE35:AF35" si="278">IFERROR(IF(-AE12/AE$3&lt;0,AE12/AE$3,-AE12/AE$3),"")</f>
        <v>2.1026592455163882E-2</v>
      </c>
      <c r="AF35" s="567">
        <f t="shared" si="278"/>
        <v>2.6490066225165563E-2</v>
      </c>
      <c r="AG35" s="567">
        <f t="shared" ref="AG35" si="279">IFERROR(IF(-AG12/AG$3&lt;0,AG12/AG$3,-AG12/AG$3),"")</f>
        <v>4.5558086560364463E-3</v>
      </c>
      <c r="AH35" s="569">
        <f t="shared" ref="AH35" si="280">IFERROR(IF(-AH12/AH$3&lt;0,AH12/AH$3,-AH12/AH$3),"")</f>
        <v>1.9102990033222592E-2</v>
      </c>
      <c r="AI35" s="569">
        <f t="shared" ref="AI35:AR35" si="281">IFERROR(IF(-AI12/AI$3&lt;0,AI12/AI$3,-AI12/AI$3),"")</f>
        <v>1.9118869492934332E-2</v>
      </c>
      <c r="AJ35" s="567">
        <f t="shared" si="281"/>
        <v>1.5921152388172859E-2</v>
      </c>
      <c r="AK35" s="567">
        <f t="shared" si="281"/>
        <v>0</v>
      </c>
      <c r="AL35" s="567">
        <f t="shared" si="281"/>
        <v>2.6415094339622643E-2</v>
      </c>
      <c r="AM35" s="567">
        <f t="shared" si="281"/>
        <v>8.4210526315789472E-3</v>
      </c>
      <c r="AN35" s="567">
        <f t="shared" si="281"/>
        <v>3.109540636042403E-2</v>
      </c>
      <c r="AO35" s="567">
        <f t="shared" si="281"/>
        <v>7.0921985815602835E-3</v>
      </c>
      <c r="AP35" s="567">
        <f t="shared" si="281"/>
        <v>1.3858497447118891E-2</v>
      </c>
      <c r="AQ35" s="567">
        <f t="shared" si="281"/>
        <v>1.6046681254558718E-2</v>
      </c>
      <c r="AR35" s="568">
        <f t="shared" si="281"/>
        <v>1.7806267806267807E-2</v>
      </c>
    </row>
    <row r="36" spans="1:44" s="536" customFormat="1" x14ac:dyDescent="0.25">
      <c r="B36" s="574" t="str">
        <f>B13</f>
        <v>הוצאות הכנסות מימון, נטו</v>
      </c>
      <c r="C36" s="575">
        <f t="shared" ref="C36" si="282">IFERROR(IF(-C13/C$3&lt;0,C13/C$3,-C13/C$3),"")</f>
        <v>2.0464844321005701E-2</v>
      </c>
      <c r="D36" s="575">
        <f t="shared" ref="D36:E36" si="283">IFERROR(IF(-D13/D$3&lt;0,D13/D$3,-D13/D$3),"")</f>
        <v>2.2292993630573247E-2</v>
      </c>
      <c r="E36" s="575">
        <f t="shared" si="283"/>
        <v>1.1283075386919621E-2</v>
      </c>
      <c r="F36" s="575">
        <f t="shared" ref="F36:G36" si="284">IFERROR(IF(-F13/F$3&lt;0,F13/F$3,-F13/F$3),"")</f>
        <v>1.7541337167505392E-2</v>
      </c>
      <c r="G36" s="575">
        <f t="shared" si="284"/>
        <v>3.1330557208011103E-2</v>
      </c>
      <c r="H36" s="575">
        <f t="shared" si="251"/>
        <v>2.4473534433693798E-2</v>
      </c>
      <c r="I36" s="575">
        <f t="shared" si="251"/>
        <v>2.843772498200144E-2</v>
      </c>
      <c r="J36" s="575">
        <f t="shared" si="251"/>
        <v>2.2886674049464747E-2</v>
      </c>
      <c r="K36" s="575">
        <f t="shared" si="251"/>
        <v>2.4613089688607124E-2</v>
      </c>
      <c r="L36" s="575">
        <f t="shared" si="251"/>
        <v>1.9981498612395929E-2</v>
      </c>
      <c r="M36" s="576">
        <f t="shared" si="251"/>
        <v>2.5691376206840123E-2</v>
      </c>
      <c r="O36" s="575">
        <f t="shared" ref="O36" si="285">IFERROR(IF(-O13/O$3&lt;0,O13/O$3,-O13/O$3),"")</f>
        <v>7.0960698689956333E-3</v>
      </c>
      <c r="P36" s="575">
        <f t="shared" ref="P36" si="286">IFERROR(IF(-P13/P$3&lt;0,P13/P$3,-P13/P$3),"")</f>
        <v>2.0939445387662705E-2</v>
      </c>
      <c r="Q36" s="575">
        <f t="shared" ref="Q36" si="287">IFERROR(IF(-Q13/Q$3&lt;0,Q13/Q$3,-Q13/Q$3),"")</f>
        <v>2.0612117426608369E-2</v>
      </c>
      <c r="R36" s="575">
        <f t="shared" ref="R36:S36" si="288">IFERROR(IF(-R13/R$3&lt;0,R13/R$3,-R13/R$3),"")</f>
        <v>2.2247575584711923E-2</v>
      </c>
      <c r="S36" s="575">
        <f t="shared" si="288"/>
        <v>1.8835616438356163E-2</v>
      </c>
      <c r="T36" s="575">
        <f t="shared" ref="T36:U36" si="289">IFERROR(IF(-T13/T$3&lt;0,T13/T$3,-T13/T$3),"")</f>
        <v>2.0172910662824207E-2</v>
      </c>
      <c r="U36" s="575">
        <f t="shared" si="289"/>
        <v>1.8943742824339839E-2</v>
      </c>
      <c r="V36" s="575">
        <f t="shared" ref="V36" si="290">IFERROR(IF(-V13/V$3&lt;0,V13/V$3,-V13/V$3),"")</f>
        <v>2.2556390977443608E-2</v>
      </c>
      <c r="W36" s="575">
        <f t="shared" si="258"/>
        <v>2.6717557251908396E-2</v>
      </c>
      <c r="X36" s="575">
        <f t="shared" si="258"/>
        <v>2.0972354623450904E-2</v>
      </c>
      <c r="Y36" s="577">
        <f t="shared" si="259"/>
        <v>1.9607843137254902E-2</v>
      </c>
      <c r="Z36" s="577">
        <f t="shared" si="259"/>
        <v>9.5275903136165137E-3</v>
      </c>
      <c r="AA36" s="577">
        <f t="shared" si="259"/>
        <v>4.8611111111111112E-3</v>
      </c>
      <c r="AB36" s="575">
        <f t="shared" ref="AB36" si="291">IFERROR(IF(-AB13/AB$3&lt;0,AB13/AB$3,-AB13/AB$3),"")</f>
        <v>1.3465346534653465E-2</v>
      </c>
      <c r="AC36" s="575">
        <f t="shared" si="261"/>
        <v>1.8645731108930325E-2</v>
      </c>
      <c r="AD36" s="577">
        <f t="shared" ref="AD36" si="292">IFERROR(IF(-AD13/AD$3&lt;0,AD13/AD$3,-AD13/AD$3),"")</f>
        <v>1.899441340782123E-2</v>
      </c>
      <c r="AE36" s="577">
        <f t="shared" ref="AE36:AF36" si="293">IFERROR(IF(-AE13/AE$3&lt;0,AE13/AE$3,-AE13/AE$3),"")</f>
        <v>1.8552875695732839E-2</v>
      </c>
      <c r="AF36" s="575">
        <f t="shared" si="293"/>
        <v>1.3245033112582781E-2</v>
      </c>
      <c r="AG36" s="575">
        <f t="shared" ref="AG36" si="294">IFERROR(IF(-AG13/AG$3&lt;0,AG13/AG$3,-AG13/AG$3),"")</f>
        <v>3.4927866362946092E-2</v>
      </c>
      <c r="AH36" s="577">
        <f t="shared" ref="AH36" si="295">IFERROR(IF(-AH13/AH$3&lt;0,AH13/AH$3,-AH13/AH$3),"")</f>
        <v>2.408637873754153E-2</v>
      </c>
      <c r="AI36" s="577">
        <f t="shared" ref="AI36:AR36" si="296">IFERROR(IF(-AI13/AI$3&lt;0,AI13/AI$3,-AI13/AI$3),"")</f>
        <v>2.5768911055694097E-2</v>
      </c>
      <c r="AJ36" s="575">
        <f t="shared" si="296"/>
        <v>3.9423805913570885E-2</v>
      </c>
      <c r="AK36" s="575">
        <f t="shared" si="296"/>
        <v>2.2603978300180832E-2</v>
      </c>
      <c r="AL36" s="575">
        <f t="shared" si="296"/>
        <v>2.4150943396226414E-2</v>
      </c>
      <c r="AM36" s="575">
        <f t="shared" si="296"/>
        <v>2.5964912280701753E-2</v>
      </c>
      <c r="AN36" s="575">
        <f t="shared" si="296"/>
        <v>2.4734982332155476E-2</v>
      </c>
      <c r="AO36" s="575">
        <f t="shared" si="296"/>
        <v>4.6808510638297871E-2</v>
      </c>
      <c r="AP36" s="575">
        <f t="shared" si="296"/>
        <v>1.6776075857038657E-2</v>
      </c>
      <c r="AQ36" s="575">
        <f t="shared" si="296"/>
        <v>3.9387308533916851E-2</v>
      </c>
      <c r="AR36" s="576">
        <f t="shared" si="296"/>
        <v>1.0683760683760684E-2</v>
      </c>
    </row>
    <row r="37" spans="1:44" s="536" customFormat="1" x14ac:dyDescent="0.25">
      <c r="B37" s="573" t="str">
        <f>B15</f>
        <v>רווח לפני מיסים</v>
      </c>
      <c r="C37" s="578">
        <f t="shared" ref="C37" si="297">IFERROR(IF(-C15/C$3&lt;0,C15/C$3,-C15/C$3),"")</f>
        <v>9.2968864201140186E-2</v>
      </c>
      <c r="D37" s="578">
        <f t="shared" ref="D37:E37" si="298">IFERROR(IF(-D15/D$3&lt;0,D15/D$3,-D15/D$3),"")</f>
        <v>0.12924628450106157</v>
      </c>
      <c r="E37" s="578">
        <f t="shared" si="298"/>
        <v>0.3398901647528707</v>
      </c>
      <c r="F37" s="578">
        <f t="shared" ref="F37:G37" si="299">IFERROR(IF(-F15/F$3&lt;0,F15/F$3,-F15/F$3),"")</f>
        <v>0.15700934579439252</v>
      </c>
      <c r="G37" s="578">
        <f t="shared" si="299"/>
        <v>9.7164386278009128E-3</v>
      </c>
      <c r="H37" s="578">
        <f t="shared" ref="H37:M39" si="300">IFERROR(IF(-H15/H$3&lt;0,H15/H$3,-H15/H$3),"")</f>
        <v>0.11914247770821476</v>
      </c>
      <c r="I37" s="578">
        <f t="shared" si="300"/>
        <v>0.24550035997120231</v>
      </c>
      <c r="J37" s="578">
        <f t="shared" si="300"/>
        <v>9.3207825765965299E-2</v>
      </c>
      <c r="K37" s="578">
        <f t="shared" si="300"/>
        <v>2.1816147678538133E-2</v>
      </c>
      <c r="L37" s="578">
        <f t="shared" si="300"/>
        <v>0.12358926919518964</v>
      </c>
      <c r="M37" s="579">
        <f t="shared" si="300"/>
        <v>0.10342006218294877</v>
      </c>
      <c r="O37" s="578">
        <f t="shared" ref="O37" si="301">IFERROR(IF(-O15/O$3&lt;0,O15/O$3,-O15/O$3),"")</f>
        <v>9.1703056768558958E-2</v>
      </c>
      <c r="P37" s="578">
        <f t="shared" ref="P37" si="302">IFERROR(IF(-P15/P$3&lt;0,P15/P$3,-P15/P$3),"")</f>
        <v>8.375778155065082E-2</v>
      </c>
      <c r="Q37" s="578">
        <f t="shared" ref="Q37" si="303">IFERROR(IF(-Q15/Q$3&lt;0,Q15/Q$3,-Q15/Q$3),"")</f>
        <v>7.12054965646471E-2</v>
      </c>
      <c r="R37" s="578">
        <f t="shared" ref="R37:S37" si="304">IFERROR(IF(-R15/R$3&lt;0,R15/R$3,-R15/R$3),"")</f>
        <v>0.10039931545921278</v>
      </c>
      <c r="S37" s="578">
        <f t="shared" si="304"/>
        <v>0.10159817351598173</v>
      </c>
      <c r="T37" s="578">
        <f t="shared" ref="T37:U37" si="305">IFERROR(IF(-T15/T$3&lt;0,T15/T$3,-T15/T$3),"")</f>
        <v>9.6829971181556201E-2</v>
      </c>
      <c r="U37" s="578">
        <f t="shared" si="305"/>
        <v>6.7164179104477612E-2</v>
      </c>
      <c r="V37" s="578">
        <f t="shared" ref="V37" si="306">IFERROR(IF(-V15/V$3&lt;0,V15/V$3,-V15/V$3),"")</f>
        <v>9.9355531686358758E-2</v>
      </c>
      <c r="W37" s="578">
        <f t="shared" ref="W37:X39" si="307">IFERROR(IF(-W15/W$3&lt;0,W15/W$3,-W15/W$3),"")</f>
        <v>0.13685932388222466</v>
      </c>
      <c r="X37" s="578">
        <f t="shared" si="307"/>
        <v>0.20066730219256435</v>
      </c>
      <c r="Y37" s="580">
        <f t="shared" ref="Y37:AA39" si="308">IFERROR(IF(-Y15/Y$3&lt;0,Y15/Y$3,-Y15/Y$3),"")</f>
        <v>0.23912003825920611</v>
      </c>
      <c r="Z37" s="580">
        <f t="shared" si="308"/>
        <v>0.36165144898769352</v>
      </c>
      <c r="AA37" s="580">
        <f t="shared" si="308"/>
        <v>0.390625</v>
      </c>
      <c r="AB37" s="578">
        <f t="shared" ref="AB37" si="309">IFERROR(IF(-AB15/AB$3&lt;0,AB15/AB$3,-AB15/AB$3),"")</f>
        <v>0.34376237623762373</v>
      </c>
      <c r="AC37" s="578">
        <f t="shared" ref="AC37:AC39" si="310">IFERROR(IF(-AC15/AC$3&lt;0,AC15/AC$3,-AC15/AC$3),"")</f>
        <v>0.20902845927379785</v>
      </c>
      <c r="AD37" s="580">
        <f t="shared" ref="AD37" si="311">IFERROR(IF(-AD15/AD$3&lt;0,AD15/AD$3,-AD15/AD$3),"")</f>
        <v>0.16033519553072625</v>
      </c>
      <c r="AE37" s="580">
        <f t="shared" ref="AE37:AF37" si="312">IFERROR(IF(-AE15/AE$3&lt;0,AE15/AE$3,-AE15/AE$3),"")</f>
        <v>0.13234384662956092</v>
      </c>
      <c r="AF37" s="578">
        <f t="shared" si="312"/>
        <v>0.10927152317880795</v>
      </c>
      <c r="AG37" s="578">
        <f t="shared" ref="AG37" si="313">IFERROR(IF(-AG15/AG$3&lt;0,AG15/AG$3,-AG15/AG$3),"")</f>
        <v>7.1374335611237655E-2</v>
      </c>
      <c r="AH37" s="580">
        <f t="shared" ref="AH37" si="314">IFERROR(IF(-AH15/AH$3&lt;0,AH15/AH$3,-AH15/AH$3),"")</f>
        <v>6.06312292358804E-2</v>
      </c>
      <c r="AI37" s="580">
        <f t="shared" ref="AI37:AR37" si="315">IFERROR(IF(-AI15/AI$3&lt;0,AI15/AI$3,-AI15/AI$3),"")</f>
        <v>0.16541978387364922</v>
      </c>
      <c r="AJ37" s="578">
        <f t="shared" si="315"/>
        <v>6.1410159211523881E-2</v>
      </c>
      <c r="AK37" s="578">
        <f t="shared" si="315"/>
        <v>5.6962025316455694E-2</v>
      </c>
      <c r="AL37" s="578">
        <f t="shared" si="315"/>
        <v>0.12754716981132075</v>
      </c>
      <c r="AM37" s="578">
        <f t="shared" si="315"/>
        <v>0.1431578947368421</v>
      </c>
      <c r="AN37" s="578">
        <f t="shared" si="315"/>
        <v>0.13568904593639575</v>
      </c>
      <c r="AO37" s="578">
        <f t="shared" si="315"/>
        <v>7.0921985815602842E-2</v>
      </c>
      <c r="AP37" s="578">
        <f t="shared" si="315"/>
        <v>0.12545587162654998</v>
      </c>
      <c r="AQ37" s="578">
        <f t="shared" si="315"/>
        <v>8.606856309263311E-2</v>
      </c>
      <c r="AR37" s="579">
        <f t="shared" si="315"/>
        <v>0.69159544159544162</v>
      </c>
    </row>
    <row r="38" spans="1:44" s="536" customFormat="1" ht="15.75" thickBot="1" x14ac:dyDescent="0.3">
      <c r="B38" s="581" t="str">
        <f>B16</f>
        <v>מיסים על הכנסה</v>
      </c>
      <c r="C38" s="582">
        <f t="shared" ref="C38" si="316">IFERROR(IF(-C16/C$3&lt;0,C16/C$3,-C16/C$3),"")</f>
        <v>2.5142523022949861E-2</v>
      </c>
      <c r="D38" s="582">
        <f t="shared" ref="D38:E38" si="317">IFERROR(IF(-D16/D$3&lt;0,D16/D$3,-D16/D$3),"")</f>
        <v>3.8083864118895965E-2</v>
      </c>
      <c r="E38" s="582">
        <f t="shared" si="317"/>
        <v>0.11832251622566151</v>
      </c>
      <c r="F38" s="582">
        <f t="shared" ref="F38:G38" si="318">IFERROR(IF(-F16/F$3&lt;0,F16/F$3,-F16/F$3),"")</f>
        <v>3.7383177570093455E-2</v>
      </c>
      <c r="G38" s="582">
        <f t="shared" si="318"/>
        <v>4.9573666468372005E-3</v>
      </c>
      <c r="H38" s="582">
        <f t="shared" si="300"/>
        <v>2.7888446215139442E-2</v>
      </c>
      <c r="I38" s="582">
        <f t="shared" si="300"/>
        <v>2.3218142548596114E-2</v>
      </c>
      <c r="J38" s="582">
        <f t="shared" si="300"/>
        <v>2.9162052417866371E-2</v>
      </c>
      <c r="K38" s="582">
        <f t="shared" si="300"/>
        <v>1.0255454036919635E-2</v>
      </c>
      <c r="L38" s="582">
        <f t="shared" si="300"/>
        <v>2.9972247918593896E-2</v>
      </c>
      <c r="M38" s="583">
        <f t="shared" si="300"/>
        <v>2.7164130256913763E-2</v>
      </c>
      <c r="O38" s="582">
        <f t="shared" ref="O38" si="319">IFERROR(IF(-O16/O$3&lt;0,O16/O$3,-O16/O$3),"")</f>
        <v>3.2751091703056769E-2</v>
      </c>
      <c r="P38" s="582">
        <f t="shared" ref="P38" si="320">IFERROR(IF(-P16/P$3&lt;0,P16/P$3,-P16/P$3),"")</f>
        <v>2.3769100169779286E-2</v>
      </c>
      <c r="Q38" s="582">
        <f t="shared" ref="Q38" si="321">IFERROR(IF(-Q16/Q$3&lt;0,Q16/Q$3,-Q16/Q$3),"")</f>
        <v>2.0612117426608369E-2</v>
      </c>
      <c r="R38" s="582">
        <f t="shared" ref="R38:S38" si="322">IFERROR(IF(-R16/R$3&lt;0,R16/R$3,-R16/R$3),"")</f>
        <v>2.7952082144894468E-2</v>
      </c>
      <c r="S38" s="582">
        <f t="shared" si="322"/>
        <v>2.7397260273972601E-2</v>
      </c>
      <c r="T38" s="582">
        <f t="shared" ref="T38:U38" si="323">IFERROR(IF(-T16/T$3&lt;0,T16/T$3,-T16/T$3),"")</f>
        <v>2.420749279538905E-2</v>
      </c>
      <c r="U38" s="582">
        <f t="shared" si="323"/>
        <v>1.8943742824339839E-2</v>
      </c>
      <c r="V38" s="582">
        <f t="shared" ref="V38" si="324">IFERROR(IF(-V16/V$3&lt;0,V16/V$3,-V16/V$3),"")</f>
        <v>2.309344790547798E-2</v>
      </c>
      <c r="W38" s="582">
        <f t="shared" si="307"/>
        <v>4.5801526717557252E-2</v>
      </c>
      <c r="X38" s="582">
        <f t="shared" si="307"/>
        <v>6.0533841754051479E-2</v>
      </c>
      <c r="Y38" s="584">
        <f t="shared" si="308"/>
        <v>7.5561932089909134E-2</v>
      </c>
      <c r="Z38" s="584">
        <f t="shared" si="308"/>
        <v>0.10956728860658992</v>
      </c>
      <c r="AA38" s="584">
        <f t="shared" si="308"/>
        <v>0.1875</v>
      </c>
      <c r="AB38" s="582">
        <f t="shared" ref="AB38" si="325">IFERROR(IF(-AB16/AB$3&lt;0,AB16/AB$3,-AB16/AB$3),"")</f>
        <v>8.3564356435643569E-2</v>
      </c>
      <c r="AC38" s="582">
        <f t="shared" si="310"/>
        <v>6.2806673209028455E-2</v>
      </c>
      <c r="AD38" s="584">
        <f t="shared" ref="AD38" si="326">IFERROR(IF(-AD16/AD$3&lt;0,AD16/AD$3,-AD16/AD$3),"")</f>
        <v>2.5139664804469275E-2</v>
      </c>
      <c r="AE38" s="584">
        <f t="shared" ref="AE38:AF38" si="327">IFERROR(IF(-AE16/AE$3&lt;0,AE16/AE$3,-AE16/AE$3),"")</f>
        <v>3.9579468150896725E-2</v>
      </c>
      <c r="AF38" s="582">
        <f t="shared" si="327"/>
        <v>1.5231788079470199E-2</v>
      </c>
      <c r="AG38" s="582">
        <f t="shared" ref="AG38" si="328">IFERROR(IF(-AG16/AG$3&lt;0,AG16/AG$3,-AG16/AG$3),"")</f>
        <v>1.8223234624145785E-2</v>
      </c>
      <c r="AH38" s="584">
        <f t="shared" ref="AH38" si="329">IFERROR(IF(-AH16/AH$3&lt;0,AH16/AH$3,-AH16/AH$3),"")</f>
        <v>1.1627906976744186E-2</v>
      </c>
      <c r="AI38" s="584">
        <f t="shared" ref="AI38:AR38" si="330">IFERROR(IF(-AI16/AI$3&lt;0,AI16/AI$3,-AI16/AI$3),"")</f>
        <v>2.7431421446384038E-2</v>
      </c>
      <c r="AJ38" s="582">
        <f t="shared" si="330"/>
        <v>1.5163002274450341E-2</v>
      </c>
      <c r="AK38" s="582">
        <f t="shared" si="330"/>
        <v>1.3562386980108499E-2</v>
      </c>
      <c r="AL38" s="582">
        <f t="shared" si="330"/>
        <v>2.6415094339622643E-2</v>
      </c>
      <c r="AM38" s="582">
        <f t="shared" si="330"/>
        <v>3.2280701754385965E-2</v>
      </c>
      <c r="AN38" s="582">
        <f t="shared" si="330"/>
        <v>3.604240282685512E-2</v>
      </c>
      <c r="AO38" s="582">
        <f t="shared" si="330"/>
        <v>1.3475177304964539E-2</v>
      </c>
      <c r="AP38" s="582">
        <f t="shared" si="330"/>
        <v>3.2822757111597371E-2</v>
      </c>
      <c r="AQ38" s="582">
        <f t="shared" si="330"/>
        <v>1.4587892049598834E-2</v>
      </c>
      <c r="AR38" s="583">
        <f t="shared" si="330"/>
        <v>3.2051282051282048E-2</v>
      </c>
    </row>
    <row r="39" spans="1:44" s="536" customFormat="1" ht="15.75" thickTop="1" x14ac:dyDescent="0.25">
      <c r="B39" s="574" t="str">
        <f>B17</f>
        <v>רווח נקי</v>
      </c>
      <c r="C39" s="575">
        <f t="shared" ref="C39" si="331">IFERROR(IF(-C17/C$3&lt;0,C17/C$3,-C17/C$3),"")</f>
        <v>6.7826341178190322E-2</v>
      </c>
      <c r="D39" s="575">
        <f t="shared" ref="D39:E39" si="332">IFERROR(IF(-D17/D$3&lt;0,D17/D$3,-D17/D$3),"")</f>
        <v>9.1162420382165599E-2</v>
      </c>
      <c r="E39" s="575">
        <f t="shared" si="332"/>
        <v>0.2215676485272092</v>
      </c>
      <c r="F39" s="575">
        <f t="shared" ref="F39:G39" si="333">IFERROR(IF(-F17/F$3&lt;0,F17/F$3,-F17/F$3),"")</f>
        <v>0.11962616822429907</v>
      </c>
      <c r="G39" s="575">
        <f t="shared" si="333"/>
        <v>4.7590719809637123E-3</v>
      </c>
      <c r="H39" s="575">
        <f t="shared" si="300"/>
        <v>9.1254031493075316E-2</v>
      </c>
      <c r="I39" s="575">
        <f t="shared" si="300"/>
        <v>0.2222822174226062</v>
      </c>
      <c r="J39" s="575">
        <f t="shared" si="300"/>
        <v>6.4045773348098925E-2</v>
      </c>
      <c r="K39" s="575">
        <f t="shared" si="300"/>
        <v>3.2071601715457768E-2</v>
      </c>
      <c r="L39" s="575">
        <f t="shared" si="300"/>
        <v>9.3617021276595741E-2</v>
      </c>
      <c r="M39" s="576">
        <f t="shared" si="300"/>
        <v>7.6255931926035025E-2</v>
      </c>
      <c r="O39" s="575">
        <f t="shared" ref="O39" si="334">IFERROR(IF(-O17/O$3&lt;0,O17/O$3,-O17/O$3),"")</f>
        <v>5.8951965065502182E-2</v>
      </c>
      <c r="P39" s="575">
        <f t="shared" ref="P39" si="335">IFERROR(IF(-P17/P$3&lt;0,P17/P$3,-P17/P$3),"")</f>
        <v>5.9988681380871531E-2</v>
      </c>
      <c r="Q39" s="575">
        <f t="shared" ref="Q39" si="336">IFERROR(IF(-Q17/Q$3&lt;0,Q17/Q$3,-Q17/Q$3),"")</f>
        <v>5.0593379138038727E-2</v>
      </c>
      <c r="R39" s="575">
        <f t="shared" ref="R39:S39" si="337">IFERROR(IF(-R17/R$3&lt;0,R17/R$3,-R17/R$3),"")</f>
        <v>7.2447233314318307E-2</v>
      </c>
      <c r="S39" s="575">
        <f t="shared" si="337"/>
        <v>7.4200913242009128E-2</v>
      </c>
      <c r="T39" s="575">
        <f t="shared" ref="T39:U39" si="338">IFERROR(IF(-T17/T$3&lt;0,T17/T$3,-T17/T$3),"")</f>
        <v>7.2622478386167144E-2</v>
      </c>
      <c r="U39" s="575">
        <f t="shared" si="338"/>
        <v>4.8220436280137773E-2</v>
      </c>
      <c r="V39" s="575">
        <f t="shared" ref="V39" si="339">IFERROR(IF(-V17/V$3&lt;0,V17/V$3,-V17/V$3),"")</f>
        <v>7.6262083780880771E-2</v>
      </c>
      <c r="W39" s="575">
        <f t="shared" si="307"/>
        <v>9.1057797164667401E-2</v>
      </c>
      <c r="X39" s="575">
        <f t="shared" si="307"/>
        <v>0.14013346043851288</v>
      </c>
      <c r="Y39" s="577">
        <f t="shared" si="308"/>
        <v>0.16355810616929697</v>
      </c>
      <c r="Z39" s="577">
        <f t="shared" si="308"/>
        <v>0.25208416038110359</v>
      </c>
      <c r="AA39" s="577">
        <f t="shared" si="308"/>
        <v>0.203125</v>
      </c>
      <c r="AB39" s="575">
        <f t="shared" ref="AB39" si="340">IFERROR(IF(-AB17/AB$3&lt;0,AB17/AB$3,-AB17/AB$3),"")</f>
        <v>0.26019801980198021</v>
      </c>
      <c r="AC39" s="575">
        <f t="shared" si="310"/>
        <v>0.14622178606476938</v>
      </c>
      <c r="AD39" s="577">
        <f t="shared" ref="AD39" si="341">IFERROR(IF(-AD17/AD$3&lt;0,AD17/AD$3,-AD17/AD$3),"")</f>
        <v>0.13519553072625698</v>
      </c>
      <c r="AE39" s="577">
        <f t="shared" ref="AE39:AF39" si="342">IFERROR(IF(-AE17/AE$3&lt;0,AE17/AE$3,-AE17/AE$3),"")</f>
        <v>9.2764378478664186E-2</v>
      </c>
      <c r="AF39" s="575">
        <f t="shared" si="342"/>
        <v>9.4039735099337746E-2</v>
      </c>
      <c r="AG39" s="575">
        <f t="shared" ref="AG39" si="343">IFERROR(IF(-AG17/AG$3&lt;0,AG17/AG$3,-AG17/AG$3),"")</f>
        <v>5.3151100987091873E-2</v>
      </c>
      <c r="AH39" s="577">
        <f t="shared" ref="AH39" si="344">IFERROR(IF(-AH17/AH$3&lt;0,AH17/AH$3,-AH17/AH$3),"")</f>
        <v>4.9003322259136214E-2</v>
      </c>
      <c r="AI39" s="577">
        <f t="shared" ref="AI39:AR39" si="345">IFERROR(IF(-AI17/AI$3&lt;0,AI17/AI$3,-AI17/AI$3),"")</f>
        <v>0.13798836242726517</v>
      </c>
      <c r="AJ39" s="575">
        <f t="shared" si="345"/>
        <v>4.6247156937073541E-2</v>
      </c>
      <c r="AK39" s="575">
        <f t="shared" si="345"/>
        <v>4.3399638336347197E-2</v>
      </c>
      <c r="AL39" s="575">
        <f t="shared" si="345"/>
        <v>0.10113207547169811</v>
      </c>
      <c r="AM39" s="575">
        <f t="shared" si="345"/>
        <v>0.11087719298245614</v>
      </c>
      <c r="AN39" s="575">
        <f t="shared" si="345"/>
        <v>9.9646643109540634E-2</v>
      </c>
      <c r="AO39" s="575">
        <f t="shared" si="345"/>
        <v>5.7446808510638298E-2</v>
      </c>
      <c r="AP39" s="575">
        <f t="shared" si="345"/>
        <v>9.2633114514952583E-2</v>
      </c>
      <c r="AQ39" s="575">
        <f t="shared" si="345"/>
        <v>7.148067104303428E-2</v>
      </c>
      <c r="AR39" s="576">
        <f t="shared" si="345"/>
        <v>0.65954415954415957</v>
      </c>
    </row>
    <row r="40" spans="1:44" s="536" customFormat="1" x14ac:dyDescent="0.25">
      <c r="B40" s="547"/>
      <c r="C40" s="548"/>
      <c r="D40" s="548"/>
      <c r="E40" s="548"/>
      <c r="F40" s="548"/>
      <c r="G40" s="548"/>
      <c r="H40" s="548"/>
      <c r="I40" s="548"/>
      <c r="J40" s="548"/>
      <c r="K40" s="548"/>
      <c r="L40" s="548"/>
      <c r="M40" s="548"/>
      <c r="O40" s="548"/>
      <c r="P40" s="548"/>
      <c r="Q40" s="548"/>
      <c r="R40" s="548"/>
      <c r="S40" s="548"/>
      <c r="T40" s="548"/>
      <c r="U40" s="548"/>
      <c r="V40" s="548"/>
      <c r="W40" s="548"/>
      <c r="X40" s="548"/>
      <c r="Y40" s="548"/>
      <c r="Z40" s="548"/>
      <c r="AA40" s="548"/>
      <c r="AB40" s="548"/>
      <c r="AC40" s="548"/>
      <c r="AD40" s="548"/>
      <c r="AE40" s="548"/>
      <c r="AF40" s="548"/>
      <c r="AG40" s="548"/>
      <c r="AH40" s="548"/>
      <c r="AI40" s="548"/>
      <c r="AJ40" s="548"/>
      <c r="AK40" s="548"/>
      <c r="AL40" s="548"/>
      <c r="AM40" s="548"/>
      <c r="AN40" s="548"/>
      <c r="AO40" s="548"/>
      <c r="AP40" s="548"/>
      <c r="AQ40" s="548"/>
      <c r="AR40" s="548"/>
    </row>
    <row r="41" spans="1:44" s="536" customFormat="1" x14ac:dyDescent="0.25">
      <c r="B41" s="547"/>
      <c r="C41" s="548"/>
      <c r="D41" s="548"/>
      <c r="E41" s="548"/>
      <c r="F41" s="548"/>
      <c r="G41" s="548"/>
      <c r="H41" s="548"/>
      <c r="I41" s="548"/>
      <c r="J41" s="548"/>
      <c r="K41" s="548"/>
      <c r="L41" s="548"/>
      <c r="M41" s="548"/>
      <c r="O41" s="548"/>
      <c r="P41" s="548"/>
      <c r="Q41" s="548"/>
      <c r="R41" s="548"/>
      <c r="S41" s="548"/>
      <c r="T41" s="548"/>
      <c r="U41" s="548"/>
      <c r="V41" s="548"/>
      <c r="W41" s="548"/>
      <c r="X41" s="548"/>
      <c r="Y41" s="548"/>
      <c r="Z41" s="548"/>
      <c r="AA41" s="548"/>
      <c r="AB41" s="548"/>
      <c r="AC41" s="548"/>
      <c r="AD41" s="548"/>
      <c r="AE41" s="548"/>
      <c r="AF41" s="548"/>
      <c r="AG41" s="548"/>
      <c r="AH41" s="548"/>
      <c r="AI41" s="548"/>
      <c r="AJ41" s="548"/>
      <c r="AK41" s="548"/>
      <c r="AL41" s="548"/>
      <c r="AM41" s="548"/>
      <c r="AN41" s="548"/>
      <c r="AO41" s="548"/>
      <c r="AP41" s="548"/>
      <c r="AQ41" s="548"/>
      <c r="AR41" s="548"/>
    </row>
    <row r="42" spans="1:44" s="536" customFormat="1" x14ac:dyDescent="0.25">
      <c r="C42" s="543"/>
      <c r="D42" s="543"/>
      <c r="E42" s="543"/>
      <c r="F42" s="543"/>
      <c r="G42" s="543"/>
      <c r="H42" s="543"/>
      <c r="I42" s="543"/>
      <c r="J42" s="543"/>
      <c r="K42" s="543"/>
      <c r="L42" s="543"/>
      <c r="M42" s="543"/>
      <c r="O42" s="543"/>
      <c r="P42" s="543"/>
      <c r="Q42" s="543"/>
      <c r="R42" s="543"/>
      <c r="S42" s="543"/>
      <c r="T42" s="543"/>
      <c r="U42" s="543"/>
      <c r="V42" s="543"/>
      <c r="W42" s="543"/>
      <c r="X42" s="543"/>
      <c r="Y42" s="543"/>
      <c r="Z42" s="543"/>
      <c r="AA42" s="543"/>
      <c r="AB42" s="543"/>
      <c r="AC42" s="543"/>
      <c r="AD42" s="543"/>
      <c r="AE42" s="543"/>
      <c r="AF42" s="543"/>
      <c r="AG42" s="543"/>
      <c r="AH42" s="543"/>
      <c r="AI42" s="543"/>
      <c r="AJ42" s="543"/>
      <c r="AK42" s="543"/>
      <c r="AL42" s="543"/>
      <c r="AM42" s="543"/>
      <c r="AN42" s="543"/>
      <c r="AO42" s="543"/>
      <c r="AP42" s="543"/>
      <c r="AQ42" s="543"/>
      <c r="AR42" s="543"/>
    </row>
    <row r="43" spans="1:44" s="536" customFormat="1" x14ac:dyDescent="0.25">
      <c r="A43" s="539" t="s">
        <v>658</v>
      </c>
      <c r="B43" s="540"/>
      <c r="C43" s="541" t="str">
        <f t="shared" ref="C43:H43" si="346">C$2</f>
        <v>FY 2024</v>
      </c>
      <c r="D43" s="541" t="str">
        <f t="shared" si="346"/>
        <v>FY 2023</v>
      </c>
      <c r="E43" s="541" t="str">
        <f t="shared" si="346"/>
        <v>FY 2022</v>
      </c>
      <c r="F43" s="541" t="str">
        <f t="shared" si="346"/>
        <v>FY 2021</v>
      </c>
      <c r="G43" s="541" t="str">
        <f t="shared" si="346"/>
        <v>FY 2020</v>
      </c>
      <c r="H43" s="541" t="str">
        <f t="shared" si="346"/>
        <v>FY 2019</v>
      </c>
      <c r="I43" s="541" t="str">
        <f t="shared" ref="I43:AR43" si="347">I$2</f>
        <v>FY 2018</v>
      </c>
      <c r="J43" s="541" t="str">
        <f t="shared" si="347"/>
        <v>FY 2017</v>
      </c>
      <c r="K43" s="541" t="str">
        <f t="shared" si="347"/>
        <v>FY 2016</v>
      </c>
      <c r="L43" s="541" t="str">
        <f t="shared" si="347"/>
        <v>FY 2015</v>
      </c>
      <c r="M43" s="541" t="str">
        <f t="shared" si="347"/>
        <v>FY 2014</v>
      </c>
      <c r="O43" s="541" t="str">
        <f t="shared" si="347"/>
        <v>Q2 2025</v>
      </c>
      <c r="P43" s="541" t="str">
        <f t="shared" si="347"/>
        <v>Q1 2025</v>
      </c>
      <c r="Q43" s="541" t="str">
        <f t="shared" si="347"/>
        <v>Q4 2024</v>
      </c>
      <c r="R43" s="541" t="str">
        <f t="shared" si="347"/>
        <v>Q3 2024</v>
      </c>
      <c r="S43" s="541" t="str">
        <f t="shared" si="347"/>
        <v>Q2 2024</v>
      </c>
      <c r="T43" s="541" t="str">
        <f t="shared" si="347"/>
        <v>Q1 2024</v>
      </c>
      <c r="U43" s="541" t="str">
        <f t="shared" si="347"/>
        <v>Q4 2023</v>
      </c>
      <c r="V43" s="541" t="str">
        <f t="shared" si="347"/>
        <v>Q3 2023</v>
      </c>
      <c r="W43" s="541" t="str">
        <f t="shared" si="347"/>
        <v>Q2 2023</v>
      </c>
      <c r="X43" s="541" t="str">
        <f t="shared" si="347"/>
        <v>Q1 2023</v>
      </c>
      <c r="Y43" s="541" t="str">
        <f t="shared" si="347"/>
        <v>Q4 2022</v>
      </c>
      <c r="Z43" s="541" t="str">
        <f t="shared" si="347"/>
        <v>Q3 2022</v>
      </c>
      <c r="AA43" s="541" t="str">
        <f t="shared" si="347"/>
        <v>Q2 2022</v>
      </c>
      <c r="AB43" s="541" t="str">
        <f t="shared" si="347"/>
        <v>Q1 2022</v>
      </c>
      <c r="AC43" s="541" t="str">
        <f t="shared" si="347"/>
        <v>Q4 2021</v>
      </c>
      <c r="AD43" s="541" t="str">
        <f t="shared" si="347"/>
        <v>Q3 2021</v>
      </c>
      <c r="AE43" s="541" t="str">
        <f t="shared" si="347"/>
        <v>Q2 2021</v>
      </c>
      <c r="AF43" s="541" t="str">
        <f t="shared" si="347"/>
        <v>Q1 2021</v>
      </c>
      <c r="AG43" s="541" t="str">
        <f t="shared" si="347"/>
        <v>Q4 2020</v>
      </c>
      <c r="AH43" s="541" t="str">
        <f t="shared" si="347"/>
        <v>Q3 2020</v>
      </c>
      <c r="AI43" s="541" t="str">
        <f t="shared" si="347"/>
        <v>Q2 2020</v>
      </c>
      <c r="AJ43" s="541" t="str">
        <f t="shared" si="347"/>
        <v>Q1 2020</v>
      </c>
      <c r="AK43" s="541" t="str">
        <f t="shared" si="347"/>
        <v>Q4 2019</v>
      </c>
      <c r="AL43" s="541" t="str">
        <f t="shared" si="347"/>
        <v>Q3 2019</v>
      </c>
      <c r="AM43" s="541" t="str">
        <f t="shared" si="347"/>
        <v>Q2 2019</v>
      </c>
      <c r="AN43" s="541" t="str">
        <f t="shared" si="347"/>
        <v>Q1 2019</v>
      </c>
      <c r="AO43" s="541" t="str">
        <f t="shared" si="347"/>
        <v>Q4 2018</v>
      </c>
      <c r="AP43" s="541" t="str">
        <f t="shared" si="347"/>
        <v>Q3 2018</v>
      </c>
      <c r="AQ43" s="541" t="str">
        <f t="shared" si="347"/>
        <v>Q2 2018</v>
      </c>
      <c r="AR43" s="541" t="str">
        <f t="shared" si="347"/>
        <v>Q1 2018</v>
      </c>
    </row>
    <row r="44" spans="1:44" s="536" customFormat="1" x14ac:dyDescent="0.25">
      <c r="C44" s="543"/>
      <c r="D44" s="543"/>
      <c r="E44" s="543"/>
      <c r="F44" s="543"/>
      <c r="G44" s="543"/>
      <c r="H44" s="543"/>
      <c r="I44" s="543"/>
      <c r="J44" s="543"/>
      <c r="K44" s="543"/>
      <c r="L44" s="543"/>
      <c r="M44" s="543"/>
      <c r="O44" s="543"/>
      <c r="P44" s="543"/>
      <c r="Q44" s="543"/>
      <c r="R44" s="543"/>
      <c r="S44" s="543"/>
      <c r="T44" s="543"/>
      <c r="U44" s="543"/>
      <c r="V44" s="543"/>
      <c r="W44" s="543"/>
      <c r="X44" s="543"/>
      <c r="Y44" s="543"/>
      <c r="Z44" s="543"/>
      <c r="AA44" s="543"/>
      <c r="AB44" s="543"/>
      <c r="AC44" s="543"/>
      <c r="AD44" s="543"/>
      <c r="AE44" s="543"/>
      <c r="AF44" s="543"/>
      <c r="AG44" s="543"/>
      <c r="AH44" s="543"/>
      <c r="AI44" s="543"/>
      <c r="AJ44" s="543"/>
      <c r="AK44" s="543"/>
      <c r="AL44" s="543"/>
      <c r="AM44" s="543"/>
      <c r="AN44" s="543"/>
      <c r="AO44" s="543"/>
      <c r="AP44" s="543"/>
      <c r="AQ44" s="543"/>
      <c r="AR44" s="543"/>
    </row>
    <row r="45" spans="1:44" s="547" customFormat="1" x14ac:dyDescent="0.25">
      <c r="B45" s="547" t="s">
        <v>36</v>
      </c>
      <c r="C45" s="548">
        <f t="shared" ref="C45" si="348">C17</f>
        <v>464</v>
      </c>
      <c r="D45" s="548">
        <f t="shared" ref="D45:E45" si="349">D17</f>
        <v>687</v>
      </c>
      <c r="E45" s="548">
        <f t="shared" si="349"/>
        <v>2219</v>
      </c>
      <c r="F45" s="548">
        <f t="shared" ref="F45:G45" si="350">F17</f>
        <v>832</v>
      </c>
      <c r="G45" s="548">
        <f t="shared" si="350"/>
        <v>24</v>
      </c>
      <c r="H45" s="548">
        <f t="shared" ref="H45:M45" si="351">H17</f>
        <v>481</v>
      </c>
      <c r="I45" s="548">
        <f t="shared" si="351"/>
        <v>1235</v>
      </c>
      <c r="J45" s="548">
        <f t="shared" si="351"/>
        <v>347</v>
      </c>
      <c r="K45" s="548">
        <f t="shared" si="351"/>
        <v>-172</v>
      </c>
      <c r="L45" s="548">
        <f t="shared" si="351"/>
        <v>506</v>
      </c>
      <c r="M45" s="548">
        <f t="shared" si="351"/>
        <v>466</v>
      </c>
      <c r="O45" s="548">
        <f t="shared" ref="O45" si="352">O17</f>
        <v>108</v>
      </c>
      <c r="P45" s="548">
        <f t="shared" ref="P45" si="353">P17</f>
        <v>106</v>
      </c>
      <c r="Q45" s="548">
        <f t="shared" ref="Q45" si="354">Q17</f>
        <v>81</v>
      </c>
      <c r="R45" s="548">
        <f t="shared" ref="R45:S45" si="355">R17</f>
        <v>127</v>
      </c>
      <c r="S45" s="548">
        <f t="shared" si="355"/>
        <v>130</v>
      </c>
      <c r="T45" s="548">
        <f t="shared" ref="T45:U45" si="356">T17</f>
        <v>126</v>
      </c>
      <c r="U45" s="548">
        <f t="shared" si="356"/>
        <v>84</v>
      </c>
      <c r="V45" s="548">
        <f t="shared" ref="V45" si="357">V17</f>
        <v>142</v>
      </c>
      <c r="W45" s="548">
        <f t="shared" ref="W45:X45" si="358">W17</f>
        <v>167</v>
      </c>
      <c r="X45" s="548">
        <f t="shared" si="358"/>
        <v>294</v>
      </c>
      <c r="Y45" s="548">
        <f t="shared" ref="Y45:AA45" si="359">Y17</f>
        <v>342</v>
      </c>
      <c r="Z45" s="548">
        <f t="shared" si="359"/>
        <v>635</v>
      </c>
      <c r="AA45" s="548">
        <f t="shared" si="359"/>
        <v>585</v>
      </c>
      <c r="AB45" s="548">
        <f t="shared" ref="AB45" si="360">AB17</f>
        <v>657</v>
      </c>
      <c r="AC45" s="548">
        <f t="shared" ref="AC45" si="361">AC17</f>
        <v>298</v>
      </c>
      <c r="AD45" s="548">
        <f t="shared" ref="AD45" si="362">AD17</f>
        <v>242</v>
      </c>
      <c r="AE45" s="548">
        <f t="shared" ref="AE45:AF45" si="363">AE17</f>
        <v>150</v>
      </c>
      <c r="AF45" s="548">
        <f t="shared" si="363"/>
        <v>142</v>
      </c>
      <c r="AG45" s="548">
        <f t="shared" ref="AG45" si="364">AG17</f>
        <v>70</v>
      </c>
      <c r="AH45" s="548">
        <f t="shared" ref="AH45" si="365">AH17</f>
        <v>59</v>
      </c>
      <c r="AI45" s="548">
        <f t="shared" ref="AI45:AR45" si="366">AI17</f>
        <v>-166</v>
      </c>
      <c r="AJ45" s="548">
        <f t="shared" si="366"/>
        <v>61</v>
      </c>
      <c r="AK45" s="548">
        <f t="shared" si="366"/>
        <v>48</v>
      </c>
      <c r="AL45" s="548">
        <f t="shared" si="366"/>
        <v>134</v>
      </c>
      <c r="AM45" s="548">
        <f t="shared" si="366"/>
        <v>158</v>
      </c>
      <c r="AN45" s="548">
        <f t="shared" si="366"/>
        <v>141</v>
      </c>
      <c r="AO45" s="548">
        <f t="shared" si="366"/>
        <v>81</v>
      </c>
      <c r="AP45" s="548">
        <f t="shared" si="366"/>
        <v>127</v>
      </c>
      <c r="AQ45" s="548">
        <f t="shared" si="366"/>
        <v>98</v>
      </c>
      <c r="AR45" s="548">
        <f t="shared" si="366"/>
        <v>926</v>
      </c>
    </row>
    <row r="46" spans="1:44" s="536" customFormat="1" x14ac:dyDescent="0.25">
      <c r="B46" s="536" t="s">
        <v>102</v>
      </c>
      <c r="C46" s="543">
        <v>596</v>
      </c>
      <c r="D46" s="543">
        <v>536</v>
      </c>
      <c r="E46" s="543">
        <v>498</v>
      </c>
      <c r="F46" s="543">
        <v>490</v>
      </c>
      <c r="G46" s="543">
        <v>489</v>
      </c>
      <c r="H46" s="543">
        <v>443</v>
      </c>
      <c r="I46" s="543">
        <v>403</v>
      </c>
      <c r="J46" s="543">
        <v>390</v>
      </c>
      <c r="K46" s="543">
        <v>401</v>
      </c>
      <c r="L46" s="543">
        <v>430</v>
      </c>
      <c r="M46" s="543">
        <v>427</v>
      </c>
      <c r="O46" s="543">
        <v>150</v>
      </c>
      <c r="P46" s="543">
        <v>151</v>
      </c>
      <c r="Q46" s="543">
        <f t="shared" ref="Q46:Q57" si="367">C46-R46-S46-T46</f>
        <v>157</v>
      </c>
      <c r="R46" s="543">
        <v>140</v>
      </c>
      <c r="S46" s="543">
        <v>152</v>
      </c>
      <c r="T46" s="543">
        <v>147</v>
      </c>
      <c r="U46" s="543">
        <f t="shared" ref="U46:U58" si="368">D46-V46-W46-X46</f>
        <v>146</v>
      </c>
      <c r="V46" s="543">
        <v>119</v>
      </c>
      <c r="W46" s="543">
        <v>141</v>
      </c>
      <c r="X46" s="543">
        <v>130</v>
      </c>
      <c r="Y46" s="543">
        <f>E46-Z46-AA46-AB46</f>
        <v>136</v>
      </c>
      <c r="Z46" s="543">
        <v>121</v>
      </c>
      <c r="AA46" s="543">
        <v>119</v>
      </c>
      <c r="AB46" s="543">
        <v>122</v>
      </c>
      <c r="AC46" s="543">
        <f t="shared" ref="AC46:AC57" si="369">F46-AD46-AE46-AF46</f>
        <v>126</v>
      </c>
      <c r="AD46" s="543">
        <v>123</v>
      </c>
      <c r="AE46" s="543">
        <v>124</v>
      </c>
      <c r="AF46" s="543">
        <v>117</v>
      </c>
      <c r="AG46" s="543">
        <f t="shared" ref="AG46:AG57" si="370">G46-AH46-AI46-AJ46</f>
        <v>170</v>
      </c>
      <c r="AH46" s="543">
        <v>82</v>
      </c>
      <c r="AI46" s="543">
        <v>119</v>
      </c>
      <c r="AJ46" s="543">
        <v>118</v>
      </c>
      <c r="AK46" s="543">
        <f t="shared" ref="AK46:AK53" si="371">H46-AL46-AM46-AN46</f>
        <v>113</v>
      </c>
      <c r="AL46" s="543">
        <v>110</v>
      </c>
      <c r="AM46" s="543">
        <v>109</v>
      </c>
      <c r="AN46" s="543">
        <v>111</v>
      </c>
      <c r="AO46" s="543"/>
      <c r="AP46" s="543">
        <v>94</v>
      </c>
      <c r="AQ46" s="543">
        <v>105</v>
      </c>
      <c r="AR46" s="543">
        <v>97</v>
      </c>
    </row>
    <row r="47" spans="1:44" s="536" customFormat="1" x14ac:dyDescent="0.25">
      <c r="B47" s="617" t="s">
        <v>729</v>
      </c>
      <c r="C47" s="543">
        <v>14</v>
      </c>
      <c r="D47" s="543">
        <v>0</v>
      </c>
      <c r="E47" s="543">
        <v>0</v>
      </c>
      <c r="F47" s="543">
        <v>-6</v>
      </c>
      <c r="G47" s="543">
        <v>90</v>
      </c>
      <c r="H47" s="543">
        <v>-10</v>
      </c>
      <c r="I47" s="543">
        <v>17</v>
      </c>
      <c r="J47" s="543">
        <v>28</v>
      </c>
      <c r="K47" s="543">
        <v>5</v>
      </c>
      <c r="L47" s="543">
        <v>-162</v>
      </c>
      <c r="M47" s="543">
        <v>-23</v>
      </c>
      <c r="O47" s="543">
        <v>0</v>
      </c>
      <c r="P47" s="543">
        <v>0</v>
      </c>
      <c r="Q47" s="543">
        <f t="shared" si="367"/>
        <v>7</v>
      </c>
      <c r="R47" s="543">
        <v>7</v>
      </c>
      <c r="S47" s="543">
        <v>0</v>
      </c>
      <c r="T47" s="543">
        <v>0</v>
      </c>
      <c r="U47" s="543">
        <f t="shared" si="368"/>
        <v>0</v>
      </c>
      <c r="V47" s="543">
        <v>0</v>
      </c>
      <c r="W47" s="543">
        <v>0</v>
      </c>
      <c r="X47" s="543">
        <v>0</v>
      </c>
      <c r="Y47" s="543">
        <f t="shared" ref="Y47:Y57" si="372">E47-Z47-AA47-AB47</f>
        <v>0</v>
      </c>
      <c r="Z47" s="543">
        <v>0</v>
      </c>
      <c r="AA47" s="543">
        <v>0</v>
      </c>
      <c r="AB47" s="543">
        <v>0</v>
      </c>
      <c r="AC47" s="543">
        <f t="shared" si="369"/>
        <v>3</v>
      </c>
      <c r="AD47" s="543">
        <v>0</v>
      </c>
      <c r="AE47" s="543">
        <v>-9</v>
      </c>
      <c r="AF47" s="543">
        <v>0</v>
      </c>
      <c r="AG47" s="543">
        <f t="shared" si="370"/>
        <v>-41</v>
      </c>
      <c r="AH47" s="543">
        <v>0</v>
      </c>
      <c r="AI47" s="543">
        <v>131</v>
      </c>
      <c r="AJ47" s="543">
        <v>0</v>
      </c>
      <c r="AK47" s="543">
        <f t="shared" si="371"/>
        <v>0</v>
      </c>
      <c r="AL47" s="543">
        <v>0</v>
      </c>
      <c r="AM47" s="543">
        <v>-10</v>
      </c>
      <c r="AN47" s="543">
        <v>0</v>
      </c>
      <c r="AO47" s="543"/>
      <c r="AP47" s="543">
        <v>3</v>
      </c>
      <c r="AQ47" s="543">
        <v>14</v>
      </c>
      <c r="AR47" s="543">
        <v>0</v>
      </c>
    </row>
    <row r="48" spans="1:44" s="536" customFormat="1" x14ac:dyDescent="0.25">
      <c r="B48" s="745" t="s">
        <v>865</v>
      </c>
      <c r="C48" s="543">
        <v>152</v>
      </c>
      <c r="D48" s="543">
        <v>24</v>
      </c>
      <c r="E48" s="543">
        <v>157</v>
      </c>
      <c r="F48" s="543">
        <v>99</v>
      </c>
      <c r="G48" s="543">
        <v>88</v>
      </c>
      <c r="H48" s="543">
        <v>109</v>
      </c>
      <c r="I48" s="543">
        <v>35</v>
      </c>
      <c r="J48" s="543">
        <v>137</v>
      </c>
      <c r="K48" s="543">
        <v>76</v>
      </c>
      <c r="L48" s="543">
        <v>0</v>
      </c>
      <c r="M48" s="543">
        <v>0</v>
      </c>
      <c r="O48" s="543">
        <v>-84</v>
      </c>
      <c r="P48" s="543">
        <v>44</v>
      </c>
      <c r="Q48" s="543">
        <f t="shared" si="367"/>
        <v>47</v>
      </c>
      <c r="R48" s="543">
        <v>9</v>
      </c>
      <c r="S48" s="543">
        <v>37</v>
      </c>
      <c r="T48" s="543">
        <v>59</v>
      </c>
      <c r="U48" s="543">
        <f t="shared" si="368"/>
        <v>-51</v>
      </c>
      <c r="V48" s="543">
        <v>27</v>
      </c>
      <c r="W48" s="543">
        <v>30</v>
      </c>
      <c r="X48" s="543">
        <v>18</v>
      </c>
      <c r="Y48" s="543">
        <f t="shared" si="372"/>
        <v>-4</v>
      </c>
      <c r="Z48" s="543">
        <v>45</v>
      </c>
      <c r="AA48" s="543">
        <v>75</v>
      </c>
      <c r="AB48" s="543">
        <v>41</v>
      </c>
      <c r="AC48" s="543">
        <f t="shared" si="369"/>
        <v>17</v>
      </c>
      <c r="AD48" s="543">
        <v>29</v>
      </c>
      <c r="AE48" s="543">
        <v>0</v>
      </c>
      <c r="AF48" s="543">
        <v>53</v>
      </c>
      <c r="AG48" s="543">
        <f t="shared" si="370"/>
        <v>32</v>
      </c>
      <c r="AH48" s="543">
        <v>-7</v>
      </c>
      <c r="AI48" s="543">
        <v>32</v>
      </c>
      <c r="AJ48" s="543">
        <v>31</v>
      </c>
      <c r="AK48" s="543">
        <f t="shared" si="371"/>
        <v>-37</v>
      </c>
      <c r="AL48" s="543">
        <v>68</v>
      </c>
      <c r="AM48" s="543">
        <v>24</v>
      </c>
      <c r="AN48" s="543">
        <v>54</v>
      </c>
      <c r="AO48" s="543"/>
      <c r="AP48" s="543">
        <v>35</v>
      </c>
      <c r="AQ48" s="543">
        <v>38</v>
      </c>
      <c r="AR48" s="543">
        <v>0</v>
      </c>
    </row>
    <row r="49" spans="2:44" s="536" customFormat="1" x14ac:dyDescent="0.25">
      <c r="B49" s="536" t="s">
        <v>730</v>
      </c>
      <c r="C49" s="543">
        <v>0</v>
      </c>
      <c r="D49" s="543">
        <v>0</v>
      </c>
      <c r="E49" s="543">
        <v>0</v>
      </c>
      <c r="F49" s="543">
        <v>0</v>
      </c>
      <c r="G49" s="543">
        <v>0</v>
      </c>
      <c r="H49" s="543">
        <v>0</v>
      </c>
      <c r="I49" s="543">
        <v>-3</v>
      </c>
      <c r="J49" s="543">
        <v>0</v>
      </c>
      <c r="K49" s="543">
        <v>-18</v>
      </c>
      <c r="L49" s="543">
        <v>0</v>
      </c>
      <c r="M49" s="543">
        <v>0</v>
      </c>
      <c r="O49" s="543">
        <v>0</v>
      </c>
      <c r="P49" s="543">
        <v>0</v>
      </c>
      <c r="Q49" s="543">
        <f t="shared" si="367"/>
        <v>0</v>
      </c>
      <c r="R49" s="543">
        <v>0</v>
      </c>
      <c r="S49" s="543">
        <v>0</v>
      </c>
      <c r="T49" s="543">
        <v>0</v>
      </c>
      <c r="U49" s="543">
        <f t="shared" si="368"/>
        <v>0</v>
      </c>
      <c r="V49" s="543">
        <v>0</v>
      </c>
      <c r="W49" s="543">
        <v>0</v>
      </c>
      <c r="X49" s="543">
        <v>0</v>
      </c>
      <c r="Y49" s="543">
        <f t="shared" si="372"/>
        <v>0</v>
      </c>
      <c r="Z49" s="543">
        <v>0</v>
      </c>
      <c r="AA49" s="543">
        <v>0</v>
      </c>
      <c r="AB49" s="543">
        <v>0</v>
      </c>
      <c r="AC49" s="543">
        <f t="shared" si="369"/>
        <v>0</v>
      </c>
      <c r="AD49" s="543">
        <v>0</v>
      </c>
      <c r="AE49" s="543">
        <v>0</v>
      </c>
      <c r="AF49" s="543">
        <v>0</v>
      </c>
      <c r="AG49" s="543">
        <f t="shared" si="370"/>
        <v>4</v>
      </c>
      <c r="AH49" s="543">
        <v>-2</v>
      </c>
      <c r="AI49" s="543">
        <v>-1</v>
      </c>
      <c r="AJ49" s="543">
        <v>-1</v>
      </c>
      <c r="AK49" s="543">
        <f t="shared" si="371"/>
        <v>1</v>
      </c>
      <c r="AL49" s="543">
        <v>0</v>
      </c>
      <c r="AM49" s="543">
        <v>-1</v>
      </c>
      <c r="AN49" s="543">
        <v>0</v>
      </c>
      <c r="AO49" s="543"/>
      <c r="AP49" s="543">
        <v>1</v>
      </c>
      <c r="AQ49" s="543">
        <v>0</v>
      </c>
      <c r="AR49" s="543">
        <v>-1</v>
      </c>
    </row>
    <row r="50" spans="2:44" s="536" customFormat="1" x14ac:dyDescent="0.25">
      <c r="B50" s="536" t="s">
        <v>731</v>
      </c>
      <c r="C50" s="543">
        <v>0</v>
      </c>
      <c r="D50" s="543">
        <v>0</v>
      </c>
      <c r="E50" s="543">
        <v>0</v>
      </c>
      <c r="F50" s="543">
        <v>0</v>
      </c>
      <c r="G50" s="543">
        <v>0</v>
      </c>
      <c r="H50" s="543">
        <v>0</v>
      </c>
      <c r="I50" s="543">
        <v>-841</v>
      </c>
      <c r="J50" s="543">
        <v>0</v>
      </c>
      <c r="K50" s="543">
        <v>1</v>
      </c>
      <c r="L50" s="543">
        <v>0</v>
      </c>
      <c r="M50" s="543">
        <v>0</v>
      </c>
      <c r="O50" s="543">
        <v>0</v>
      </c>
      <c r="P50" s="543">
        <v>0</v>
      </c>
      <c r="Q50" s="543">
        <f t="shared" si="367"/>
        <v>0</v>
      </c>
      <c r="R50" s="543">
        <v>0</v>
      </c>
      <c r="S50" s="543">
        <v>0</v>
      </c>
      <c r="T50" s="543">
        <v>0</v>
      </c>
      <c r="U50" s="543">
        <f t="shared" si="368"/>
        <v>0</v>
      </c>
      <c r="V50" s="543">
        <v>0</v>
      </c>
      <c r="W50" s="543">
        <v>0</v>
      </c>
      <c r="X50" s="543">
        <v>0</v>
      </c>
      <c r="Y50" s="543">
        <f t="shared" si="372"/>
        <v>0</v>
      </c>
      <c r="Z50" s="543">
        <v>0</v>
      </c>
      <c r="AA50" s="543">
        <v>0</v>
      </c>
      <c r="AB50" s="543">
        <v>0</v>
      </c>
      <c r="AC50" s="543">
        <f t="shared" si="369"/>
        <v>0</v>
      </c>
      <c r="AD50" s="543">
        <v>0</v>
      </c>
      <c r="AE50" s="543">
        <v>0</v>
      </c>
      <c r="AF50" s="543">
        <v>0</v>
      </c>
      <c r="AG50" s="543">
        <f t="shared" si="370"/>
        <v>-4</v>
      </c>
      <c r="AH50" s="543">
        <v>0</v>
      </c>
      <c r="AI50" s="543">
        <v>2</v>
      </c>
      <c r="AJ50" s="543">
        <v>2</v>
      </c>
      <c r="AK50" s="543">
        <f t="shared" si="371"/>
        <v>0</v>
      </c>
      <c r="AL50" s="543">
        <v>0</v>
      </c>
      <c r="AM50" s="543">
        <v>0</v>
      </c>
      <c r="AN50" s="543">
        <v>0</v>
      </c>
      <c r="AO50" s="543"/>
      <c r="AP50" s="543">
        <v>0</v>
      </c>
      <c r="AQ50" s="543">
        <v>0</v>
      </c>
      <c r="AR50" s="543">
        <v>-841</v>
      </c>
    </row>
    <row r="51" spans="2:44" s="536" customFormat="1" x14ac:dyDescent="0.25">
      <c r="B51" s="536" t="s">
        <v>732</v>
      </c>
      <c r="C51" s="543">
        <v>0</v>
      </c>
      <c r="D51" s="543">
        <v>0</v>
      </c>
      <c r="E51" s="543">
        <v>0</v>
      </c>
      <c r="F51" s="543">
        <v>0</v>
      </c>
      <c r="G51" s="543">
        <v>0</v>
      </c>
      <c r="H51" s="543">
        <v>0</v>
      </c>
      <c r="I51" s="543">
        <v>0</v>
      </c>
      <c r="J51" s="543">
        <v>-54</v>
      </c>
      <c r="K51" s="543">
        <v>432</v>
      </c>
      <c r="L51" s="543">
        <v>0</v>
      </c>
      <c r="M51" s="543">
        <v>0</v>
      </c>
      <c r="O51" s="543">
        <v>0</v>
      </c>
      <c r="P51" s="543">
        <v>0</v>
      </c>
      <c r="Q51" s="543">
        <f t="shared" si="367"/>
        <v>0</v>
      </c>
      <c r="R51" s="543">
        <v>0</v>
      </c>
      <c r="S51" s="543">
        <v>0</v>
      </c>
      <c r="T51" s="543">
        <v>0</v>
      </c>
      <c r="U51" s="543">
        <f t="shared" si="368"/>
        <v>0</v>
      </c>
      <c r="V51" s="543">
        <v>0</v>
      </c>
      <c r="W51" s="543">
        <v>0</v>
      </c>
      <c r="X51" s="543">
        <v>0</v>
      </c>
      <c r="Y51" s="543">
        <f t="shared" si="372"/>
        <v>0</v>
      </c>
      <c r="Z51" s="543">
        <v>0</v>
      </c>
      <c r="AA51" s="543">
        <v>0</v>
      </c>
      <c r="AB51" s="543">
        <v>0</v>
      </c>
      <c r="AC51" s="543">
        <f t="shared" si="369"/>
        <v>0</v>
      </c>
      <c r="AD51" s="543">
        <v>0</v>
      </c>
      <c r="AE51" s="543">
        <v>0</v>
      </c>
      <c r="AF51" s="543">
        <v>0</v>
      </c>
      <c r="AG51" s="543">
        <f t="shared" si="370"/>
        <v>-1</v>
      </c>
      <c r="AH51" s="543">
        <v>0</v>
      </c>
      <c r="AI51" s="543">
        <v>1</v>
      </c>
      <c r="AJ51" s="543">
        <v>0</v>
      </c>
      <c r="AK51" s="543">
        <f t="shared" si="371"/>
        <v>12</v>
      </c>
      <c r="AL51" s="543">
        <v>0</v>
      </c>
      <c r="AM51" s="543">
        <v>0</v>
      </c>
      <c r="AN51" s="543">
        <v>-12</v>
      </c>
      <c r="AO51" s="543"/>
      <c r="AP51" s="543">
        <v>0</v>
      </c>
      <c r="AQ51" s="543">
        <v>0</v>
      </c>
      <c r="AR51" s="543">
        <v>0</v>
      </c>
    </row>
    <row r="52" spans="2:44" s="536" customFormat="1" x14ac:dyDescent="0.25">
      <c r="B52" s="536" t="s">
        <v>733</v>
      </c>
      <c r="C52" s="543">
        <v>0</v>
      </c>
      <c r="D52" s="543">
        <v>0</v>
      </c>
      <c r="E52" s="543">
        <v>0</v>
      </c>
      <c r="F52" s="543">
        <v>0</v>
      </c>
      <c r="G52" s="543">
        <v>0</v>
      </c>
      <c r="H52" s="543">
        <v>0</v>
      </c>
      <c r="I52" s="543">
        <v>19</v>
      </c>
      <c r="J52" s="543">
        <v>16</v>
      </c>
      <c r="K52" s="543">
        <v>15</v>
      </c>
      <c r="L52" s="543">
        <v>0</v>
      </c>
      <c r="M52" s="543">
        <v>0</v>
      </c>
      <c r="O52" s="543">
        <v>0</v>
      </c>
      <c r="P52" s="543">
        <v>0</v>
      </c>
      <c r="Q52" s="543">
        <f t="shared" si="367"/>
        <v>0</v>
      </c>
      <c r="R52" s="543">
        <v>0</v>
      </c>
      <c r="S52" s="543">
        <v>0</v>
      </c>
      <c r="T52" s="543">
        <v>0</v>
      </c>
      <c r="U52" s="543">
        <f t="shared" si="368"/>
        <v>0</v>
      </c>
      <c r="V52" s="543">
        <v>0</v>
      </c>
      <c r="W52" s="543">
        <v>0</v>
      </c>
      <c r="X52" s="543">
        <v>0</v>
      </c>
      <c r="Y52" s="543">
        <f t="shared" si="372"/>
        <v>0</v>
      </c>
      <c r="Z52" s="543">
        <v>0</v>
      </c>
      <c r="AA52" s="543">
        <v>0</v>
      </c>
      <c r="AB52" s="543">
        <v>0</v>
      </c>
      <c r="AC52" s="543">
        <f t="shared" si="369"/>
        <v>0</v>
      </c>
      <c r="AD52" s="543">
        <v>0</v>
      </c>
      <c r="AE52" s="543">
        <v>0</v>
      </c>
      <c r="AF52" s="543">
        <v>0</v>
      </c>
      <c r="AG52" s="543">
        <f t="shared" si="370"/>
        <v>-7</v>
      </c>
      <c r="AH52" s="543">
        <v>2</v>
      </c>
      <c r="AI52" s="543">
        <v>2</v>
      </c>
      <c r="AJ52" s="543">
        <v>3</v>
      </c>
      <c r="AK52" s="543">
        <f t="shared" si="371"/>
        <v>-9</v>
      </c>
      <c r="AL52" s="543">
        <v>3</v>
      </c>
      <c r="AM52" s="543">
        <v>4</v>
      </c>
      <c r="AN52" s="543">
        <v>2</v>
      </c>
      <c r="AO52" s="543"/>
      <c r="AP52" s="543">
        <v>4</v>
      </c>
      <c r="AQ52" s="543">
        <v>5</v>
      </c>
      <c r="AR52" s="543">
        <v>8</v>
      </c>
    </row>
    <row r="53" spans="2:44" s="536" customFormat="1" x14ac:dyDescent="0.25">
      <c r="B53" s="536" t="s">
        <v>734</v>
      </c>
      <c r="C53" s="543">
        <v>172</v>
      </c>
      <c r="D53" s="543">
        <v>287</v>
      </c>
      <c r="E53" s="543">
        <v>1185</v>
      </c>
      <c r="F53" s="543">
        <v>260</v>
      </c>
      <c r="G53" s="543">
        <v>25</v>
      </c>
      <c r="H53" s="543">
        <v>147</v>
      </c>
      <c r="I53" s="543">
        <v>76</v>
      </c>
      <c r="J53" s="543">
        <v>-46</v>
      </c>
      <c r="K53" s="543">
        <v>-2</v>
      </c>
      <c r="L53" s="543">
        <v>162</v>
      </c>
      <c r="M53" s="543">
        <v>166</v>
      </c>
      <c r="O53" s="543">
        <v>60</v>
      </c>
      <c r="P53" s="543">
        <v>42</v>
      </c>
      <c r="Q53" s="543">
        <f t="shared" si="367"/>
        <v>33</v>
      </c>
      <c r="R53" s="543">
        <v>49</v>
      </c>
      <c r="S53" s="543">
        <v>48</v>
      </c>
      <c r="T53" s="543">
        <v>42</v>
      </c>
      <c r="U53" s="543">
        <f t="shared" si="368"/>
        <v>33</v>
      </c>
      <c r="V53" s="543">
        <v>43</v>
      </c>
      <c r="W53" s="543">
        <v>84</v>
      </c>
      <c r="X53" s="543">
        <v>127</v>
      </c>
      <c r="Y53" s="543">
        <f t="shared" si="372"/>
        <v>158</v>
      </c>
      <c r="Z53" s="543">
        <v>276</v>
      </c>
      <c r="AA53" s="543">
        <v>540</v>
      </c>
      <c r="AB53" s="543">
        <v>211</v>
      </c>
      <c r="AC53" s="543">
        <f t="shared" si="369"/>
        <v>128</v>
      </c>
      <c r="AD53" s="543">
        <v>45</v>
      </c>
      <c r="AE53" s="543">
        <v>64</v>
      </c>
      <c r="AF53" s="543">
        <v>23</v>
      </c>
      <c r="AG53" s="543">
        <f t="shared" si="370"/>
        <v>67</v>
      </c>
      <c r="AH53" s="543">
        <v>0</v>
      </c>
      <c r="AI53" s="543">
        <v>-48</v>
      </c>
      <c r="AJ53" s="543">
        <v>6</v>
      </c>
      <c r="AK53" s="543">
        <f t="shared" si="371"/>
        <v>57</v>
      </c>
      <c r="AL53" s="543">
        <v>14</v>
      </c>
      <c r="AM53" s="543">
        <v>35</v>
      </c>
      <c r="AN53" s="543">
        <v>41</v>
      </c>
      <c r="AO53" s="543"/>
      <c r="AP53" s="543">
        <v>37</v>
      </c>
      <c r="AQ53" s="543">
        <v>-1</v>
      </c>
      <c r="AR53" s="543">
        <v>28</v>
      </c>
    </row>
    <row r="54" spans="2:44" s="536" customFormat="1" x14ac:dyDescent="0.25">
      <c r="B54" s="689" t="s">
        <v>817</v>
      </c>
      <c r="C54" s="543">
        <v>-50</v>
      </c>
      <c r="D54" s="543">
        <v>-32</v>
      </c>
      <c r="E54" s="543">
        <v>-83</v>
      </c>
      <c r="F54" s="543">
        <v>-4</v>
      </c>
      <c r="G54" s="543">
        <v>113</v>
      </c>
      <c r="H54" s="543">
        <v>-21</v>
      </c>
      <c r="I54" s="543">
        <v>0</v>
      </c>
      <c r="J54" s="543">
        <v>0</v>
      </c>
      <c r="K54" s="543">
        <v>0</v>
      </c>
      <c r="L54" s="543">
        <v>0</v>
      </c>
      <c r="M54" s="543"/>
      <c r="O54" s="543">
        <v>7</v>
      </c>
      <c r="P54" s="543">
        <v>-5</v>
      </c>
      <c r="Q54" s="543">
        <f t="shared" si="367"/>
        <v>3</v>
      </c>
      <c r="R54" s="543">
        <v>0</v>
      </c>
      <c r="S54" s="543">
        <v>-11</v>
      </c>
      <c r="T54" s="543">
        <v>-42</v>
      </c>
      <c r="U54" s="543">
        <f t="shared" si="368"/>
        <v>9</v>
      </c>
      <c r="V54" s="543">
        <v>-13</v>
      </c>
      <c r="W54" s="543">
        <v>-13</v>
      </c>
      <c r="X54" s="543">
        <v>-15</v>
      </c>
      <c r="Y54" s="543">
        <f t="shared" si="372"/>
        <v>-8</v>
      </c>
      <c r="Z54" s="543">
        <v>-16</v>
      </c>
      <c r="AA54" s="543">
        <v>-41</v>
      </c>
      <c r="AB54" s="543">
        <v>-18</v>
      </c>
      <c r="AC54" s="543">
        <f t="shared" si="369"/>
        <v>9</v>
      </c>
      <c r="AD54" s="543">
        <v>-4</v>
      </c>
      <c r="AE54" s="543">
        <v>12</v>
      </c>
      <c r="AF54" s="543">
        <v>-21</v>
      </c>
      <c r="AG54" s="543">
        <f t="shared" si="370"/>
        <v>113</v>
      </c>
      <c r="AH54" s="543"/>
      <c r="AI54" s="543"/>
      <c r="AJ54" s="543"/>
      <c r="AK54" s="543"/>
      <c r="AL54" s="543"/>
      <c r="AM54" s="543"/>
      <c r="AN54" s="543"/>
      <c r="AO54" s="543"/>
      <c r="AP54" s="543"/>
      <c r="AQ54" s="543"/>
      <c r="AR54" s="543"/>
    </row>
    <row r="55" spans="2:44" s="536" customFormat="1" x14ac:dyDescent="0.25">
      <c r="B55" s="689" t="s">
        <v>83</v>
      </c>
      <c r="C55" s="543">
        <v>13</v>
      </c>
      <c r="D55" s="543">
        <v>29</v>
      </c>
      <c r="E55" s="543">
        <v>-15</v>
      </c>
      <c r="F55" s="543">
        <v>-21</v>
      </c>
      <c r="G55" s="543">
        <v>5</v>
      </c>
      <c r="H55" s="543">
        <v>-1</v>
      </c>
      <c r="I55" s="543">
        <v>0</v>
      </c>
      <c r="J55" s="543"/>
      <c r="K55" s="543"/>
      <c r="L55" s="543"/>
      <c r="M55" s="543"/>
      <c r="O55" s="543">
        <v>8</v>
      </c>
      <c r="P55" s="543">
        <v>3</v>
      </c>
      <c r="Q55" s="543">
        <f t="shared" si="367"/>
        <v>7</v>
      </c>
      <c r="R55" s="543">
        <v>2</v>
      </c>
      <c r="S55" s="543">
        <v>2</v>
      </c>
      <c r="T55" s="543">
        <v>2</v>
      </c>
      <c r="U55" s="543">
        <f t="shared" si="368"/>
        <v>22</v>
      </c>
      <c r="V55" s="543">
        <v>1</v>
      </c>
      <c r="W55" s="543">
        <v>2</v>
      </c>
      <c r="X55" s="543">
        <v>4</v>
      </c>
      <c r="Y55" s="543">
        <f t="shared" si="372"/>
        <v>4</v>
      </c>
      <c r="Z55" s="543">
        <v>-5</v>
      </c>
      <c r="AA55" s="543">
        <v>6</v>
      </c>
      <c r="AB55" s="543">
        <v>-20</v>
      </c>
      <c r="AC55" s="543">
        <f t="shared" si="369"/>
        <v>-19</v>
      </c>
      <c r="AD55" s="543">
        <v>-12</v>
      </c>
      <c r="AE55" s="543">
        <v>8</v>
      </c>
      <c r="AF55" s="543">
        <v>2</v>
      </c>
      <c r="AG55" s="543">
        <f t="shared" si="370"/>
        <v>5</v>
      </c>
      <c r="AH55" s="543"/>
      <c r="AI55" s="543"/>
      <c r="AJ55" s="543"/>
      <c r="AK55" s="543"/>
      <c r="AL55" s="543"/>
      <c r="AM55" s="543"/>
      <c r="AN55" s="543"/>
      <c r="AO55" s="543"/>
      <c r="AP55" s="543"/>
      <c r="AQ55" s="543"/>
      <c r="AR55" s="543"/>
    </row>
    <row r="56" spans="2:44" s="536" customFormat="1" x14ac:dyDescent="0.25">
      <c r="B56" s="689" t="s">
        <v>820</v>
      </c>
      <c r="C56" s="543">
        <f>-122+17</f>
        <v>-105</v>
      </c>
      <c r="D56" s="543">
        <v>-115</v>
      </c>
      <c r="E56" s="543">
        <v>-106</v>
      </c>
      <c r="F56" s="543">
        <v>-89</v>
      </c>
      <c r="G56" s="543">
        <v>-107</v>
      </c>
      <c r="H56" s="543">
        <v>-114</v>
      </c>
      <c r="I56" s="543">
        <v>0</v>
      </c>
      <c r="J56" s="543">
        <v>0</v>
      </c>
      <c r="K56" s="543">
        <v>0</v>
      </c>
      <c r="L56" s="543">
        <v>-86</v>
      </c>
      <c r="M56" s="543">
        <v>-47</v>
      </c>
      <c r="O56" s="543">
        <f>-42+4</f>
        <v>-38</v>
      </c>
      <c r="P56" s="543">
        <f>-16+3</f>
        <v>-13</v>
      </c>
      <c r="Q56" s="543">
        <f t="shared" si="367"/>
        <v>-40</v>
      </c>
      <c r="R56" s="543">
        <f>-16+4</f>
        <v>-12</v>
      </c>
      <c r="S56" s="543">
        <f>-43+3</f>
        <v>-40</v>
      </c>
      <c r="T56" s="543">
        <v>-13</v>
      </c>
      <c r="U56" s="543">
        <f t="shared" si="368"/>
        <v>-37</v>
      </c>
      <c r="V56" s="543">
        <v>-19</v>
      </c>
      <c r="W56" s="543">
        <v>-42</v>
      </c>
      <c r="X56" s="543">
        <v>-17</v>
      </c>
      <c r="Y56" s="543">
        <f t="shared" si="372"/>
        <v>-38</v>
      </c>
      <c r="Z56" s="543">
        <v>-13</v>
      </c>
      <c r="AA56" s="543">
        <v>-39</v>
      </c>
      <c r="AB56" s="543">
        <v>-16</v>
      </c>
      <c r="AC56" s="543">
        <f t="shared" si="369"/>
        <v>-16</v>
      </c>
      <c r="AD56" s="543">
        <v>-18</v>
      </c>
      <c r="AE56" s="543">
        <v>-37</v>
      </c>
      <c r="AF56" s="543">
        <v>-18</v>
      </c>
      <c r="AG56" s="543">
        <f t="shared" si="370"/>
        <v>-107</v>
      </c>
      <c r="AH56" s="543"/>
      <c r="AI56" s="543"/>
      <c r="AJ56" s="543"/>
      <c r="AK56" s="543"/>
      <c r="AL56" s="543"/>
      <c r="AM56" s="543"/>
      <c r="AN56" s="543"/>
      <c r="AO56" s="543"/>
      <c r="AP56" s="543"/>
      <c r="AQ56" s="543"/>
      <c r="AR56" s="543"/>
    </row>
    <row r="57" spans="2:44" s="536" customFormat="1" x14ac:dyDescent="0.25">
      <c r="B57" s="689" t="s">
        <v>818</v>
      </c>
      <c r="C57" s="543">
        <v>-98</v>
      </c>
      <c r="D57" s="543">
        <v>-253</v>
      </c>
      <c r="E57" s="543">
        <v>-1107</v>
      </c>
      <c r="F57" s="543">
        <v>-193</v>
      </c>
      <c r="G57" s="543">
        <v>-31</v>
      </c>
      <c r="H57" s="543">
        <v>-120</v>
      </c>
      <c r="I57" s="543">
        <v>0</v>
      </c>
      <c r="J57" s="543">
        <v>0</v>
      </c>
      <c r="K57" s="543">
        <v>0</v>
      </c>
      <c r="L57" s="543">
        <v>-20</v>
      </c>
      <c r="M57" s="543">
        <v>-159</v>
      </c>
      <c r="O57" s="543">
        <v>-37</v>
      </c>
      <c r="P57" s="543">
        <v>-36</v>
      </c>
      <c r="Q57" s="543">
        <f t="shared" si="367"/>
        <v>-41</v>
      </c>
      <c r="R57" s="543">
        <v>-22</v>
      </c>
      <c r="S57" s="543">
        <v>-29</v>
      </c>
      <c r="T57" s="543">
        <v>-6</v>
      </c>
      <c r="U57" s="543">
        <f t="shared" si="368"/>
        <v>-7</v>
      </c>
      <c r="V57" s="543">
        <v>-32</v>
      </c>
      <c r="W57" s="543">
        <v>-105</v>
      </c>
      <c r="X57" s="543">
        <v>-109</v>
      </c>
      <c r="Y57" s="543">
        <f t="shared" si="372"/>
        <v>-160</v>
      </c>
      <c r="Z57" s="543">
        <v>-420</v>
      </c>
      <c r="AA57" s="543">
        <v>-395</v>
      </c>
      <c r="AB57" s="543">
        <v>-132</v>
      </c>
      <c r="AC57" s="543">
        <f t="shared" si="369"/>
        <v>-105</v>
      </c>
      <c r="AD57" s="543">
        <v>-67</v>
      </c>
      <c r="AE57" s="543">
        <v>-28</v>
      </c>
      <c r="AF57" s="543">
        <v>7</v>
      </c>
      <c r="AG57" s="543">
        <f t="shared" si="370"/>
        <v>-31</v>
      </c>
      <c r="AH57" s="543"/>
      <c r="AI57" s="543"/>
      <c r="AJ57" s="543"/>
      <c r="AK57" s="543"/>
      <c r="AL57" s="543"/>
      <c r="AM57" s="543"/>
      <c r="AN57" s="543"/>
      <c r="AO57" s="543"/>
      <c r="AP57" s="543"/>
      <c r="AQ57" s="543"/>
      <c r="AR57" s="543"/>
    </row>
    <row r="58" spans="2:44" s="546" customFormat="1" x14ac:dyDescent="0.25">
      <c r="B58" s="547" t="s">
        <v>659</v>
      </c>
      <c r="C58" s="548">
        <f t="shared" ref="C58" si="373">SUM(C46:C57)</f>
        <v>694</v>
      </c>
      <c r="D58" s="548">
        <f t="shared" ref="D58:E58" si="374">SUM(D46:D57)</f>
        <v>476</v>
      </c>
      <c r="E58" s="548">
        <f t="shared" si="374"/>
        <v>529</v>
      </c>
      <c r="F58" s="548">
        <f t="shared" ref="F58:K58" si="375">SUM(F46:F57)</f>
        <v>536</v>
      </c>
      <c r="G58" s="548">
        <f t="shared" si="375"/>
        <v>672</v>
      </c>
      <c r="H58" s="548">
        <f t="shared" si="375"/>
        <v>433</v>
      </c>
      <c r="I58" s="548">
        <f t="shared" si="375"/>
        <v>-294</v>
      </c>
      <c r="J58" s="548">
        <f t="shared" si="375"/>
        <v>471</v>
      </c>
      <c r="K58" s="548">
        <f t="shared" si="375"/>
        <v>910</v>
      </c>
      <c r="L58" s="548">
        <f t="shared" ref="L58:M58" si="376">SUM(L46:L57)</f>
        <v>324</v>
      </c>
      <c r="M58" s="548">
        <f t="shared" si="376"/>
        <v>364</v>
      </c>
      <c r="O58" s="548">
        <f t="shared" ref="O58" si="377">SUM(O46:O57)</f>
        <v>66</v>
      </c>
      <c r="P58" s="548">
        <f t="shared" ref="P58" si="378">SUM(P46:P57)</f>
        <v>186</v>
      </c>
      <c r="Q58" s="548">
        <f t="shared" ref="Q58:S58" si="379">SUM(Q46:Q57)</f>
        <v>173</v>
      </c>
      <c r="R58" s="548">
        <f t="shared" si="379"/>
        <v>173</v>
      </c>
      <c r="S58" s="548">
        <f t="shared" si="379"/>
        <v>159</v>
      </c>
      <c r="T58" s="548">
        <f t="shared" ref="T58" si="380">SUM(T46:T57)</f>
        <v>189</v>
      </c>
      <c r="U58" s="548">
        <f t="shared" si="368"/>
        <v>115</v>
      </c>
      <c r="V58" s="548">
        <f t="shared" ref="V58" si="381">SUM(V46:V57)</f>
        <v>126</v>
      </c>
      <c r="W58" s="548">
        <f t="shared" ref="W58:X58" si="382">SUM(W46:W57)</f>
        <v>97</v>
      </c>
      <c r="X58" s="548">
        <f t="shared" si="382"/>
        <v>138</v>
      </c>
      <c r="Y58" s="548">
        <f t="shared" ref="Y58:AA58" si="383">SUM(Y46:Y57)</f>
        <v>88</v>
      </c>
      <c r="Z58" s="548">
        <f t="shared" si="383"/>
        <v>-12</v>
      </c>
      <c r="AA58" s="548">
        <f t="shared" si="383"/>
        <v>265</v>
      </c>
      <c r="AB58" s="548">
        <f t="shared" ref="AB58:AG58" si="384">SUM(AB46:AB57)</f>
        <v>188</v>
      </c>
      <c r="AC58" s="548">
        <f t="shared" si="384"/>
        <v>143</v>
      </c>
      <c r="AD58" s="548">
        <f t="shared" si="384"/>
        <v>96</v>
      </c>
      <c r="AE58" s="548">
        <f t="shared" si="384"/>
        <v>134</v>
      </c>
      <c r="AF58" s="548">
        <f t="shared" si="384"/>
        <v>163</v>
      </c>
      <c r="AG58" s="548">
        <f t="shared" si="384"/>
        <v>200</v>
      </c>
      <c r="AH58" s="548">
        <f t="shared" ref="AH58" si="385">SUM(AH46:AH53)</f>
        <v>75</v>
      </c>
      <c r="AI58" s="548">
        <f t="shared" ref="AI58:AR58" si="386">SUM(AI46:AI53)</f>
        <v>238</v>
      </c>
      <c r="AJ58" s="548">
        <f t="shared" si="386"/>
        <v>159</v>
      </c>
      <c r="AK58" s="548">
        <f t="shared" si="386"/>
        <v>137</v>
      </c>
      <c r="AL58" s="548">
        <f t="shared" si="386"/>
        <v>195</v>
      </c>
      <c r="AM58" s="548">
        <f t="shared" si="386"/>
        <v>161</v>
      </c>
      <c r="AN58" s="548">
        <f t="shared" si="386"/>
        <v>196</v>
      </c>
      <c r="AO58" s="548">
        <f t="shared" si="386"/>
        <v>0</v>
      </c>
      <c r="AP58" s="548">
        <f t="shared" si="386"/>
        <v>174</v>
      </c>
      <c r="AQ58" s="548">
        <f t="shared" si="386"/>
        <v>161</v>
      </c>
      <c r="AR58" s="548">
        <f t="shared" si="386"/>
        <v>-709</v>
      </c>
    </row>
    <row r="59" spans="2:44" s="547" customFormat="1" x14ac:dyDescent="0.25">
      <c r="C59" s="548"/>
      <c r="D59" s="548"/>
      <c r="E59" s="548"/>
      <c r="F59" s="548"/>
      <c r="G59" s="548"/>
      <c r="H59" s="548"/>
      <c r="I59" s="548"/>
      <c r="J59" s="548"/>
      <c r="K59" s="548"/>
      <c r="L59" s="548"/>
      <c r="M59" s="548"/>
      <c r="N59" s="536"/>
      <c r="O59" s="548"/>
      <c r="P59" s="548"/>
      <c r="Q59" s="548"/>
      <c r="R59" s="548"/>
      <c r="S59" s="548"/>
      <c r="T59" s="548"/>
      <c r="U59" s="548"/>
      <c r="V59" s="548"/>
      <c r="W59" s="548"/>
      <c r="X59" s="548"/>
      <c r="Y59" s="548"/>
      <c r="Z59" s="548"/>
      <c r="AA59" s="548"/>
      <c r="AB59" s="548"/>
      <c r="AC59" s="548"/>
      <c r="AD59" s="548"/>
      <c r="AE59" s="548"/>
      <c r="AF59" s="548"/>
      <c r="AG59" s="548"/>
      <c r="AH59" s="548"/>
      <c r="AI59" s="548"/>
      <c r="AJ59" s="548"/>
      <c r="AK59" s="548"/>
      <c r="AL59" s="548"/>
      <c r="AM59" s="548"/>
      <c r="AN59" s="548"/>
      <c r="AO59" s="548"/>
      <c r="AP59" s="548"/>
      <c r="AQ59" s="548"/>
      <c r="AR59" s="548"/>
    </row>
    <row r="60" spans="2:44" s="547" customFormat="1" x14ac:dyDescent="0.25">
      <c r="B60" s="693" t="s">
        <v>830</v>
      </c>
      <c r="C60" s="548">
        <f>C45+C58</f>
        <v>1158</v>
      </c>
      <c r="D60" s="548">
        <f>D45+D58</f>
        <v>1163</v>
      </c>
      <c r="E60" s="548">
        <f>E45+E58</f>
        <v>2748</v>
      </c>
      <c r="F60" s="548">
        <f>F45+F58</f>
        <v>1368</v>
      </c>
      <c r="G60" s="548">
        <f t="shared" ref="G60:M60" si="387">G45+G58</f>
        <v>696</v>
      </c>
      <c r="H60" s="548">
        <f t="shared" si="387"/>
        <v>914</v>
      </c>
      <c r="I60" s="548">
        <f t="shared" si="387"/>
        <v>941</v>
      </c>
      <c r="J60" s="548">
        <f t="shared" si="387"/>
        <v>818</v>
      </c>
      <c r="K60" s="548">
        <f t="shared" si="387"/>
        <v>738</v>
      </c>
      <c r="L60" s="548">
        <f t="shared" si="387"/>
        <v>830</v>
      </c>
      <c r="M60" s="548">
        <f t="shared" si="387"/>
        <v>830</v>
      </c>
      <c r="N60" s="536"/>
      <c r="O60" s="548">
        <f t="shared" ref="O60" si="388">O45+O58</f>
        <v>174</v>
      </c>
      <c r="P60" s="548">
        <f t="shared" ref="P60" si="389">P45+P58</f>
        <v>292</v>
      </c>
      <c r="Q60" s="548">
        <f t="shared" ref="Q60" si="390">Q45+Q58</f>
        <v>254</v>
      </c>
      <c r="R60" s="548">
        <f t="shared" ref="R60:S60" si="391">R45+R58</f>
        <v>300</v>
      </c>
      <c r="S60" s="548">
        <f t="shared" si="391"/>
        <v>289</v>
      </c>
      <c r="T60" s="548">
        <f t="shared" ref="T60:U60" si="392">T45+T58</f>
        <v>315</v>
      </c>
      <c r="U60" s="548">
        <f t="shared" si="392"/>
        <v>199</v>
      </c>
      <c r="V60" s="548">
        <f t="shared" ref="V60" si="393">V45+V58</f>
        <v>268</v>
      </c>
      <c r="W60" s="548">
        <f t="shared" ref="W60:X60" si="394">W45+W58</f>
        <v>264</v>
      </c>
      <c r="X60" s="548">
        <f t="shared" si="394"/>
        <v>432</v>
      </c>
      <c r="Y60" s="548">
        <f t="shared" ref="Y60:AA60" si="395">Y45+Y58</f>
        <v>430</v>
      </c>
      <c r="Z60" s="548">
        <f t="shared" si="395"/>
        <v>623</v>
      </c>
      <c r="AA60" s="548">
        <f t="shared" si="395"/>
        <v>850</v>
      </c>
      <c r="AB60" s="548">
        <f t="shared" ref="AB60:AR60" si="396">AB45+AB58</f>
        <v>845</v>
      </c>
      <c r="AC60" s="548">
        <f t="shared" si="396"/>
        <v>441</v>
      </c>
      <c r="AD60" s="548">
        <f t="shared" si="396"/>
        <v>338</v>
      </c>
      <c r="AE60" s="548">
        <f t="shared" si="396"/>
        <v>284</v>
      </c>
      <c r="AF60" s="548">
        <f t="shared" si="396"/>
        <v>305</v>
      </c>
      <c r="AG60" s="548">
        <f t="shared" si="396"/>
        <v>270</v>
      </c>
      <c r="AH60" s="548">
        <f t="shared" si="396"/>
        <v>134</v>
      </c>
      <c r="AI60" s="548">
        <f t="shared" si="396"/>
        <v>72</v>
      </c>
      <c r="AJ60" s="548">
        <f t="shared" si="396"/>
        <v>220</v>
      </c>
      <c r="AK60" s="548">
        <f t="shared" si="396"/>
        <v>185</v>
      </c>
      <c r="AL60" s="548">
        <f t="shared" si="396"/>
        <v>329</v>
      </c>
      <c r="AM60" s="548">
        <f t="shared" si="396"/>
        <v>319</v>
      </c>
      <c r="AN60" s="548">
        <f t="shared" si="396"/>
        <v>337</v>
      </c>
      <c r="AO60" s="548">
        <f t="shared" si="396"/>
        <v>81</v>
      </c>
      <c r="AP60" s="548">
        <f t="shared" si="396"/>
        <v>301</v>
      </c>
      <c r="AQ60" s="548">
        <f t="shared" si="396"/>
        <v>259</v>
      </c>
      <c r="AR60" s="548">
        <f t="shared" si="396"/>
        <v>217</v>
      </c>
    </row>
    <row r="61" spans="2:44" s="547" customFormat="1" x14ac:dyDescent="0.25">
      <c r="C61" s="548"/>
      <c r="D61" s="548"/>
      <c r="E61" s="548"/>
      <c r="F61" s="548"/>
      <c r="G61" s="548"/>
      <c r="H61" s="548"/>
      <c r="I61" s="548"/>
      <c r="J61" s="548"/>
      <c r="K61" s="548"/>
      <c r="L61" s="548"/>
      <c r="M61" s="548"/>
      <c r="N61" s="536"/>
      <c r="O61" s="548"/>
      <c r="P61" s="548"/>
      <c r="Q61" s="548"/>
      <c r="R61" s="548"/>
      <c r="S61" s="548"/>
      <c r="T61" s="548"/>
      <c r="U61" s="548"/>
      <c r="V61" s="548"/>
      <c r="W61" s="548"/>
      <c r="X61" s="548"/>
      <c r="Y61" s="548"/>
      <c r="Z61" s="548"/>
      <c r="AA61" s="548"/>
      <c r="AB61" s="548"/>
      <c r="AC61" s="548"/>
      <c r="AD61" s="548"/>
      <c r="AE61" s="548"/>
      <c r="AF61" s="548"/>
      <c r="AG61" s="548"/>
      <c r="AH61" s="548"/>
      <c r="AI61" s="548"/>
      <c r="AJ61" s="548"/>
      <c r="AK61" s="548"/>
      <c r="AL61" s="548"/>
      <c r="AM61" s="548"/>
      <c r="AN61" s="548"/>
      <c r="AO61" s="548"/>
      <c r="AP61" s="548"/>
      <c r="AQ61" s="548"/>
      <c r="AR61" s="548"/>
    </row>
    <row r="62" spans="2:44" s="536" customFormat="1" x14ac:dyDescent="0.25">
      <c r="B62" s="547" t="s">
        <v>660</v>
      </c>
      <c r="C62" s="548"/>
      <c r="D62" s="548"/>
      <c r="E62" s="548"/>
      <c r="F62" s="548"/>
      <c r="G62" s="548"/>
      <c r="H62" s="548"/>
      <c r="I62" s="548"/>
      <c r="J62" s="548"/>
      <c r="K62" s="548"/>
      <c r="L62" s="548"/>
      <c r="M62" s="548"/>
      <c r="N62" s="547"/>
      <c r="O62" s="548"/>
      <c r="P62" s="548"/>
      <c r="Q62" s="548"/>
      <c r="R62" s="548"/>
      <c r="S62" s="548"/>
      <c r="T62" s="548"/>
      <c r="U62" s="548"/>
      <c r="V62" s="548"/>
      <c r="W62" s="548"/>
      <c r="X62" s="548"/>
      <c r="Y62" s="548"/>
      <c r="Z62" s="548"/>
      <c r="AA62" s="548"/>
      <c r="AB62" s="548"/>
      <c r="AC62" s="548"/>
      <c r="AD62" s="548"/>
      <c r="AE62" s="548"/>
      <c r="AF62" s="548"/>
      <c r="AG62" s="548"/>
      <c r="AH62" s="548"/>
      <c r="AI62" s="548"/>
      <c r="AJ62" s="548"/>
      <c r="AK62" s="548"/>
      <c r="AL62" s="548"/>
      <c r="AM62" s="548"/>
      <c r="AN62" s="548"/>
      <c r="AO62" s="548"/>
      <c r="AP62" s="548"/>
      <c r="AQ62" s="548"/>
      <c r="AR62" s="548"/>
    </row>
    <row r="63" spans="2:44" s="536" customFormat="1" x14ac:dyDescent="0.25">
      <c r="B63" s="536" t="s">
        <v>59</v>
      </c>
      <c r="C63" s="543">
        <v>-7</v>
      </c>
      <c r="D63" s="543">
        <v>465</v>
      </c>
      <c r="E63" s="543">
        <v>-527</v>
      </c>
      <c r="F63" s="543">
        <v>-267</v>
      </c>
      <c r="G63" s="543">
        <v>54</v>
      </c>
      <c r="H63" s="543">
        <v>-72</v>
      </c>
      <c r="I63" s="543">
        <v>-115</v>
      </c>
      <c r="J63" s="543">
        <v>57</v>
      </c>
      <c r="K63" s="543">
        <v>70</v>
      </c>
      <c r="L63" s="543">
        <v>25</v>
      </c>
      <c r="M63" s="543">
        <v>-33</v>
      </c>
      <c r="O63" s="543">
        <v>-6</v>
      </c>
      <c r="P63" s="543">
        <v>28</v>
      </c>
      <c r="Q63" s="543">
        <f t="shared" ref="Q63:Q68" si="397">C63-R63-S63-T63</f>
        <v>-102</v>
      </c>
      <c r="R63" s="543">
        <v>-14</v>
      </c>
      <c r="S63" s="543">
        <v>58</v>
      </c>
      <c r="T63" s="543">
        <v>51</v>
      </c>
      <c r="U63" s="543">
        <f t="shared" ref="U63:U68" si="398">D63-V63-W63-X63</f>
        <v>50</v>
      </c>
      <c r="V63" s="543">
        <v>251</v>
      </c>
      <c r="W63" s="543">
        <v>113</v>
      </c>
      <c r="X63" s="543">
        <v>51</v>
      </c>
      <c r="Y63" s="543">
        <f t="shared" ref="Y63:Y68" si="399">E63-Z63-AA63-AB63</f>
        <v>-72</v>
      </c>
      <c r="Z63" s="543">
        <v>-160</v>
      </c>
      <c r="AA63" s="543">
        <v>-208</v>
      </c>
      <c r="AB63" s="543">
        <v>-87</v>
      </c>
      <c r="AC63" s="543">
        <f t="shared" ref="AC63:AC68" si="400">F63-AD63-AE63-AF63</f>
        <v>-155</v>
      </c>
      <c r="AD63" s="543">
        <v>-139</v>
      </c>
      <c r="AE63" s="543">
        <v>-3</v>
      </c>
      <c r="AF63" s="543">
        <v>30</v>
      </c>
      <c r="AG63" s="543">
        <f t="shared" ref="AG63:AG68" si="401">G63-AH63-AI63-AJ63</f>
        <v>2</v>
      </c>
      <c r="AH63" s="543">
        <v>-10</v>
      </c>
      <c r="AI63" s="543">
        <v>34</v>
      </c>
      <c r="AJ63" s="543">
        <v>28</v>
      </c>
      <c r="AK63" s="543">
        <f t="shared" ref="AK63:AK68" si="402">H63-AL63-AM63-AN63</f>
        <v>-72</v>
      </c>
      <c r="AL63" s="543">
        <v>-26</v>
      </c>
      <c r="AM63" s="543">
        <v>13</v>
      </c>
      <c r="AN63" s="543">
        <v>13</v>
      </c>
      <c r="AO63" s="543"/>
      <c r="AP63" s="543">
        <v>-17</v>
      </c>
      <c r="AQ63" s="543">
        <v>0</v>
      </c>
      <c r="AR63" s="543">
        <v>-42</v>
      </c>
    </row>
    <row r="64" spans="2:44" s="536" customFormat="1" x14ac:dyDescent="0.25">
      <c r="B64" s="536" t="s">
        <v>58</v>
      </c>
      <c r="C64" s="543">
        <v>26</v>
      </c>
      <c r="D64" s="543">
        <v>252</v>
      </c>
      <c r="E64" s="543">
        <v>-215</v>
      </c>
      <c r="F64" s="543">
        <v>-426</v>
      </c>
      <c r="G64" s="543">
        <v>-89</v>
      </c>
      <c r="H64" s="543">
        <v>199</v>
      </c>
      <c r="I64" s="543">
        <v>-104</v>
      </c>
      <c r="J64" s="543">
        <v>21</v>
      </c>
      <c r="K64" s="543">
        <v>150</v>
      </c>
      <c r="L64" s="543">
        <v>-86</v>
      </c>
      <c r="M64" s="543">
        <v>-25</v>
      </c>
      <c r="O64" s="543">
        <v>119</v>
      </c>
      <c r="P64" s="543">
        <v>-202</v>
      </c>
      <c r="Q64" s="543">
        <f t="shared" si="397"/>
        <v>68</v>
      </c>
      <c r="R64" s="543">
        <v>73</v>
      </c>
      <c r="S64" s="543">
        <v>26</v>
      </c>
      <c r="T64" s="543">
        <v>-141</v>
      </c>
      <c r="U64" s="543">
        <f t="shared" si="398"/>
        <v>47</v>
      </c>
      <c r="V64" s="543">
        <v>-28</v>
      </c>
      <c r="W64" s="543">
        <v>268</v>
      </c>
      <c r="X64" s="543">
        <v>-35</v>
      </c>
      <c r="Y64" s="543">
        <f t="shared" si="399"/>
        <v>149</v>
      </c>
      <c r="Z64" s="543">
        <v>84</v>
      </c>
      <c r="AA64" s="543">
        <v>21</v>
      </c>
      <c r="AB64" s="543">
        <v>-469</v>
      </c>
      <c r="AC64" s="543">
        <f t="shared" si="400"/>
        <v>-218</v>
      </c>
      <c r="AD64" s="543">
        <v>-34</v>
      </c>
      <c r="AE64" s="543">
        <v>-27</v>
      </c>
      <c r="AF64" s="543">
        <v>-147</v>
      </c>
      <c r="AG64" s="543">
        <f t="shared" si="401"/>
        <v>-47</v>
      </c>
      <c r="AH64" s="543">
        <v>33</v>
      </c>
      <c r="AI64" s="543">
        <v>111</v>
      </c>
      <c r="AJ64" s="543">
        <v>-186</v>
      </c>
      <c r="AK64" s="543">
        <f t="shared" si="402"/>
        <v>185</v>
      </c>
      <c r="AL64" s="543">
        <v>70</v>
      </c>
      <c r="AM64" s="543">
        <v>1</v>
      </c>
      <c r="AN64" s="543">
        <v>-57</v>
      </c>
      <c r="AO64" s="543"/>
      <c r="AP64" s="543">
        <v>67</v>
      </c>
      <c r="AQ64" s="543">
        <v>-96</v>
      </c>
      <c r="AR64" s="543">
        <v>-44</v>
      </c>
    </row>
    <row r="65" spans="2:44" s="536" customFormat="1" x14ac:dyDescent="0.25">
      <c r="B65" s="536" t="s">
        <v>60</v>
      </c>
      <c r="C65" s="543">
        <v>104</v>
      </c>
      <c r="D65" s="543">
        <v>-101</v>
      </c>
      <c r="E65" s="543">
        <v>-42</v>
      </c>
      <c r="F65" s="543">
        <v>274</v>
      </c>
      <c r="G65" s="543">
        <v>84</v>
      </c>
      <c r="H65" s="543">
        <v>-58</v>
      </c>
      <c r="I65" s="543">
        <v>-36</v>
      </c>
      <c r="J65" s="543">
        <v>-45</v>
      </c>
      <c r="K65" s="543">
        <v>-90</v>
      </c>
      <c r="L65" s="543">
        <v>-106</v>
      </c>
      <c r="M65" s="543">
        <v>55</v>
      </c>
      <c r="O65" s="543">
        <v>28</v>
      </c>
      <c r="P65" s="543">
        <v>31</v>
      </c>
      <c r="Q65" s="543">
        <f t="shared" si="397"/>
        <v>87</v>
      </c>
      <c r="R65" s="543">
        <v>46</v>
      </c>
      <c r="S65" s="543">
        <v>-55</v>
      </c>
      <c r="T65" s="543">
        <v>26</v>
      </c>
      <c r="U65" s="543">
        <f t="shared" si="398"/>
        <v>66</v>
      </c>
      <c r="V65" s="543">
        <v>-59</v>
      </c>
      <c r="W65" s="543">
        <v>-71</v>
      </c>
      <c r="X65" s="543">
        <v>-37</v>
      </c>
      <c r="Y65" s="543">
        <f t="shared" si="399"/>
        <v>-100</v>
      </c>
      <c r="Z65" s="543">
        <v>-41</v>
      </c>
      <c r="AA65" s="543">
        <v>105</v>
      </c>
      <c r="AB65" s="543">
        <v>-6</v>
      </c>
      <c r="AC65" s="543">
        <f t="shared" si="400"/>
        <v>166</v>
      </c>
      <c r="AD65" s="543">
        <v>33</v>
      </c>
      <c r="AE65" s="543">
        <v>36</v>
      </c>
      <c r="AF65" s="543">
        <v>39</v>
      </c>
      <c r="AG65" s="543">
        <f t="shared" si="401"/>
        <v>72</v>
      </c>
      <c r="AH65" s="543">
        <v>-55</v>
      </c>
      <c r="AI65" s="543">
        <v>-4</v>
      </c>
      <c r="AJ65" s="543">
        <v>71</v>
      </c>
      <c r="AK65" s="543">
        <f t="shared" si="402"/>
        <v>-8</v>
      </c>
      <c r="AL65" s="543">
        <v>27</v>
      </c>
      <c r="AM65" s="543">
        <v>44</v>
      </c>
      <c r="AN65" s="543">
        <v>-121</v>
      </c>
      <c r="AO65" s="543"/>
      <c r="AP65" s="543">
        <v>-66</v>
      </c>
      <c r="AQ65" s="543">
        <v>35</v>
      </c>
      <c r="AR65" s="543">
        <v>-69</v>
      </c>
    </row>
    <row r="66" spans="2:44" s="536" customFormat="1" x14ac:dyDescent="0.25">
      <c r="B66" s="536" t="s">
        <v>735</v>
      </c>
      <c r="C66" s="543">
        <v>39</v>
      </c>
      <c r="D66" s="543">
        <v>26</v>
      </c>
      <c r="E66" s="543">
        <v>-46</v>
      </c>
      <c r="F66" s="543">
        <v>9</v>
      </c>
      <c r="G66" s="543">
        <v>5</v>
      </c>
      <c r="H66" s="543">
        <v>5</v>
      </c>
      <c r="I66" s="543">
        <v>0</v>
      </c>
      <c r="J66" s="543">
        <v>0</v>
      </c>
      <c r="K66" s="543">
        <v>0</v>
      </c>
      <c r="L66" s="543">
        <v>0</v>
      </c>
      <c r="M66" s="543">
        <v>0</v>
      </c>
      <c r="O66" s="543">
        <v>-4</v>
      </c>
      <c r="P66" s="543">
        <v>-15</v>
      </c>
      <c r="Q66" s="543">
        <f t="shared" si="397"/>
        <v>66</v>
      </c>
      <c r="R66" s="543">
        <v>-31</v>
      </c>
      <c r="S66" s="543">
        <v>-14</v>
      </c>
      <c r="T66" s="543">
        <v>18</v>
      </c>
      <c r="U66" s="543">
        <f t="shared" si="398"/>
        <v>37</v>
      </c>
      <c r="V66" s="543">
        <v>-6</v>
      </c>
      <c r="W66" s="543">
        <v>1</v>
      </c>
      <c r="X66" s="543">
        <v>-6</v>
      </c>
      <c r="Y66" s="543">
        <f t="shared" si="399"/>
        <v>12</v>
      </c>
      <c r="Z66" s="543">
        <v>32</v>
      </c>
      <c r="AA66" s="543">
        <v>-89</v>
      </c>
      <c r="AB66" s="543">
        <v>-1</v>
      </c>
      <c r="AC66" s="543">
        <f t="shared" si="400"/>
        <v>29</v>
      </c>
      <c r="AD66" s="543">
        <v>20</v>
      </c>
      <c r="AE66" s="543">
        <v>-31</v>
      </c>
      <c r="AF66" s="543">
        <v>-9</v>
      </c>
      <c r="AG66" s="543">
        <f t="shared" si="401"/>
        <v>-9</v>
      </c>
      <c r="AH66" s="543">
        <v>28</v>
      </c>
      <c r="AI66" s="543">
        <v>-8</v>
      </c>
      <c r="AJ66" s="543">
        <v>-6</v>
      </c>
      <c r="AK66" s="543">
        <f t="shared" si="402"/>
        <v>34</v>
      </c>
      <c r="AL66" s="543">
        <v>-15</v>
      </c>
      <c r="AM66" s="543">
        <v>-14</v>
      </c>
      <c r="AN66" s="543">
        <v>0</v>
      </c>
      <c r="AO66" s="543"/>
      <c r="AP66" s="543">
        <v>-29</v>
      </c>
      <c r="AQ66" s="543">
        <v>-14</v>
      </c>
      <c r="AR66" s="543">
        <v>0</v>
      </c>
    </row>
    <row r="67" spans="2:44" s="536" customFormat="1" x14ac:dyDescent="0.25">
      <c r="B67" s="536" t="s">
        <v>736</v>
      </c>
      <c r="C67" s="543">
        <v>43</v>
      </c>
      <c r="D67" s="543">
        <v>-210</v>
      </c>
      <c r="E67" s="543">
        <v>107</v>
      </c>
      <c r="F67" s="543">
        <v>107</v>
      </c>
      <c r="G67" s="543">
        <v>54</v>
      </c>
      <c r="H67" s="543">
        <v>4</v>
      </c>
      <c r="I67" s="543">
        <v>-66</v>
      </c>
      <c r="J67" s="543">
        <v>-4</v>
      </c>
      <c r="K67" s="543">
        <v>0</v>
      </c>
      <c r="L67" s="543">
        <v>-90</v>
      </c>
      <c r="M67" s="543">
        <v>0</v>
      </c>
      <c r="O67" s="543">
        <v>-80</v>
      </c>
      <c r="P67" s="543">
        <v>18</v>
      </c>
      <c r="Q67" s="543">
        <f t="shared" si="397"/>
        <v>39</v>
      </c>
      <c r="R67" s="543">
        <v>22</v>
      </c>
      <c r="S67" s="543">
        <v>-28</v>
      </c>
      <c r="T67" s="543">
        <v>10</v>
      </c>
      <c r="U67" s="543">
        <f t="shared" si="398"/>
        <v>16</v>
      </c>
      <c r="V67" s="543">
        <v>-19</v>
      </c>
      <c r="W67" s="543">
        <v>-184</v>
      </c>
      <c r="X67" s="543">
        <v>-23</v>
      </c>
      <c r="Y67" s="543">
        <f t="shared" si="399"/>
        <v>48</v>
      </c>
      <c r="Z67" s="543">
        <v>68</v>
      </c>
      <c r="AA67" s="543">
        <v>-52</v>
      </c>
      <c r="AB67" s="543">
        <v>43</v>
      </c>
      <c r="AC67" s="543">
        <f t="shared" si="400"/>
        <v>81</v>
      </c>
      <c r="AD67" s="543">
        <v>55</v>
      </c>
      <c r="AE67" s="543">
        <v>-17</v>
      </c>
      <c r="AF67" s="543">
        <v>-12</v>
      </c>
      <c r="AG67" s="543">
        <f t="shared" si="401"/>
        <v>95</v>
      </c>
      <c r="AH67" s="543">
        <v>35</v>
      </c>
      <c r="AI67" s="543">
        <v>-140</v>
      </c>
      <c r="AJ67" s="543">
        <v>64</v>
      </c>
      <c r="AK67" s="543">
        <f t="shared" si="402"/>
        <v>147</v>
      </c>
      <c r="AL67" s="543">
        <v>-19</v>
      </c>
      <c r="AM67" s="543">
        <v>-124</v>
      </c>
      <c r="AN67" s="543">
        <v>0</v>
      </c>
      <c r="AO67" s="543"/>
      <c r="AP67" s="543">
        <v>-39</v>
      </c>
      <c r="AQ67" s="543">
        <v>5</v>
      </c>
      <c r="AR67" s="543">
        <v>0</v>
      </c>
    </row>
    <row r="68" spans="2:44" s="536" customFormat="1" x14ac:dyDescent="0.25">
      <c r="B68" s="544" t="s">
        <v>737</v>
      </c>
      <c r="C68" s="545">
        <v>0</v>
      </c>
      <c r="D68" s="545">
        <v>0</v>
      </c>
      <c r="E68" s="545">
        <v>0</v>
      </c>
      <c r="F68" s="545">
        <v>0</v>
      </c>
      <c r="G68" s="545">
        <v>0</v>
      </c>
      <c r="H68" s="545">
        <v>0</v>
      </c>
      <c r="I68" s="545">
        <v>0</v>
      </c>
      <c r="J68" s="545">
        <v>0</v>
      </c>
      <c r="K68" s="545">
        <v>98</v>
      </c>
      <c r="L68" s="545">
        <v>0</v>
      </c>
      <c r="M68" s="545">
        <v>66</v>
      </c>
      <c r="O68" s="545">
        <v>0</v>
      </c>
      <c r="P68" s="545">
        <v>0</v>
      </c>
      <c r="Q68" s="543">
        <f t="shared" si="397"/>
        <v>0</v>
      </c>
      <c r="R68" s="545">
        <v>0</v>
      </c>
      <c r="S68" s="545">
        <v>0</v>
      </c>
      <c r="T68" s="545">
        <v>0</v>
      </c>
      <c r="U68" s="545">
        <f t="shared" si="398"/>
        <v>0</v>
      </c>
      <c r="V68" s="545">
        <v>0</v>
      </c>
      <c r="W68" s="545">
        <v>0</v>
      </c>
      <c r="X68" s="545">
        <v>0</v>
      </c>
      <c r="Y68" s="545">
        <f t="shared" si="399"/>
        <v>0</v>
      </c>
      <c r="Z68" s="545">
        <v>0</v>
      </c>
      <c r="AA68" s="545">
        <v>0</v>
      </c>
      <c r="AB68" s="545">
        <v>0</v>
      </c>
      <c r="AC68" s="543">
        <f t="shared" si="400"/>
        <v>0</v>
      </c>
      <c r="AD68" s="545">
        <v>0</v>
      </c>
      <c r="AE68" s="545">
        <v>0</v>
      </c>
      <c r="AF68" s="545">
        <v>0</v>
      </c>
      <c r="AG68" s="543">
        <f t="shared" si="401"/>
        <v>-125</v>
      </c>
      <c r="AH68" s="545">
        <v>38</v>
      </c>
      <c r="AI68" s="545">
        <v>112</v>
      </c>
      <c r="AJ68" s="545">
        <v>-25</v>
      </c>
      <c r="AK68" s="545">
        <f t="shared" si="402"/>
        <v>-3</v>
      </c>
      <c r="AL68" s="545">
        <v>2</v>
      </c>
      <c r="AM68" s="545">
        <v>0</v>
      </c>
      <c r="AN68" s="545">
        <v>1</v>
      </c>
      <c r="AO68" s="545"/>
      <c r="AP68" s="545">
        <v>-21</v>
      </c>
      <c r="AQ68" s="545">
        <v>-25</v>
      </c>
      <c r="AR68" s="545">
        <v>-26</v>
      </c>
    </row>
    <row r="69" spans="2:44" s="536" customFormat="1" x14ac:dyDescent="0.25">
      <c r="B69" s="547" t="s">
        <v>661</v>
      </c>
      <c r="C69" s="548">
        <f t="shared" ref="C69" si="403">SUM(C63:C68)</f>
        <v>205</v>
      </c>
      <c r="D69" s="548">
        <f t="shared" ref="D69:E69" si="404">SUM(D63:D68)</f>
        <v>432</v>
      </c>
      <c r="E69" s="548">
        <f t="shared" si="404"/>
        <v>-723</v>
      </c>
      <c r="F69" s="548">
        <f t="shared" ref="F69:G69" si="405">SUM(F63:F68)</f>
        <v>-303</v>
      </c>
      <c r="G69" s="548">
        <f t="shared" si="405"/>
        <v>108</v>
      </c>
      <c r="H69" s="548">
        <f t="shared" ref="H69:M69" si="406">SUM(H63:H68)</f>
        <v>78</v>
      </c>
      <c r="I69" s="548">
        <f t="shared" si="406"/>
        <v>-321</v>
      </c>
      <c r="J69" s="548">
        <f t="shared" si="406"/>
        <v>29</v>
      </c>
      <c r="K69" s="548">
        <f t="shared" si="406"/>
        <v>228</v>
      </c>
      <c r="L69" s="548">
        <f t="shared" si="406"/>
        <v>-257</v>
      </c>
      <c r="M69" s="548">
        <f t="shared" si="406"/>
        <v>63</v>
      </c>
      <c r="O69" s="548">
        <f t="shared" ref="O69" si="407">SUM(O63:O68)</f>
        <v>57</v>
      </c>
      <c r="P69" s="548">
        <f t="shared" ref="P69" si="408">SUM(P63:P68)</f>
        <v>-140</v>
      </c>
      <c r="Q69" s="548">
        <f t="shared" ref="Q69" si="409">SUM(Q63:Q68)</f>
        <v>158</v>
      </c>
      <c r="R69" s="548">
        <f t="shared" ref="R69:S69" si="410">SUM(R63:R68)</f>
        <v>96</v>
      </c>
      <c r="S69" s="548">
        <f t="shared" si="410"/>
        <v>-13</v>
      </c>
      <c r="T69" s="548">
        <f t="shared" ref="T69:U69" si="411">SUM(T63:T68)</f>
        <v>-36</v>
      </c>
      <c r="U69" s="548">
        <f t="shared" si="411"/>
        <v>216</v>
      </c>
      <c r="V69" s="548">
        <f t="shared" ref="V69" si="412">SUM(V63:V68)</f>
        <v>139</v>
      </c>
      <c r="W69" s="548">
        <f t="shared" ref="W69:X69" si="413">SUM(W63:W68)</f>
        <v>127</v>
      </c>
      <c r="X69" s="548">
        <f t="shared" si="413"/>
        <v>-50</v>
      </c>
      <c r="Y69" s="548">
        <f t="shared" ref="Y69:AA69" si="414">SUM(Y63:Y68)</f>
        <v>37</v>
      </c>
      <c r="Z69" s="548">
        <f t="shared" si="414"/>
        <v>-17</v>
      </c>
      <c r="AA69" s="548">
        <f t="shared" si="414"/>
        <v>-223</v>
      </c>
      <c r="AB69" s="548">
        <f t="shared" ref="AB69" si="415">SUM(AB63:AB68)</f>
        <v>-520</v>
      </c>
      <c r="AC69" s="548">
        <f t="shared" ref="AC69" si="416">SUM(AC63:AC68)</f>
        <v>-97</v>
      </c>
      <c r="AD69" s="548">
        <f t="shared" ref="AD69" si="417">SUM(AD63:AD68)</f>
        <v>-65</v>
      </c>
      <c r="AE69" s="548">
        <f t="shared" ref="AE69:AF69" si="418">SUM(AE63:AE68)</f>
        <v>-42</v>
      </c>
      <c r="AF69" s="548">
        <f t="shared" si="418"/>
        <v>-99</v>
      </c>
      <c r="AG69" s="548">
        <f t="shared" ref="AG69" si="419">SUM(AG63:AG68)</f>
        <v>-12</v>
      </c>
      <c r="AH69" s="548">
        <f t="shared" ref="AH69" si="420">SUM(AH63:AH68)</f>
        <v>69</v>
      </c>
      <c r="AI69" s="548">
        <f t="shared" ref="AI69:AR69" si="421">SUM(AI63:AI68)</f>
        <v>105</v>
      </c>
      <c r="AJ69" s="548">
        <f t="shared" si="421"/>
        <v>-54</v>
      </c>
      <c r="AK69" s="548">
        <f t="shared" si="421"/>
        <v>283</v>
      </c>
      <c r="AL69" s="548">
        <f t="shared" si="421"/>
        <v>39</v>
      </c>
      <c r="AM69" s="548">
        <f>SUM(AM63:AM68)</f>
        <v>-80</v>
      </c>
      <c r="AN69" s="548">
        <f t="shared" si="421"/>
        <v>-164</v>
      </c>
      <c r="AO69" s="548">
        <f t="shared" si="421"/>
        <v>0</v>
      </c>
      <c r="AP69" s="548">
        <f t="shared" si="421"/>
        <v>-105</v>
      </c>
      <c r="AQ69" s="548">
        <f t="shared" si="421"/>
        <v>-95</v>
      </c>
      <c r="AR69" s="548">
        <f t="shared" si="421"/>
        <v>-181</v>
      </c>
    </row>
    <row r="70" spans="2:44" s="536" customFormat="1" ht="15.75" thickBot="1" x14ac:dyDescent="0.3">
      <c r="C70" s="543"/>
      <c r="D70" s="543"/>
      <c r="E70" s="543"/>
      <c r="F70" s="543"/>
      <c r="G70" s="543"/>
      <c r="H70" s="543"/>
      <c r="I70" s="543"/>
      <c r="J70" s="543"/>
      <c r="K70" s="543"/>
      <c r="L70" s="543"/>
      <c r="M70" s="543"/>
      <c r="O70" s="543"/>
      <c r="P70" s="543"/>
      <c r="Q70" s="543"/>
      <c r="R70" s="543"/>
      <c r="S70" s="543"/>
      <c r="T70" s="543"/>
      <c r="U70" s="543"/>
      <c r="V70" s="543"/>
      <c r="W70" s="543"/>
      <c r="X70" s="543"/>
      <c r="Y70" s="543"/>
      <c r="Z70" s="543"/>
      <c r="AA70" s="543"/>
      <c r="AB70" s="543"/>
      <c r="AC70" s="543"/>
      <c r="AD70" s="543"/>
      <c r="AE70" s="543"/>
      <c r="AF70" s="543"/>
      <c r="AG70" s="543"/>
      <c r="AH70" s="543"/>
      <c r="AI70" s="543"/>
      <c r="AJ70" s="543"/>
      <c r="AK70" s="543"/>
      <c r="AL70" s="543"/>
      <c r="AM70" s="543"/>
      <c r="AN70" s="543"/>
      <c r="AO70" s="543"/>
      <c r="AP70" s="543"/>
      <c r="AQ70" s="543"/>
      <c r="AR70" s="543"/>
    </row>
    <row r="71" spans="2:44" s="536" customFormat="1" ht="15.75" thickTop="1" x14ac:dyDescent="0.25">
      <c r="B71" s="586" t="s">
        <v>662</v>
      </c>
      <c r="C71" s="587">
        <f t="shared" ref="C71" si="422">C45+C58+C69</f>
        <v>1363</v>
      </c>
      <c r="D71" s="587">
        <f t="shared" ref="D71:I71" si="423">D45+D58+D69</f>
        <v>1595</v>
      </c>
      <c r="E71" s="587">
        <f t="shared" si="423"/>
        <v>2025</v>
      </c>
      <c r="F71" s="587">
        <f t="shared" si="423"/>
        <v>1065</v>
      </c>
      <c r="G71" s="587">
        <f t="shared" si="423"/>
        <v>804</v>
      </c>
      <c r="H71" s="587">
        <f t="shared" si="423"/>
        <v>992</v>
      </c>
      <c r="I71" s="587">
        <f t="shared" si="423"/>
        <v>620</v>
      </c>
      <c r="J71" s="587">
        <f t="shared" ref="J71:AI71" si="424">J45+J58+J69</f>
        <v>847</v>
      </c>
      <c r="K71" s="587">
        <f t="shared" si="424"/>
        <v>966</v>
      </c>
      <c r="L71" s="587">
        <f t="shared" si="424"/>
        <v>573</v>
      </c>
      <c r="M71" s="587">
        <f t="shared" si="424"/>
        <v>893</v>
      </c>
      <c r="O71" s="587">
        <f t="shared" ref="O71" si="425">O45+O58+O69</f>
        <v>231</v>
      </c>
      <c r="P71" s="587">
        <f t="shared" ref="P71" si="426">P45+P58+P69</f>
        <v>152</v>
      </c>
      <c r="Q71" s="587">
        <f t="shared" ref="Q71" si="427">Q45+Q58+Q69</f>
        <v>412</v>
      </c>
      <c r="R71" s="587">
        <f t="shared" ref="R71:S71" si="428">R45+R58+R69</f>
        <v>396</v>
      </c>
      <c r="S71" s="587">
        <f t="shared" si="428"/>
        <v>276</v>
      </c>
      <c r="T71" s="587">
        <f t="shared" ref="T71:U71" si="429">T45+T58+T69</f>
        <v>279</v>
      </c>
      <c r="U71" s="587">
        <f t="shared" si="429"/>
        <v>415</v>
      </c>
      <c r="V71" s="587">
        <f t="shared" ref="V71" si="430">V45+V58+V69</f>
        <v>407</v>
      </c>
      <c r="W71" s="587">
        <f t="shared" ref="W71:X71" si="431">W45+W58+W69</f>
        <v>391</v>
      </c>
      <c r="X71" s="587">
        <f t="shared" si="431"/>
        <v>382</v>
      </c>
      <c r="Y71" s="587">
        <f t="shared" ref="Y71:AA71" si="432">Y45+Y58+Y69</f>
        <v>467</v>
      </c>
      <c r="Z71" s="587">
        <f t="shared" si="432"/>
        <v>606</v>
      </c>
      <c r="AA71" s="587">
        <f t="shared" si="432"/>
        <v>627</v>
      </c>
      <c r="AB71" s="587">
        <f t="shared" ref="AB71" si="433">AB45+AB58+AB69</f>
        <v>325</v>
      </c>
      <c r="AC71" s="587">
        <f t="shared" ref="AC71" si="434">AC45+AC58+AC69</f>
        <v>344</v>
      </c>
      <c r="AD71" s="587">
        <f t="shared" ref="AD71" si="435">AD45+AD58+AD69</f>
        <v>273</v>
      </c>
      <c r="AE71" s="587">
        <f t="shared" ref="AE71:AF71" si="436">AE45+AE58+AE69</f>
        <v>242</v>
      </c>
      <c r="AF71" s="587">
        <f t="shared" si="436"/>
        <v>206</v>
      </c>
      <c r="AG71" s="587">
        <f t="shared" ref="AG71" si="437">AG45+AG58+AG69</f>
        <v>258</v>
      </c>
      <c r="AH71" s="587">
        <f t="shared" ref="AH71" si="438">AH45+AH58+AH69</f>
        <v>203</v>
      </c>
      <c r="AI71" s="587">
        <f t="shared" si="424"/>
        <v>177</v>
      </c>
      <c r="AJ71" s="587">
        <f t="shared" ref="AJ71:AR71" si="439">AJ45+AJ58+AJ69</f>
        <v>166</v>
      </c>
      <c r="AK71" s="587">
        <f t="shared" si="439"/>
        <v>468</v>
      </c>
      <c r="AL71" s="587">
        <f t="shared" si="439"/>
        <v>368</v>
      </c>
      <c r="AM71" s="587">
        <f t="shared" si="439"/>
        <v>239</v>
      </c>
      <c r="AN71" s="587">
        <f t="shared" si="439"/>
        <v>173</v>
      </c>
      <c r="AO71" s="587">
        <f t="shared" si="439"/>
        <v>81</v>
      </c>
      <c r="AP71" s="587">
        <f t="shared" si="439"/>
        <v>196</v>
      </c>
      <c r="AQ71" s="587">
        <f t="shared" si="439"/>
        <v>164</v>
      </c>
      <c r="AR71" s="587">
        <f t="shared" si="439"/>
        <v>36</v>
      </c>
    </row>
    <row r="72" spans="2:44" s="536" customFormat="1" x14ac:dyDescent="0.25">
      <c r="C72" s="543"/>
      <c r="D72" s="543"/>
      <c r="E72" s="543"/>
      <c r="F72" s="543"/>
      <c r="G72" s="543"/>
      <c r="H72" s="543"/>
      <c r="I72" s="543"/>
      <c r="J72" s="543"/>
      <c r="K72" s="543"/>
      <c r="L72" s="543"/>
      <c r="M72" s="543"/>
      <c r="O72" s="543"/>
      <c r="P72" s="543"/>
      <c r="Q72" s="543"/>
      <c r="R72" s="543"/>
      <c r="S72" s="543"/>
      <c r="T72" s="543"/>
      <c r="U72" s="543"/>
      <c r="V72" s="543"/>
      <c r="W72" s="543"/>
      <c r="X72" s="543"/>
      <c r="Y72" s="543"/>
      <c r="Z72" s="543"/>
      <c r="AA72" s="543"/>
      <c r="AB72" s="543"/>
      <c r="AC72" s="543"/>
      <c r="AD72" s="543"/>
      <c r="AE72" s="543"/>
      <c r="AF72" s="543"/>
      <c r="AG72" s="543"/>
      <c r="AH72" s="543"/>
      <c r="AI72" s="543"/>
      <c r="AJ72" s="543"/>
      <c r="AK72" s="543"/>
      <c r="AL72" s="543"/>
      <c r="AM72" s="543"/>
      <c r="AN72" s="543"/>
      <c r="AO72" s="543"/>
      <c r="AP72" s="543"/>
      <c r="AQ72" s="543"/>
      <c r="AR72" s="543"/>
    </row>
    <row r="73" spans="2:44" s="536" customFormat="1" x14ac:dyDescent="0.25">
      <c r="B73" s="536" t="s">
        <v>738</v>
      </c>
      <c r="C73" s="543">
        <v>56</v>
      </c>
      <c r="D73" s="543">
        <v>-88</v>
      </c>
      <c r="E73" s="543">
        <v>-36</v>
      </c>
      <c r="F73" s="543">
        <v>355</v>
      </c>
      <c r="G73" s="543">
        <v>34</v>
      </c>
      <c r="H73" s="543">
        <v>-2</v>
      </c>
      <c r="I73" s="543">
        <v>-3</v>
      </c>
      <c r="J73" s="543">
        <v>-65</v>
      </c>
      <c r="K73" s="543">
        <v>-198</v>
      </c>
      <c r="L73" s="543">
        <v>0</v>
      </c>
      <c r="M73" s="543">
        <v>0</v>
      </c>
      <c r="O73" s="543">
        <v>1</v>
      </c>
      <c r="P73" s="543">
        <v>-4</v>
      </c>
      <c r="Q73" s="543">
        <f t="shared" ref="Q73:Q79" si="440">C73-R73-S73-T73</f>
        <v>-5</v>
      </c>
      <c r="R73" s="543">
        <v>0</v>
      </c>
      <c r="S73" s="543">
        <v>11</v>
      </c>
      <c r="T73" s="543">
        <v>50</v>
      </c>
      <c r="U73" s="543">
        <f t="shared" ref="U73:U79" si="441">D73-V73-W73-X73</f>
        <v>-10</v>
      </c>
      <c r="V73" s="543">
        <v>1</v>
      </c>
      <c r="W73" s="543">
        <v>-35</v>
      </c>
      <c r="X73" s="543">
        <v>-44</v>
      </c>
      <c r="Y73" s="543">
        <f t="shared" ref="Y73:Y79" si="442">E73-Z73-AA73-AB73</f>
        <v>1</v>
      </c>
      <c r="Z73" s="543">
        <v>1</v>
      </c>
      <c r="AA73" s="543">
        <v>-30</v>
      </c>
      <c r="AB73" s="543">
        <v>-8</v>
      </c>
      <c r="AC73" s="543">
        <f t="shared" ref="AC73:AC79" si="443">F73-AD73-AE73-AF73</f>
        <v>148</v>
      </c>
      <c r="AD73" s="543">
        <v>109</v>
      </c>
      <c r="AE73" s="543">
        <v>90</v>
      </c>
      <c r="AF73" s="543">
        <v>8</v>
      </c>
      <c r="AG73" s="543">
        <f t="shared" ref="AG73:AG79" si="444">G73-AH73-AI73-AJ73</f>
        <v>33</v>
      </c>
      <c r="AH73" s="543">
        <v>-1</v>
      </c>
      <c r="AI73" s="543">
        <v>17</v>
      </c>
      <c r="AJ73" s="543">
        <f>12-27</f>
        <v>-15</v>
      </c>
      <c r="AK73" s="543">
        <f t="shared" ref="AK73:AK79" si="445">H73-AL73-AM73-AN73</f>
        <v>-6</v>
      </c>
      <c r="AL73" s="543">
        <v>-7</v>
      </c>
      <c r="AM73" s="543">
        <v>-3</v>
      </c>
      <c r="AN73" s="543">
        <v>14</v>
      </c>
      <c r="AO73" s="543"/>
      <c r="AP73" s="543">
        <v>-3</v>
      </c>
      <c r="AQ73" s="543">
        <v>0</v>
      </c>
      <c r="AR73" s="543">
        <v>10</v>
      </c>
    </row>
    <row r="74" spans="2:44" s="536" customFormat="1" x14ac:dyDescent="0.25">
      <c r="B74" s="689" t="s">
        <v>819</v>
      </c>
      <c r="C74" s="543">
        <v>-74</v>
      </c>
      <c r="D74" s="543">
        <v>0</v>
      </c>
      <c r="E74" s="543">
        <v>-18</v>
      </c>
      <c r="F74" s="543">
        <v>-365</v>
      </c>
      <c r="G74" s="543">
        <v>-27</v>
      </c>
      <c r="H74" s="543"/>
      <c r="I74" s="543"/>
      <c r="J74" s="543"/>
      <c r="K74" s="543"/>
      <c r="L74" s="543"/>
      <c r="M74" s="543"/>
      <c r="O74" s="543">
        <v>0</v>
      </c>
      <c r="P74" s="543">
        <v>-3</v>
      </c>
      <c r="Q74" s="543">
        <f t="shared" si="440"/>
        <v>-2</v>
      </c>
      <c r="R74" s="543">
        <v>-50</v>
      </c>
      <c r="S74" s="543">
        <v>0</v>
      </c>
      <c r="T74" s="543">
        <v>-22</v>
      </c>
      <c r="U74" s="543">
        <f t="shared" si="441"/>
        <v>0</v>
      </c>
      <c r="V74" s="543">
        <v>0</v>
      </c>
      <c r="W74" s="543">
        <v>0</v>
      </c>
      <c r="X74" s="543">
        <v>0</v>
      </c>
      <c r="Y74" s="543">
        <f t="shared" si="442"/>
        <v>0</v>
      </c>
      <c r="Z74" s="543">
        <v>0</v>
      </c>
      <c r="AA74" s="543">
        <v>-18</v>
      </c>
      <c r="AB74" s="543">
        <v>0</v>
      </c>
      <c r="AC74" s="543">
        <f t="shared" si="443"/>
        <v>2</v>
      </c>
      <c r="AD74" s="543">
        <v>-303</v>
      </c>
      <c r="AE74" s="543">
        <v>0</v>
      </c>
      <c r="AF74" s="543">
        <v>-64</v>
      </c>
      <c r="AG74" s="543">
        <f t="shared" si="444"/>
        <v>-27</v>
      </c>
      <c r="AH74" s="543"/>
      <c r="AI74" s="543"/>
      <c r="AJ74" s="543"/>
      <c r="AK74" s="543"/>
      <c r="AL74" s="543"/>
      <c r="AM74" s="543"/>
      <c r="AN74" s="543"/>
      <c r="AO74" s="543"/>
      <c r="AP74" s="543"/>
      <c r="AQ74" s="543"/>
      <c r="AR74" s="543"/>
    </row>
    <row r="75" spans="2:44" s="536" customFormat="1" x14ac:dyDescent="0.25">
      <c r="B75" s="536" t="s">
        <v>739</v>
      </c>
      <c r="C75" s="543">
        <v>-713</v>
      </c>
      <c r="D75" s="543">
        <v>-780</v>
      </c>
      <c r="E75" s="543">
        <v>-747</v>
      </c>
      <c r="F75" s="543">
        <v>-611</v>
      </c>
      <c r="G75" s="543">
        <v>-626</v>
      </c>
      <c r="H75" s="543">
        <v>-576</v>
      </c>
      <c r="I75" s="543">
        <v>-572</v>
      </c>
      <c r="J75" s="543">
        <v>-457</v>
      </c>
      <c r="K75" s="543">
        <v>-632</v>
      </c>
      <c r="L75" s="543">
        <v>-619</v>
      </c>
      <c r="M75" s="543">
        <f>-835</f>
        <v>-835</v>
      </c>
      <c r="O75" s="543">
        <v>-202</v>
      </c>
      <c r="P75" s="543">
        <v>-190</v>
      </c>
      <c r="Q75" s="543">
        <f t="shared" si="440"/>
        <v>-267</v>
      </c>
      <c r="R75" s="543">
        <v>-159</v>
      </c>
      <c r="S75" s="543">
        <v>-142</v>
      </c>
      <c r="T75" s="543">
        <v>-145</v>
      </c>
      <c r="U75" s="543">
        <f t="shared" si="441"/>
        <v>-255</v>
      </c>
      <c r="V75" s="543">
        <v>-191</v>
      </c>
      <c r="W75" s="543">
        <v>-170</v>
      </c>
      <c r="X75" s="543">
        <v>-164</v>
      </c>
      <c r="Y75" s="543">
        <f t="shared" si="442"/>
        <v>-212</v>
      </c>
      <c r="Z75" s="543">
        <v>-184</v>
      </c>
      <c r="AA75" s="543">
        <v>-220</v>
      </c>
      <c r="AB75" s="543">
        <v>-131</v>
      </c>
      <c r="AC75" s="543">
        <f t="shared" si="443"/>
        <v>-185</v>
      </c>
      <c r="AD75" s="543">
        <v>-128</v>
      </c>
      <c r="AE75" s="543">
        <v>-151</v>
      </c>
      <c r="AF75" s="543">
        <v>-147</v>
      </c>
      <c r="AG75" s="543">
        <f t="shared" si="444"/>
        <v>-487</v>
      </c>
      <c r="AH75" s="543">
        <v>0</v>
      </c>
      <c r="AI75" s="543">
        <v>0</v>
      </c>
      <c r="AJ75" s="543">
        <v>-139</v>
      </c>
      <c r="AK75" s="543">
        <f t="shared" si="445"/>
        <v>-157</v>
      </c>
      <c r="AL75" s="543">
        <v>-147</v>
      </c>
      <c r="AM75" s="543">
        <v>-141</v>
      </c>
      <c r="AN75" s="543">
        <v>-131</v>
      </c>
      <c r="AO75" s="543"/>
      <c r="AP75" s="543">
        <v>-145</v>
      </c>
      <c r="AQ75" s="543">
        <v>-121</v>
      </c>
      <c r="AR75" s="543">
        <v>-127</v>
      </c>
    </row>
    <row r="76" spans="2:44" s="536" customFormat="1" x14ac:dyDescent="0.25">
      <c r="B76" s="536" t="s">
        <v>740</v>
      </c>
      <c r="C76" s="543">
        <v>19</v>
      </c>
      <c r="D76" s="543">
        <v>4</v>
      </c>
      <c r="E76" s="543">
        <v>33</v>
      </c>
      <c r="F76" s="543">
        <v>31</v>
      </c>
      <c r="G76" s="543">
        <v>26</v>
      </c>
      <c r="H76" s="543">
        <v>0</v>
      </c>
      <c r="I76" s="543">
        <v>902</v>
      </c>
      <c r="J76" s="543">
        <v>6</v>
      </c>
      <c r="K76" s="543">
        <v>17</v>
      </c>
      <c r="L76" s="543">
        <v>-351</v>
      </c>
      <c r="M76" s="543">
        <v>-143</v>
      </c>
      <c r="O76" s="543">
        <v>1</v>
      </c>
      <c r="P76" s="543">
        <v>2</v>
      </c>
      <c r="Q76" s="543">
        <f t="shared" si="440"/>
        <v>4</v>
      </c>
      <c r="R76" s="543">
        <v>0</v>
      </c>
      <c r="S76" s="543">
        <v>0</v>
      </c>
      <c r="T76" s="543">
        <v>15</v>
      </c>
      <c r="U76" s="543">
        <f t="shared" si="441"/>
        <v>0</v>
      </c>
      <c r="V76" s="543">
        <v>1</v>
      </c>
      <c r="W76" s="543">
        <v>0</v>
      </c>
      <c r="X76" s="543">
        <v>3</v>
      </c>
      <c r="Y76" s="543">
        <f t="shared" si="442"/>
        <v>4</v>
      </c>
      <c r="Z76" s="543">
        <v>7</v>
      </c>
      <c r="AA76" s="543">
        <v>2</v>
      </c>
      <c r="AB76" s="543">
        <v>20</v>
      </c>
      <c r="AC76" s="543">
        <f t="shared" si="443"/>
        <v>6</v>
      </c>
      <c r="AD76" s="543">
        <v>25</v>
      </c>
      <c r="AE76" s="543">
        <v>0</v>
      </c>
      <c r="AF76" s="543">
        <v>0</v>
      </c>
      <c r="AG76" s="543">
        <f t="shared" si="444"/>
        <v>330</v>
      </c>
      <c r="AH76" s="543">
        <v>-143</v>
      </c>
      <c r="AI76" s="543">
        <v>-161</v>
      </c>
      <c r="AJ76" s="543">
        <v>0</v>
      </c>
      <c r="AK76" s="543">
        <f t="shared" si="445"/>
        <v>0</v>
      </c>
      <c r="AL76" s="543">
        <v>0</v>
      </c>
      <c r="AM76" s="543">
        <v>0</v>
      </c>
      <c r="AN76" s="543">
        <v>0</v>
      </c>
      <c r="AO76" s="543"/>
      <c r="AP76" s="543">
        <v>-1</v>
      </c>
      <c r="AQ76" s="543">
        <v>-24</v>
      </c>
      <c r="AR76" s="543">
        <v>931</v>
      </c>
    </row>
    <row r="77" spans="2:44" s="536" customFormat="1" x14ac:dyDescent="0.25">
      <c r="B77" s="536" t="s">
        <v>741</v>
      </c>
      <c r="C77" s="543">
        <v>0</v>
      </c>
      <c r="D77" s="543">
        <v>0</v>
      </c>
      <c r="E77" s="543">
        <v>14</v>
      </c>
      <c r="F77" s="543">
        <v>11</v>
      </c>
      <c r="G77" s="543">
        <v>10</v>
      </c>
      <c r="H77" s="543">
        <v>0</v>
      </c>
      <c r="I77" s="543">
        <v>0</v>
      </c>
      <c r="J77" s="543">
        <v>168</v>
      </c>
      <c r="K77" s="543">
        <v>0</v>
      </c>
      <c r="L77" s="543">
        <v>59</v>
      </c>
      <c r="M77" s="543">
        <v>0</v>
      </c>
      <c r="O77" s="543">
        <v>0</v>
      </c>
      <c r="P77" s="543">
        <v>0</v>
      </c>
      <c r="Q77" s="543">
        <f t="shared" si="440"/>
        <v>0</v>
      </c>
      <c r="R77" s="543">
        <v>0</v>
      </c>
      <c r="S77" s="543">
        <v>0</v>
      </c>
      <c r="T77" s="543">
        <v>0</v>
      </c>
      <c r="U77" s="543">
        <f t="shared" si="441"/>
        <v>0</v>
      </c>
      <c r="V77" s="543">
        <v>0</v>
      </c>
      <c r="W77" s="543">
        <v>0</v>
      </c>
      <c r="X77" s="543">
        <v>0</v>
      </c>
      <c r="Y77" s="543">
        <f t="shared" si="442"/>
        <v>14</v>
      </c>
      <c r="Z77" s="543">
        <v>0</v>
      </c>
      <c r="AA77" s="543">
        <v>0</v>
      </c>
      <c r="AB77" s="543">
        <v>0</v>
      </c>
      <c r="AC77" s="543">
        <f t="shared" si="443"/>
        <v>10</v>
      </c>
      <c r="AD77" s="543">
        <v>1</v>
      </c>
      <c r="AE77" s="543">
        <v>0</v>
      </c>
      <c r="AF77" s="543">
        <v>0</v>
      </c>
      <c r="AG77" s="543">
        <f t="shared" si="444"/>
        <v>-7</v>
      </c>
      <c r="AH77" s="543">
        <v>0</v>
      </c>
      <c r="AI77" s="543">
        <v>17</v>
      </c>
      <c r="AJ77" s="543">
        <v>0</v>
      </c>
      <c r="AK77" s="543">
        <f t="shared" si="445"/>
        <v>0</v>
      </c>
      <c r="AL77" s="543">
        <v>0</v>
      </c>
      <c r="AM77" s="543">
        <v>0</v>
      </c>
      <c r="AN77" s="543">
        <v>0</v>
      </c>
      <c r="AO77" s="543"/>
      <c r="AP77" s="543">
        <v>0</v>
      </c>
      <c r="AQ77" s="543">
        <v>0</v>
      </c>
      <c r="AR77" s="543">
        <v>0</v>
      </c>
    </row>
    <row r="78" spans="2:44" s="536" customFormat="1" x14ac:dyDescent="0.25">
      <c r="B78" s="536" t="s">
        <v>742</v>
      </c>
      <c r="C78" s="543">
        <v>0</v>
      </c>
      <c r="D78" s="543">
        <v>0</v>
      </c>
      <c r="E78" s="543">
        <v>0</v>
      </c>
      <c r="F78" s="543">
        <v>0</v>
      </c>
      <c r="G78" s="543">
        <v>0</v>
      </c>
      <c r="H78" s="543">
        <v>3</v>
      </c>
      <c r="I78" s="543">
        <v>2</v>
      </c>
      <c r="J78" s="543">
        <v>3</v>
      </c>
      <c r="K78" s="543">
        <v>12</v>
      </c>
      <c r="L78" s="543">
        <v>0</v>
      </c>
      <c r="M78" s="543">
        <v>5</v>
      </c>
      <c r="O78" s="543">
        <v>0</v>
      </c>
      <c r="P78" s="543">
        <v>0</v>
      </c>
      <c r="Q78" s="543">
        <f t="shared" si="440"/>
        <v>0</v>
      </c>
      <c r="R78" s="543">
        <v>0</v>
      </c>
      <c r="S78" s="543">
        <v>0</v>
      </c>
      <c r="T78" s="543">
        <v>0</v>
      </c>
      <c r="U78" s="543">
        <f t="shared" si="441"/>
        <v>0</v>
      </c>
      <c r="V78" s="543">
        <v>0</v>
      </c>
      <c r="W78" s="543">
        <v>0</v>
      </c>
      <c r="X78" s="543">
        <v>0</v>
      </c>
      <c r="Y78" s="543">
        <f t="shared" si="442"/>
        <v>0</v>
      </c>
      <c r="Z78" s="543">
        <v>0</v>
      </c>
      <c r="AA78" s="543">
        <v>0</v>
      </c>
      <c r="AB78" s="543">
        <v>0</v>
      </c>
      <c r="AC78" s="543">
        <f t="shared" si="443"/>
        <v>0</v>
      </c>
      <c r="AD78" s="543">
        <v>0</v>
      </c>
      <c r="AE78" s="543">
        <v>0</v>
      </c>
      <c r="AF78" s="543">
        <v>0</v>
      </c>
      <c r="AG78" s="543">
        <f t="shared" si="444"/>
        <v>-3</v>
      </c>
      <c r="AH78" s="543">
        <v>0</v>
      </c>
      <c r="AI78" s="543">
        <v>2</v>
      </c>
      <c r="AJ78" s="543">
        <v>1</v>
      </c>
      <c r="AK78" s="543">
        <f t="shared" si="445"/>
        <v>2</v>
      </c>
      <c r="AL78" s="543">
        <v>0</v>
      </c>
      <c r="AM78" s="543">
        <v>1</v>
      </c>
      <c r="AN78" s="543">
        <v>0</v>
      </c>
      <c r="AO78" s="543"/>
      <c r="AP78" s="543">
        <v>0</v>
      </c>
      <c r="AQ78" s="543">
        <v>0</v>
      </c>
      <c r="AR78" s="543">
        <v>0</v>
      </c>
    </row>
    <row r="79" spans="2:44" s="536" customFormat="1" ht="15.75" thickBot="1" x14ac:dyDescent="0.3">
      <c r="B79" s="536" t="s">
        <v>249</v>
      </c>
      <c r="C79" s="543">
        <v>1</v>
      </c>
      <c r="D79" s="543">
        <v>1</v>
      </c>
      <c r="E79" s="543">
        <v>0</v>
      </c>
      <c r="F79" s="543">
        <v>0</v>
      </c>
      <c r="G79" s="543">
        <v>0</v>
      </c>
      <c r="H79" s="543">
        <v>50</v>
      </c>
      <c r="I79" s="543">
        <v>2</v>
      </c>
      <c r="J79" s="543">
        <v>12</v>
      </c>
      <c r="K79" s="543">
        <v>1</v>
      </c>
      <c r="L79" s="543">
        <v>364</v>
      </c>
      <c r="M79" s="543">
        <v>-23</v>
      </c>
      <c r="O79" s="543">
        <v>-16</v>
      </c>
      <c r="P79" s="543">
        <v>0</v>
      </c>
      <c r="Q79" s="543">
        <f t="shared" si="440"/>
        <v>-3</v>
      </c>
      <c r="R79" s="543">
        <v>1</v>
      </c>
      <c r="S79" s="543">
        <v>3</v>
      </c>
      <c r="T79" s="543">
        <v>0</v>
      </c>
      <c r="U79" s="543">
        <f t="shared" si="441"/>
        <v>0</v>
      </c>
      <c r="V79" s="543">
        <v>0</v>
      </c>
      <c r="W79" s="543">
        <v>0</v>
      </c>
      <c r="X79" s="543">
        <v>1</v>
      </c>
      <c r="Y79" s="543">
        <f t="shared" si="442"/>
        <v>-14</v>
      </c>
      <c r="Z79" s="543">
        <v>0</v>
      </c>
      <c r="AA79" s="543">
        <v>2</v>
      </c>
      <c r="AB79" s="543">
        <v>12</v>
      </c>
      <c r="AC79" s="543">
        <f t="shared" si="443"/>
        <v>-3</v>
      </c>
      <c r="AD79" s="543">
        <v>0</v>
      </c>
      <c r="AE79" s="543">
        <v>3</v>
      </c>
      <c r="AF79" s="543">
        <v>0</v>
      </c>
      <c r="AG79" s="543">
        <f t="shared" si="444"/>
        <v>-2</v>
      </c>
      <c r="AH79" s="543">
        <v>0</v>
      </c>
      <c r="AI79" s="543">
        <v>2</v>
      </c>
      <c r="AJ79" s="543">
        <v>0</v>
      </c>
      <c r="AK79" s="543">
        <f t="shared" si="445"/>
        <v>14</v>
      </c>
      <c r="AL79" s="543">
        <v>1</v>
      </c>
      <c r="AM79" s="543">
        <v>0</v>
      </c>
      <c r="AN79" s="543">
        <v>35</v>
      </c>
      <c r="AO79" s="543"/>
      <c r="AP79" s="543">
        <v>0</v>
      </c>
      <c r="AQ79" s="543">
        <v>2</v>
      </c>
      <c r="AR79" s="543">
        <v>0</v>
      </c>
    </row>
    <row r="80" spans="2:44" s="536" customFormat="1" ht="15.75" thickTop="1" x14ac:dyDescent="0.25">
      <c r="B80" s="586" t="s">
        <v>663</v>
      </c>
      <c r="C80" s="587">
        <f t="shared" ref="C80" si="446">SUM(C73:C79)</f>
        <v>-711</v>
      </c>
      <c r="D80" s="587">
        <f t="shared" ref="D80:E80" si="447">SUM(D73:D79)</f>
        <v>-863</v>
      </c>
      <c r="E80" s="587">
        <f t="shared" si="447"/>
        <v>-754</v>
      </c>
      <c r="F80" s="587">
        <f t="shared" ref="F80:G80" si="448">SUM(F73:F79)</f>
        <v>-579</v>
      </c>
      <c r="G80" s="587">
        <f t="shared" si="448"/>
        <v>-583</v>
      </c>
      <c r="H80" s="587">
        <f t="shared" ref="H80:M80" si="449">SUM(H73:H79)</f>
        <v>-525</v>
      </c>
      <c r="I80" s="587">
        <f t="shared" si="449"/>
        <v>331</v>
      </c>
      <c r="J80" s="587">
        <f t="shared" si="449"/>
        <v>-333</v>
      </c>
      <c r="K80" s="587">
        <f t="shared" si="449"/>
        <v>-800</v>
      </c>
      <c r="L80" s="587">
        <f t="shared" si="449"/>
        <v>-547</v>
      </c>
      <c r="M80" s="587">
        <f t="shared" si="449"/>
        <v>-996</v>
      </c>
      <c r="O80" s="587">
        <f t="shared" ref="O80" si="450">SUM(O73:O79)</f>
        <v>-216</v>
      </c>
      <c r="P80" s="587">
        <f t="shared" ref="P80" si="451">SUM(P73:P79)</f>
        <v>-195</v>
      </c>
      <c r="Q80" s="587">
        <f t="shared" ref="Q80" si="452">SUM(Q73:Q79)</f>
        <v>-273</v>
      </c>
      <c r="R80" s="587">
        <f t="shared" ref="R80:S80" si="453">SUM(R73:R79)</f>
        <v>-208</v>
      </c>
      <c r="S80" s="587">
        <f t="shared" si="453"/>
        <v>-128</v>
      </c>
      <c r="T80" s="587">
        <f t="shared" ref="T80:U80" si="454">SUM(T73:T79)</f>
        <v>-102</v>
      </c>
      <c r="U80" s="587">
        <f t="shared" si="454"/>
        <v>-265</v>
      </c>
      <c r="V80" s="587">
        <f t="shared" ref="V80" si="455">SUM(V73:V79)</f>
        <v>-189</v>
      </c>
      <c r="W80" s="587">
        <f t="shared" ref="W80:X80" si="456">SUM(W73:W79)</f>
        <v>-205</v>
      </c>
      <c r="X80" s="587">
        <f t="shared" si="456"/>
        <v>-204</v>
      </c>
      <c r="Y80" s="587">
        <f t="shared" ref="Y80:AA80" si="457">SUM(Y73:Y79)</f>
        <v>-207</v>
      </c>
      <c r="Z80" s="587">
        <f t="shared" si="457"/>
        <v>-176</v>
      </c>
      <c r="AA80" s="587">
        <f t="shared" si="457"/>
        <v>-264</v>
      </c>
      <c r="AB80" s="587">
        <f t="shared" ref="AB80" si="458">SUM(AB73:AB79)</f>
        <v>-107</v>
      </c>
      <c r="AC80" s="587">
        <f t="shared" ref="AC80" si="459">SUM(AC73:AC79)</f>
        <v>-22</v>
      </c>
      <c r="AD80" s="587">
        <f t="shared" ref="AD80" si="460">SUM(AD73:AD79)</f>
        <v>-296</v>
      </c>
      <c r="AE80" s="587">
        <f t="shared" ref="AE80:AF80" si="461">SUM(AE73:AE79)</f>
        <v>-58</v>
      </c>
      <c r="AF80" s="587">
        <f t="shared" si="461"/>
        <v>-203</v>
      </c>
      <c r="AG80" s="587">
        <f t="shared" ref="AG80" si="462">SUM(AG73:AG79)</f>
        <v>-163</v>
      </c>
      <c r="AH80" s="587">
        <f t="shared" ref="AH80" si="463">SUM(AH73:AH79)</f>
        <v>-144</v>
      </c>
      <c r="AI80" s="587">
        <f t="shared" ref="AI80:AR80" si="464">SUM(AI73:AI79)</f>
        <v>-123</v>
      </c>
      <c r="AJ80" s="587">
        <f t="shared" si="464"/>
        <v>-153</v>
      </c>
      <c r="AK80" s="587">
        <f t="shared" si="464"/>
        <v>-147</v>
      </c>
      <c r="AL80" s="587">
        <f t="shared" si="464"/>
        <v>-153</v>
      </c>
      <c r="AM80" s="587">
        <f t="shared" si="464"/>
        <v>-143</v>
      </c>
      <c r="AN80" s="587">
        <f t="shared" si="464"/>
        <v>-82</v>
      </c>
      <c r="AO80" s="587">
        <f t="shared" si="464"/>
        <v>0</v>
      </c>
      <c r="AP80" s="587">
        <f t="shared" si="464"/>
        <v>-149</v>
      </c>
      <c r="AQ80" s="587">
        <f t="shared" si="464"/>
        <v>-143</v>
      </c>
      <c r="AR80" s="587">
        <f t="shared" si="464"/>
        <v>814</v>
      </c>
    </row>
    <row r="81" spans="1:45" s="536" customFormat="1" x14ac:dyDescent="0.25">
      <c r="C81" s="543"/>
      <c r="D81" s="543"/>
      <c r="E81" s="543"/>
      <c r="F81" s="543"/>
      <c r="G81" s="543"/>
      <c r="H81" s="543"/>
      <c r="I81" s="543"/>
      <c r="J81" s="543"/>
      <c r="K81" s="543"/>
      <c r="L81" s="543"/>
      <c r="M81" s="543"/>
      <c r="N81" s="543"/>
      <c r="O81" s="543"/>
      <c r="P81" s="543"/>
      <c r="Q81" s="543"/>
      <c r="R81" s="543"/>
      <c r="S81" s="543"/>
      <c r="T81" s="543"/>
      <c r="U81" s="543"/>
      <c r="V81" s="543"/>
      <c r="W81" s="543"/>
      <c r="X81" s="543"/>
      <c r="Y81" s="543"/>
      <c r="Z81" s="543"/>
      <c r="AA81" s="543"/>
      <c r="AB81" s="543"/>
      <c r="AC81" s="543"/>
      <c r="AD81" s="543"/>
      <c r="AE81" s="543"/>
      <c r="AF81" s="543"/>
      <c r="AG81" s="543"/>
      <c r="AH81" s="543"/>
      <c r="AI81" s="543"/>
      <c r="AJ81" s="543"/>
      <c r="AK81" s="543"/>
      <c r="AL81" s="543"/>
      <c r="AM81" s="543"/>
      <c r="AN81" s="543"/>
      <c r="AO81" s="543"/>
      <c r="AP81" s="543"/>
      <c r="AQ81" s="543"/>
      <c r="AR81" s="543"/>
    </row>
    <row r="82" spans="1:45" s="536" customFormat="1" x14ac:dyDescent="0.25">
      <c r="B82" s="536" t="s">
        <v>743</v>
      </c>
      <c r="C82" s="543">
        <v>-251</v>
      </c>
      <c r="D82" s="543">
        <v>-474</v>
      </c>
      <c r="E82" s="543">
        <v>-1166</v>
      </c>
      <c r="F82" s="543">
        <v>-276</v>
      </c>
      <c r="G82" s="543">
        <v>-118</v>
      </c>
      <c r="H82" s="543">
        <v>-273</v>
      </c>
      <c r="I82" s="543">
        <v>-241</v>
      </c>
      <c r="J82" s="543">
        <v>-237</v>
      </c>
      <c r="K82" s="543">
        <v>-162</v>
      </c>
      <c r="L82" s="543">
        <v>-348</v>
      </c>
      <c r="M82" s="543">
        <v>-846</v>
      </c>
      <c r="N82" s="543"/>
      <c r="O82" s="543">
        <v>-55</v>
      </c>
      <c r="P82" s="543">
        <v>-52</v>
      </c>
      <c r="Q82" s="543">
        <f t="shared" ref="Q82:Q86" si="465">C82-R82-S82-T82</f>
        <v>-68</v>
      </c>
      <c r="R82" s="543">
        <v>-63</v>
      </c>
      <c r="S82" s="543">
        <v>-59</v>
      </c>
      <c r="T82" s="543">
        <v>-61</v>
      </c>
      <c r="U82" s="543">
        <f t="shared" ref="U82:U86" si="466">D82-V82-W82-X82</f>
        <v>-68</v>
      </c>
      <c r="V82" s="543">
        <v>-82</v>
      </c>
      <c r="W82" s="543">
        <v>-146</v>
      </c>
      <c r="X82" s="543">
        <v>-178</v>
      </c>
      <c r="Y82" s="543">
        <f t="shared" ref="Y82:Y86" si="467">E82-Z82-AA82-AB82</f>
        <v>-314</v>
      </c>
      <c r="Z82" s="543">
        <v>-376</v>
      </c>
      <c r="AA82" s="543">
        <v>-307</v>
      </c>
      <c r="AB82" s="543">
        <v>-169</v>
      </c>
      <c r="AC82" s="543">
        <f t="shared" ref="AC82:AC86" si="468">F82-AD82-AE82-AF82</f>
        <v>-107</v>
      </c>
      <c r="AD82" s="543">
        <v>-68</v>
      </c>
      <c r="AE82" s="543">
        <v>-67</v>
      </c>
      <c r="AF82" s="543">
        <v>-34</v>
      </c>
      <c r="AG82" s="543">
        <f t="shared" ref="AG82:AG86" si="469">G82-AH82-AI82-AJ82</f>
        <v>-28</v>
      </c>
      <c r="AH82" s="543">
        <f>-35-2</f>
        <v>-37</v>
      </c>
      <c r="AI82" s="543">
        <v>-30</v>
      </c>
      <c r="AJ82" s="543">
        <v>-23</v>
      </c>
      <c r="AK82" s="543">
        <f>H82-AL82-AM82-AN82</f>
        <v>-64</v>
      </c>
      <c r="AL82" s="543">
        <v>-73</v>
      </c>
      <c r="AM82" s="543">
        <v>-75</v>
      </c>
      <c r="AN82" s="543">
        <v>-61</v>
      </c>
      <c r="AO82" s="543"/>
      <c r="AP82" s="543">
        <v>-56</v>
      </c>
      <c r="AQ82" s="543">
        <v>-51</v>
      </c>
      <c r="AR82" s="543">
        <v>-69</v>
      </c>
    </row>
    <row r="83" spans="1:45" s="536" customFormat="1" x14ac:dyDescent="0.25">
      <c r="B83" s="536" t="s">
        <v>744</v>
      </c>
      <c r="C83" s="543">
        <v>889</v>
      </c>
      <c r="D83" s="543">
        <v>633</v>
      </c>
      <c r="E83" s="543">
        <v>1045</v>
      </c>
      <c r="F83" s="543">
        <v>1230</v>
      </c>
      <c r="G83" s="543">
        <v>1175</v>
      </c>
      <c r="H83" s="543">
        <v>657</v>
      </c>
      <c r="I83" s="543">
        <v>1746</v>
      </c>
      <c r="J83" s="543">
        <v>966</v>
      </c>
      <c r="K83" s="543">
        <v>0</v>
      </c>
      <c r="L83" s="543">
        <v>363</v>
      </c>
      <c r="M83" s="543">
        <v>916</v>
      </c>
      <c r="N83" s="543"/>
      <c r="O83" s="543">
        <v>683</v>
      </c>
      <c r="P83" s="543">
        <v>361</v>
      </c>
      <c r="Q83" s="543">
        <f t="shared" si="465"/>
        <v>278</v>
      </c>
      <c r="R83" s="543">
        <v>273</v>
      </c>
      <c r="S83" s="543">
        <v>140</v>
      </c>
      <c r="T83" s="543">
        <v>198</v>
      </c>
      <c r="U83" s="543">
        <f t="shared" si="466"/>
        <v>149</v>
      </c>
      <c r="V83" s="543">
        <v>131</v>
      </c>
      <c r="W83" s="543">
        <v>95</v>
      </c>
      <c r="X83" s="543">
        <v>258</v>
      </c>
      <c r="Y83" s="543">
        <f t="shared" si="467"/>
        <v>311</v>
      </c>
      <c r="Z83" s="543">
        <v>201</v>
      </c>
      <c r="AA83" s="543">
        <v>190</v>
      </c>
      <c r="AB83" s="543">
        <v>343</v>
      </c>
      <c r="AC83" s="543">
        <f t="shared" si="468"/>
        <v>113</v>
      </c>
      <c r="AD83" s="543">
        <v>620</v>
      </c>
      <c r="AE83" s="543">
        <v>187</v>
      </c>
      <c r="AF83" s="543">
        <v>310</v>
      </c>
      <c r="AG83" s="543">
        <f t="shared" si="469"/>
        <v>116</v>
      </c>
      <c r="AH83" s="543">
        <v>182</v>
      </c>
      <c r="AI83" s="543">
        <v>355</v>
      </c>
      <c r="AJ83" s="543">
        <v>522</v>
      </c>
      <c r="AK83" s="543">
        <f>H83-AL83-AM83-AN83</f>
        <v>200</v>
      </c>
      <c r="AL83" s="543">
        <v>50</v>
      </c>
      <c r="AM83" s="543">
        <v>167</v>
      </c>
      <c r="AN83" s="543">
        <v>240</v>
      </c>
      <c r="AO83" s="543"/>
      <c r="AP83" s="543">
        <v>140</v>
      </c>
      <c r="AQ83" s="543">
        <v>918</v>
      </c>
      <c r="AR83" s="543">
        <v>418</v>
      </c>
    </row>
    <row r="84" spans="1:45" s="536" customFormat="1" x14ac:dyDescent="0.25">
      <c r="B84" s="536" t="s">
        <v>745</v>
      </c>
      <c r="C84" s="543">
        <v>-1302</v>
      </c>
      <c r="D84" s="543">
        <v>-836</v>
      </c>
      <c r="E84" s="543">
        <v>-1181</v>
      </c>
      <c r="F84" s="543">
        <v>-1120</v>
      </c>
      <c r="G84" s="543">
        <v>-1133</v>
      </c>
      <c r="H84" s="543">
        <v>-689</v>
      </c>
      <c r="I84" s="543">
        <v>-2115</v>
      </c>
      <c r="J84" s="543">
        <v>-1387</v>
      </c>
      <c r="K84" s="543">
        <v>-87</v>
      </c>
      <c r="L84" s="543">
        <v>0</v>
      </c>
      <c r="M84" s="543">
        <v>0</v>
      </c>
      <c r="N84" s="543"/>
      <c r="O84" s="543">
        <v>-138</v>
      </c>
      <c r="P84" s="543">
        <v>-397</v>
      </c>
      <c r="Q84" s="543">
        <f t="shared" si="465"/>
        <v>-383</v>
      </c>
      <c r="R84" s="543">
        <v>-307</v>
      </c>
      <c r="S84" s="543">
        <f>-226</f>
        <v>-226</v>
      </c>
      <c r="T84" s="543">
        <v>-386</v>
      </c>
      <c r="U84" s="543">
        <f t="shared" si="466"/>
        <v>-183</v>
      </c>
      <c r="V84" s="543">
        <v>-255</v>
      </c>
      <c r="W84" s="543">
        <v>-228</v>
      </c>
      <c r="X84" s="543">
        <v>-170</v>
      </c>
      <c r="Y84" s="543">
        <f t="shared" si="467"/>
        <v>-383</v>
      </c>
      <c r="Z84" s="543">
        <v>-183</v>
      </c>
      <c r="AA84" s="543">
        <v>-259</v>
      </c>
      <c r="AB84" s="543">
        <v>-356</v>
      </c>
      <c r="AC84" s="543">
        <f t="shared" si="468"/>
        <v>-207</v>
      </c>
      <c r="AD84" s="543">
        <v>-458</v>
      </c>
      <c r="AE84" s="543">
        <v>-144</v>
      </c>
      <c r="AF84" s="543">
        <v>-311</v>
      </c>
      <c r="AG84" s="543">
        <f t="shared" si="469"/>
        <v>-207</v>
      </c>
      <c r="AH84" s="543">
        <v>-375</v>
      </c>
      <c r="AI84" s="543">
        <v>-408</v>
      </c>
      <c r="AJ84" s="543">
        <v>-143</v>
      </c>
      <c r="AK84" s="543">
        <f>H84-AL84-AM84-AN84</f>
        <v>-139</v>
      </c>
      <c r="AL84" s="543">
        <v>-138</v>
      </c>
      <c r="AM84" s="543">
        <v>-142</v>
      </c>
      <c r="AN84" s="543">
        <v>-270</v>
      </c>
      <c r="AO84" s="543"/>
      <c r="AP84" s="543">
        <v>-241</v>
      </c>
      <c r="AQ84" s="543">
        <v>-1498</v>
      </c>
      <c r="AR84" s="543">
        <v>-250</v>
      </c>
    </row>
    <row r="85" spans="1:45" s="536" customFormat="1" x14ac:dyDescent="0.25">
      <c r="B85" s="536" t="s">
        <v>746</v>
      </c>
      <c r="C85" s="543">
        <v>-1</v>
      </c>
      <c r="D85" s="543">
        <v>-25</v>
      </c>
      <c r="E85" s="543">
        <v>-21</v>
      </c>
      <c r="F85" s="543">
        <v>-58</v>
      </c>
      <c r="G85" s="543">
        <v>-52</v>
      </c>
      <c r="H85" s="543">
        <v>-183</v>
      </c>
      <c r="I85" s="543">
        <v>-283</v>
      </c>
      <c r="J85" s="543">
        <v>147</v>
      </c>
      <c r="K85" s="543">
        <v>14</v>
      </c>
      <c r="L85" s="543">
        <v>0</v>
      </c>
      <c r="M85" s="543">
        <v>0</v>
      </c>
      <c r="N85" s="543"/>
      <c r="O85" s="543">
        <v>-206</v>
      </c>
      <c r="P85" s="543">
        <v>109</v>
      </c>
      <c r="Q85" s="543">
        <f t="shared" si="465"/>
        <v>-8</v>
      </c>
      <c r="R85" s="543">
        <v>8</v>
      </c>
      <c r="S85" s="543">
        <v>-18</v>
      </c>
      <c r="T85" s="543">
        <v>17</v>
      </c>
      <c r="U85" s="543">
        <f t="shared" si="466"/>
        <v>64</v>
      </c>
      <c r="V85" s="543">
        <v>-72</v>
      </c>
      <c r="W85" s="543">
        <v>-54</v>
      </c>
      <c r="X85" s="543">
        <v>37</v>
      </c>
      <c r="Y85" s="543">
        <f t="shared" si="467"/>
        <v>30</v>
      </c>
      <c r="Z85" s="543">
        <v>21</v>
      </c>
      <c r="AA85" s="543">
        <v>25</v>
      </c>
      <c r="AB85" s="543">
        <v>-97</v>
      </c>
      <c r="AC85" s="543">
        <f t="shared" si="468"/>
        <v>50</v>
      </c>
      <c r="AD85" s="543">
        <v>-92</v>
      </c>
      <c r="AE85" s="543">
        <v>25</v>
      </c>
      <c r="AF85" s="543">
        <v>-41</v>
      </c>
      <c r="AG85" s="543">
        <f t="shared" si="469"/>
        <v>-5</v>
      </c>
      <c r="AH85" s="543">
        <v>61</v>
      </c>
      <c r="AI85" s="543">
        <v>-99</v>
      </c>
      <c r="AJ85" s="543">
        <v>-9</v>
      </c>
      <c r="AK85" s="543">
        <f>H85-AL85-AM85-AN85</f>
        <v>-63</v>
      </c>
      <c r="AL85" s="543">
        <v>-90</v>
      </c>
      <c r="AM85" s="543">
        <v>-12</v>
      </c>
      <c r="AN85" s="543">
        <v>-18</v>
      </c>
      <c r="AO85" s="543"/>
      <c r="AP85" s="543">
        <v>64</v>
      </c>
      <c r="AQ85" s="543">
        <v>-19</v>
      </c>
      <c r="AR85" s="543">
        <v>-238</v>
      </c>
      <c r="AS85" s="543"/>
    </row>
    <row r="86" spans="1:45" s="536" customFormat="1" ht="15.75" thickBot="1" x14ac:dyDescent="0.3">
      <c r="B86" s="536" t="s">
        <v>83</v>
      </c>
      <c r="C86" s="543">
        <f>-2-57</f>
        <v>-59</v>
      </c>
      <c r="D86" s="543">
        <f>5-15</f>
        <v>-10</v>
      </c>
      <c r="E86" s="543">
        <v>20</v>
      </c>
      <c r="F86" s="543">
        <f>-17-3</f>
        <v>-20</v>
      </c>
      <c r="G86" s="543">
        <f>24-1</f>
        <v>23</v>
      </c>
      <c r="H86" s="543">
        <v>-2</v>
      </c>
      <c r="I86" s="543">
        <v>-1</v>
      </c>
      <c r="J86" s="543">
        <v>0</v>
      </c>
      <c r="K86" s="543">
        <v>-4</v>
      </c>
      <c r="L86" s="543">
        <v>0</v>
      </c>
      <c r="M86" s="543">
        <v>0</v>
      </c>
      <c r="N86" s="543"/>
      <c r="O86" s="543">
        <f>-2-42</f>
        <v>-44</v>
      </c>
      <c r="P86" s="543">
        <v>0</v>
      </c>
      <c r="Q86" s="543">
        <f t="shared" si="465"/>
        <v>-3</v>
      </c>
      <c r="R86" s="543">
        <v>-2</v>
      </c>
      <c r="S86" s="543">
        <v>-57</v>
      </c>
      <c r="T86" s="543">
        <v>3</v>
      </c>
      <c r="U86" s="543">
        <f t="shared" si="466"/>
        <v>-1</v>
      </c>
      <c r="V86" s="543">
        <v>0</v>
      </c>
      <c r="W86" s="543">
        <v>-15</v>
      </c>
      <c r="X86" s="543">
        <v>6</v>
      </c>
      <c r="Y86" s="543">
        <f t="shared" si="467"/>
        <v>1</v>
      </c>
      <c r="Z86" s="543">
        <v>0</v>
      </c>
      <c r="AA86" s="543">
        <v>0</v>
      </c>
      <c r="AB86" s="543">
        <v>19</v>
      </c>
      <c r="AC86" s="543">
        <f t="shared" si="468"/>
        <v>-2</v>
      </c>
      <c r="AD86" s="543">
        <v>0</v>
      </c>
      <c r="AE86" s="543">
        <v>-32</v>
      </c>
      <c r="AF86" s="543">
        <v>14</v>
      </c>
      <c r="AG86" s="543">
        <f t="shared" si="469"/>
        <v>25</v>
      </c>
      <c r="AH86" s="543">
        <v>0</v>
      </c>
      <c r="AI86" s="543">
        <f>14</f>
        <v>14</v>
      </c>
      <c r="AJ86" s="543">
        <f>-16</f>
        <v>-16</v>
      </c>
      <c r="AK86" s="543">
        <f>H86-AL86-AM86-AN86</f>
        <v>0</v>
      </c>
      <c r="AL86" s="543">
        <v>-2</v>
      </c>
      <c r="AM86" s="543">
        <v>0</v>
      </c>
      <c r="AN86" s="543">
        <v>0</v>
      </c>
      <c r="AO86" s="543"/>
      <c r="AP86" s="543">
        <v>0</v>
      </c>
      <c r="AQ86" s="543">
        <v>0</v>
      </c>
      <c r="AR86" s="543">
        <v>0</v>
      </c>
      <c r="AS86" s="543"/>
    </row>
    <row r="87" spans="1:45" s="536" customFormat="1" ht="15.75" thickTop="1" x14ac:dyDescent="0.25">
      <c r="B87" s="586" t="s">
        <v>664</v>
      </c>
      <c r="C87" s="587">
        <f t="shared" ref="C87" si="470">SUM(C82:C86)</f>
        <v>-724</v>
      </c>
      <c r="D87" s="587">
        <f t="shared" ref="D87:E87" si="471">SUM(D82:D86)</f>
        <v>-712</v>
      </c>
      <c r="E87" s="587">
        <f t="shared" si="471"/>
        <v>-1303</v>
      </c>
      <c r="F87" s="587">
        <f t="shared" ref="F87:G87" si="472">SUM(F82:F86)</f>
        <v>-244</v>
      </c>
      <c r="G87" s="587">
        <f t="shared" si="472"/>
        <v>-105</v>
      </c>
      <c r="H87" s="587">
        <f t="shared" ref="H87:M87" si="473">SUM(H82:H86)</f>
        <v>-490</v>
      </c>
      <c r="I87" s="587">
        <f t="shared" si="473"/>
        <v>-894</v>
      </c>
      <c r="J87" s="587">
        <f t="shared" si="473"/>
        <v>-511</v>
      </c>
      <c r="K87" s="587">
        <f t="shared" si="473"/>
        <v>-239</v>
      </c>
      <c r="L87" s="587">
        <f t="shared" si="473"/>
        <v>15</v>
      </c>
      <c r="M87" s="587">
        <f t="shared" si="473"/>
        <v>70</v>
      </c>
      <c r="O87" s="587">
        <f t="shared" ref="O87" si="474">SUM(O82:O86)</f>
        <v>240</v>
      </c>
      <c r="P87" s="587">
        <f t="shared" ref="P87" si="475">SUM(P82:P86)</f>
        <v>21</v>
      </c>
      <c r="Q87" s="587">
        <f t="shared" ref="Q87" si="476">SUM(Q82:Q86)</f>
        <v>-184</v>
      </c>
      <c r="R87" s="587">
        <f t="shared" ref="R87:S87" si="477">SUM(R82:R86)</f>
        <v>-91</v>
      </c>
      <c r="S87" s="587">
        <f t="shared" si="477"/>
        <v>-220</v>
      </c>
      <c r="T87" s="587">
        <f t="shared" ref="T87:U87" si="478">SUM(T82:T86)</f>
        <v>-229</v>
      </c>
      <c r="U87" s="587">
        <f t="shared" si="478"/>
        <v>-39</v>
      </c>
      <c r="V87" s="587">
        <f t="shared" ref="V87" si="479">SUM(V82:V86)</f>
        <v>-278</v>
      </c>
      <c r="W87" s="587">
        <f t="shared" ref="W87:X87" si="480">SUM(W82:W86)</f>
        <v>-348</v>
      </c>
      <c r="X87" s="587">
        <f t="shared" si="480"/>
        <v>-47</v>
      </c>
      <c r="Y87" s="587">
        <f t="shared" ref="Y87:AA87" si="481">SUM(Y82:Y86)</f>
        <v>-355</v>
      </c>
      <c r="Z87" s="587">
        <f t="shared" si="481"/>
        <v>-337</v>
      </c>
      <c r="AA87" s="587">
        <f t="shared" si="481"/>
        <v>-351</v>
      </c>
      <c r="AB87" s="587">
        <f t="shared" ref="AB87" si="482">SUM(AB82:AB86)</f>
        <v>-260</v>
      </c>
      <c r="AC87" s="587">
        <f t="shared" ref="AC87" si="483">SUM(AC82:AC86)</f>
        <v>-153</v>
      </c>
      <c r="AD87" s="587">
        <f t="shared" ref="AD87" si="484">SUM(AD82:AD86)</f>
        <v>2</v>
      </c>
      <c r="AE87" s="587">
        <f t="shared" ref="AE87:AF87" si="485">SUM(AE82:AE86)</f>
        <v>-31</v>
      </c>
      <c r="AF87" s="587">
        <f t="shared" si="485"/>
        <v>-62</v>
      </c>
      <c r="AG87" s="587">
        <f t="shared" ref="AG87" si="486">SUM(AG82:AG86)</f>
        <v>-99</v>
      </c>
      <c r="AH87" s="587">
        <f t="shared" ref="AH87" si="487">SUM(AH82:AH86)</f>
        <v>-169</v>
      </c>
      <c r="AI87" s="587">
        <f t="shared" ref="AI87:AR87" si="488">SUM(AI82:AI86)</f>
        <v>-168</v>
      </c>
      <c r="AJ87" s="587">
        <f t="shared" si="488"/>
        <v>331</v>
      </c>
      <c r="AK87" s="587">
        <f t="shared" si="488"/>
        <v>-66</v>
      </c>
      <c r="AL87" s="587">
        <f t="shared" si="488"/>
        <v>-253</v>
      </c>
      <c r="AM87" s="587">
        <f t="shared" si="488"/>
        <v>-62</v>
      </c>
      <c r="AN87" s="587">
        <f t="shared" si="488"/>
        <v>-109</v>
      </c>
      <c r="AO87" s="587">
        <f t="shared" si="488"/>
        <v>0</v>
      </c>
      <c r="AP87" s="587">
        <f t="shared" si="488"/>
        <v>-93</v>
      </c>
      <c r="AQ87" s="587">
        <f t="shared" si="488"/>
        <v>-650</v>
      </c>
      <c r="AR87" s="587">
        <f t="shared" si="488"/>
        <v>-139</v>
      </c>
      <c r="AS87" s="543"/>
    </row>
    <row r="88" spans="1:45" s="536" customFormat="1" x14ac:dyDescent="0.25">
      <c r="C88" s="538"/>
      <c r="D88" s="538"/>
      <c r="E88" s="538"/>
      <c r="F88" s="538"/>
      <c r="G88" s="538"/>
      <c r="H88" s="538"/>
      <c r="I88" s="538"/>
      <c r="J88" s="538"/>
      <c r="K88" s="538"/>
      <c r="L88" s="538"/>
      <c r="M88" s="538"/>
      <c r="O88" s="538"/>
      <c r="P88" s="538"/>
      <c r="Q88" s="538"/>
      <c r="R88" s="538"/>
      <c r="S88" s="538"/>
      <c r="T88" s="538"/>
      <c r="U88" s="538"/>
      <c r="V88" s="538"/>
      <c r="W88" s="538"/>
      <c r="X88" s="538"/>
      <c r="Y88" s="538"/>
      <c r="Z88" s="538"/>
      <c r="AA88" s="538"/>
      <c r="AB88" s="538"/>
      <c r="AC88" s="538"/>
      <c r="AD88" s="538"/>
      <c r="AE88" s="538"/>
      <c r="AF88" s="538"/>
      <c r="AG88" s="538"/>
      <c r="AH88" s="538"/>
      <c r="AI88" s="538"/>
      <c r="AJ88" s="538"/>
      <c r="AK88" s="538"/>
      <c r="AL88" s="538"/>
      <c r="AM88" s="538"/>
      <c r="AN88" s="538"/>
      <c r="AO88" s="538"/>
      <c r="AP88" s="538"/>
      <c r="AQ88" s="538"/>
      <c r="AR88" s="538"/>
    </row>
    <row r="89" spans="1:45" s="536" customFormat="1" x14ac:dyDescent="0.25">
      <c r="B89" s="547" t="s">
        <v>665</v>
      </c>
      <c r="C89" s="548">
        <f t="shared" ref="C89:F89" si="489">D95</f>
        <v>420</v>
      </c>
      <c r="D89" s="548">
        <f t="shared" si="489"/>
        <v>417</v>
      </c>
      <c r="E89" s="548">
        <f t="shared" si="489"/>
        <v>473</v>
      </c>
      <c r="F89" s="548">
        <f t="shared" si="489"/>
        <v>214</v>
      </c>
      <c r="G89" s="548">
        <v>95</v>
      </c>
      <c r="H89" s="548">
        <v>121</v>
      </c>
      <c r="I89" s="548">
        <v>83</v>
      </c>
      <c r="J89" s="548">
        <f>191-104</f>
        <v>87</v>
      </c>
      <c r="K89" s="548">
        <v>161</v>
      </c>
      <c r="L89" s="548">
        <v>138</v>
      </c>
      <c r="M89" s="548">
        <v>188</v>
      </c>
      <c r="N89" s="548"/>
      <c r="O89" s="548">
        <f t="shared" ref="O89" si="490">P95</f>
        <v>312</v>
      </c>
      <c r="P89" s="548">
        <f t="shared" ref="P89" si="491">Q95</f>
        <v>327</v>
      </c>
      <c r="Q89" s="548">
        <f t="shared" ref="Q89" si="492">R95</f>
        <v>393</v>
      </c>
      <c r="R89" s="548">
        <f t="shared" ref="R89:S89" si="493">S95</f>
        <v>287</v>
      </c>
      <c r="S89" s="548">
        <f t="shared" si="493"/>
        <v>363</v>
      </c>
      <c r="T89" s="548">
        <f t="shared" ref="T89" si="494">U95</f>
        <v>420</v>
      </c>
      <c r="U89" s="548">
        <f t="shared" ref="U89" si="495">V95</f>
        <v>307</v>
      </c>
      <c r="V89" s="548">
        <f t="shared" ref="V89:X89" si="496">W95</f>
        <v>372</v>
      </c>
      <c r="W89" s="548">
        <f t="shared" si="496"/>
        <v>552</v>
      </c>
      <c r="X89" s="548">
        <f t="shared" si="496"/>
        <v>417</v>
      </c>
      <c r="Y89" s="548">
        <f t="shared" ref="Y89" si="497">Z95</f>
        <v>498</v>
      </c>
      <c r="Z89" s="548">
        <f t="shared" ref="Z89" si="498">AA95</f>
        <v>426</v>
      </c>
      <c r="AA89" s="548">
        <f t="shared" ref="AA89" si="499">AB95</f>
        <v>439</v>
      </c>
      <c r="AB89" s="548">
        <f t="shared" ref="AB89" si="500">AC95</f>
        <v>473</v>
      </c>
      <c r="AC89" s="548">
        <f t="shared" ref="AC89:AI89" si="501">AD95</f>
        <v>301</v>
      </c>
      <c r="AD89" s="548">
        <f t="shared" si="501"/>
        <v>318</v>
      </c>
      <c r="AE89" s="548">
        <f t="shared" si="501"/>
        <v>157</v>
      </c>
      <c r="AF89" s="548">
        <f t="shared" si="501"/>
        <v>214</v>
      </c>
      <c r="AG89" s="548">
        <f t="shared" si="501"/>
        <v>216</v>
      </c>
      <c r="AH89" s="548">
        <f t="shared" si="501"/>
        <v>323</v>
      </c>
      <c r="AI89" s="548">
        <f t="shared" si="501"/>
        <v>434</v>
      </c>
      <c r="AJ89" s="548">
        <v>95</v>
      </c>
      <c r="AK89" s="548">
        <f>AL95</f>
        <v>96</v>
      </c>
      <c r="AL89" s="548">
        <v>137</v>
      </c>
      <c r="AM89" s="548">
        <v>103</v>
      </c>
      <c r="AN89" s="548">
        <v>121</v>
      </c>
      <c r="AO89" s="548">
        <f>AP95</f>
        <v>102</v>
      </c>
      <c r="AP89" s="548">
        <v>155</v>
      </c>
      <c r="AQ89" s="548">
        <v>798</v>
      </c>
      <c r="AR89" s="548">
        <v>88</v>
      </c>
    </row>
    <row r="90" spans="1:45" s="536" customFormat="1" x14ac:dyDescent="0.25">
      <c r="C90" s="543"/>
      <c r="D90" s="543"/>
      <c r="E90" s="543"/>
      <c r="F90" s="543"/>
      <c r="G90" s="543"/>
      <c r="H90" s="543"/>
      <c r="I90" s="543"/>
      <c r="J90" s="543"/>
      <c r="K90" s="543"/>
      <c r="L90" s="543"/>
      <c r="M90" s="543"/>
      <c r="N90" s="543"/>
      <c r="O90" s="543"/>
      <c r="P90" s="543"/>
      <c r="Q90" s="543"/>
      <c r="R90" s="543"/>
      <c r="S90" s="543"/>
      <c r="T90" s="543"/>
      <c r="U90" s="543"/>
      <c r="V90" s="543"/>
      <c r="W90" s="543"/>
      <c r="X90" s="543"/>
      <c r="Y90" s="543"/>
      <c r="Z90" s="543"/>
      <c r="AA90" s="543"/>
      <c r="AB90" s="543"/>
      <c r="AC90" s="543"/>
      <c r="AD90" s="543"/>
      <c r="AE90" s="543"/>
      <c r="AF90" s="543"/>
      <c r="AG90" s="543"/>
      <c r="AH90" s="543"/>
      <c r="AI90" s="543"/>
      <c r="AJ90" s="543"/>
      <c r="AK90" s="543"/>
      <c r="AL90" s="543"/>
      <c r="AM90" s="543"/>
      <c r="AN90" s="543"/>
      <c r="AO90" s="543"/>
      <c r="AP90" s="543"/>
      <c r="AQ90" s="543"/>
      <c r="AR90" s="543"/>
    </row>
    <row r="91" spans="1:45" s="536" customFormat="1" x14ac:dyDescent="0.25">
      <c r="B91" s="536" t="s">
        <v>666</v>
      </c>
      <c r="C91" s="543">
        <f t="shared" ref="C91" si="502">C71+C80+C87</f>
        <v>-72</v>
      </c>
      <c r="D91" s="543">
        <f t="shared" ref="D91:E91" si="503">D71+D80+D87</f>
        <v>20</v>
      </c>
      <c r="E91" s="543">
        <f t="shared" si="503"/>
        <v>-32</v>
      </c>
      <c r="F91" s="543">
        <f t="shared" ref="F91:G91" si="504">F71+F80+F87</f>
        <v>242</v>
      </c>
      <c r="G91" s="543">
        <f t="shared" si="504"/>
        <v>116</v>
      </c>
      <c r="H91" s="543">
        <f t="shared" ref="H91:M91" si="505">H71+H80+H87</f>
        <v>-23</v>
      </c>
      <c r="I91" s="543">
        <f t="shared" si="505"/>
        <v>57</v>
      </c>
      <c r="J91" s="543">
        <f t="shared" si="505"/>
        <v>3</v>
      </c>
      <c r="K91" s="543">
        <f t="shared" si="505"/>
        <v>-73</v>
      </c>
      <c r="L91" s="543">
        <f t="shared" si="505"/>
        <v>41</v>
      </c>
      <c r="M91" s="543">
        <f t="shared" si="505"/>
        <v>-33</v>
      </c>
      <c r="N91" s="543"/>
      <c r="O91" s="543">
        <f t="shared" ref="O91" si="506">O71+O80+O87</f>
        <v>255</v>
      </c>
      <c r="P91" s="543">
        <f t="shared" ref="P91" si="507">P71+P80+P87</f>
        <v>-22</v>
      </c>
      <c r="Q91" s="543">
        <f t="shared" ref="Q91" si="508">Q71+Q80+Q87</f>
        <v>-45</v>
      </c>
      <c r="R91" s="543">
        <f t="shared" ref="R91:S91" si="509">R71+R80+R87</f>
        <v>97</v>
      </c>
      <c r="S91" s="543">
        <f t="shared" si="509"/>
        <v>-72</v>
      </c>
      <c r="T91" s="543">
        <f t="shared" ref="T91:U91" si="510">T71+T80+T87</f>
        <v>-52</v>
      </c>
      <c r="U91" s="543">
        <f t="shared" si="510"/>
        <v>111</v>
      </c>
      <c r="V91" s="543">
        <f t="shared" ref="V91" si="511">V71+V80+V87</f>
        <v>-60</v>
      </c>
      <c r="W91" s="543">
        <f t="shared" ref="W91:X91" si="512">W71+W80+W87</f>
        <v>-162</v>
      </c>
      <c r="X91" s="543">
        <f t="shared" si="512"/>
        <v>131</v>
      </c>
      <c r="Y91" s="543">
        <f t="shared" ref="Y91:AA91" si="513">Y71+Y80+Y87</f>
        <v>-95</v>
      </c>
      <c r="Z91" s="543">
        <f t="shared" si="513"/>
        <v>93</v>
      </c>
      <c r="AA91" s="543">
        <f t="shared" si="513"/>
        <v>12</v>
      </c>
      <c r="AB91" s="543">
        <f t="shared" ref="AB91" si="514">AB71+AB80+AB87</f>
        <v>-42</v>
      </c>
      <c r="AC91" s="543">
        <f t="shared" ref="AC91" si="515">AC71+AC80+AC87</f>
        <v>169</v>
      </c>
      <c r="AD91" s="543">
        <f t="shared" ref="AD91" si="516">AD71+AD80+AD87</f>
        <v>-21</v>
      </c>
      <c r="AE91" s="543">
        <f t="shared" ref="AE91:AF91" si="517">AE71+AE80+AE87</f>
        <v>153</v>
      </c>
      <c r="AF91" s="543">
        <f t="shared" si="517"/>
        <v>-59</v>
      </c>
      <c r="AG91" s="543">
        <f t="shared" ref="AG91" si="518">AG71+AG80+AG87</f>
        <v>-4</v>
      </c>
      <c r="AH91" s="543">
        <f t="shared" ref="AH91" si="519">AH71+AH80+AH87</f>
        <v>-110</v>
      </c>
      <c r="AI91" s="543">
        <f t="shared" ref="AI91:AR91" si="520">AI71+AI80+AI87</f>
        <v>-114</v>
      </c>
      <c r="AJ91" s="543">
        <f t="shared" si="520"/>
        <v>344</v>
      </c>
      <c r="AK91" s="543">
        <f t="shared" si="520"/>
        <v>255</v>
      </c>
      <c r="AL91" s="543">
        <f t="shared" si="520"/>
        <v>-38</v>
      </c>
      <c r="AM91" s="543">
        <f t="shared" si="520"/>
        <v>34</v>
      </c>
      <c r="AN91" s="543">
        <f t="shared" si="520"/>
        <v>-18</v>
      </c>
      <c r="AO91" s="543">
        <f t="shared" si="520"/>
        <v>81</v>
      </c>
      <c r="AP91" s="543">
        <f t="shared" si="520"/>
        <v>-46</v>
      </c>
      <c r="AQ91" s="543">
        <f t="shared" si="520"/>
        <v>-629</v>
      </c>
      <c r="AR91" s="543">
        <f t="shared" si="520"/>
        <v>711</v>
      </c>
    </row>
    <row r="92" spans="1:45" s="536" customFormat="1" x14ac:dyDescent="0.25">
      <c r="B92" s="536" t="s">
        <v>667</v>
      </c>
      <c r="C92" s="543">
        <v>-21</v>
      </c>
      <c r="D92" s="543">
        <v>-17</v>
      </c>
      <c r="E92" s="543">
        <v>-24</v>
      </c>
      <c r="F92" s="543">
        <v>17</v>
      </c>
      <c r="G92" s="543">
        <v>3</v>
      </c>
      <c r="H92" s="543">
        <v>-3</v>
      </c>
      <c r="I92" s="543">
        <v>-24</v>
      </c>
      <c r="J92" s="543">
        <v>-2</v>
      </c>
      <c r="K92" s="543">
        <v>-1</v>
      </c>
      <c r="L92" s="543">
        <v>-18</v>
      </c>
      <c r="M92" s="543">
        <v>-16</v>
      </c>
      <c r="N92" s="543"/>
      <c r="O92" s="543">
        <v>15</v>
      </c>
      <c r="P92" s="543">
        <v>7</v>
      </c>
      <c r="Q92" s="543">
        <f t="shared" ref="Q92" si="521">C92-R92-S92-T92</f>
        <v>-21</v>
      </c>
      <c r="R92" s="543">
        <v>9</v>
      </c>
      <c r="S92" s="543">
        <v>-4</v>
      </c>
      <c r="T92" s="543">
        <v>-5</v>
      </c>
      <c r="U92" s="543">
        <f>D92-V92-W92-X92</f>
        <v>2</v>
      </c>
      <c r="V92" s="543">
        <v>-5</v>
      </c>
      <c r="W92" s="543">
        <v>-18</v>
      </c>
      <c r="X92" s="543">
        <v>4</v>
      </c>
      <c r="Y92" s="543">
        <f>E92-Z92-AA92-AB92</f>
        <v>14</v>
      </c>
      <c r="Z92" s="543">
        <v>-21</v>
      </c>
      <c r="AA92" s="543">
        <v>-25</v>
      </c>
      <c r="AB92" s="543">
        <v>8</v>
      </c>
      <c r="AC92" s="543">
        <f>F92-AD92-AE92-AF92</f>
        <v>3</v>
      </c>
      <c r="AD92" s="543">
        <v>4</v>
      </c>
      <c r="AE92" s="543">
        <v>8</v>
      </c>
      <c r="AF92" s="543">
        <v>2</v>
      </c>
      <c r="AG92" s="543">
        <f t="shared" ref="AG92" si="522">G92-AH92-AI92-AJ92</f>
        <v>2</v>
      </c>
      <c r="AH92" s="543">
        <v>3</v>
      </c>
      <c r="AI92" s="543">
        <v>3</v>
      </c>
      <c r="AJ92" s="543">
        <v>-5</v>
      </c>
      <c r="AK92" s="543">
        <f>H92-AL92-AM92-AN92</f>
        <v>0</v>
      </c>
      <c r="AL92" s="543">
        <v>-3</v>
      </c>
      <c r="AM92" s="543">
        <v>0</v>
      </c>
      <c r="AN92" s="543">
        <v>0</v>
      </c>
      <c r="AO92" s="543"/>
      <c r="AP92" s="543">
        <v>-7</v>
      </c>
      <c r="AQ92" s="543">
        <v>-14</v>
      </c>
      <c r="AR92" s="543">
        <v>-1</v>
      </c>
    </row>
    <row r="93" spans="1:45" s="536" customFormat="1" ht="30" x14ac:dyDescent="0.25">
      <c r="B93" s="618" t="s">
        <v>747</v>
      </c>
      <c r="C93" s="543">
        <v>0</v>
      </c>
      <c r="D93" s="543">
        <v>0</v>
      </c>
      <c r="E93" s="543">
        <v>0</v>
      </c>
      <c r="F93" s="543">
        <v>0</v>
      </c>
      <c r="G93" s="543">
        <v>0</v>
      </c>
      <c r="H93" s="543">
        <v>0</v>
      </c>
      <c r="I93" s="543">
        <v>5</v>
      </c>
      <c r="J93" s="543">
        <v>-5</v>
      </c>
      <c r="K93" s="543">
        <v>0</v>
      </c>
      <c r="L93" s="543">
        <v>0</v>
      </c>
      <c r="M93" s="543">
        <v>-8</v>
      </c>
      <c r="N93" s="543"/>
      <c r="O93" s="543">
        <v>0</v>
      </c>
      <c r="P93" s="543">
        <v>0</v>
      </c>
      <c r="Q93" s="543"/>
      <c r="R93" s="543">
        <v>0</v>
      </c>
      <c r="S93" s="543">
        <v>0</v>
      </c>
      <c r="T93" s="543">
        <v>0</v>
      </c>
      <c r="U93" s="543"/>
      <c r="V93" s="543">
        <v>0</v>
      </c>
      <c r="W93" s="543">
        <v>0</v>
      </c>
      <c r="X93" s="543">
        <v>0</v>
      </c>
      <c r="Y93" s="543"/>
      <c r="Z93" s="543">
        <v>0</v>
      </c>
      <c r="AA93" s="543">
        <v>0</v>
      </c>
      <c r="AB93" s="543">
        <v>0</v>
      </c>
      <c r="AC93" s="543"/>
      <c r="AD93" s="543">
        <v>0</v>
      </c>
      <c r="AE93" s="543">
        <v>0</v>
      </c>
      <c r="AF93" s="543">
        <v>0</v>
      </c>
      <c r="AG93" s="543"/>
      <c r="AH93" s="543">
        <v>0</v>
      </c>
      <c r="AI93" s="543">
        <v>0</v>
      </c>
      <c r="AJ93" s="543">
        <v>0</v>
      </c>
      <c r="AK93" s="543"/>
      <c r="AL93" s="543"/>
      <c r="AM93" s="543"/>
      <c r="AN93" s="543"/>
      <c r="AO93" s="543"/>
      <c r="AP93" s="543"/>
      <c r="AQ93" s="543"/>
      <c r="AR93" s="543"/>
    </row>
    <row r="94" spans="1:45" s="536" customFormat="1" x14ac:dyDescent="0.25">
      <c r="C94" s="543"/>
      <c r="D94" s="543"/>
      <c r="E94" s="543"/>
      <c r="F94" s="543"/>
      <c r="G94" s="543"/>
      <c r="H94" s="543"/>
      <c r="I94" s="543"/>
      <c r="J94" s="543"/>
      <c r="K94" s="543"/>
      <c r="L94" s="543"/>
      <c r="M94" s="543"/>
      <c r="N94" s="543"/>
      <c r="O94" s="543"/>
      <c r="P94" s="543"/>
      <c r="Q94" s="543"/>
      <c r="R94" s="543"/>
      <c r="S94" s="543"/>
      <c r="T94" s="543"/>
      <c r="U94" s="543"/>
      <c r="V94" s="543"/>
      <c r="W94" s="543"/>
      <c r="X94" s="543"/>
      <c r="Y94" s="543"/>
      <c r="Z94" s="543"/>
      <c r="AA94" s="543"/>
      <c r="AB94" s="543"/>
      <c r="AC94" s="543"/>
      <c r="AD94" s="543"/>
      <c r="AE94" s="543"/>
      <c r="AF94" s="543"/>
      <c r="AG94" s="543"/>
      <c r="AH94" s="543"/>
      <c r="AI94" s="543"/>
      <c r="AJ94" s="543"/>
      <c r="AK94" s="543"/>
      <c r="AL94" s="543"/>
      <c r="AM94" s="543"/>
      <c r="AN94" s="543"/>
      <c r="AO94" s="543"/>
      <c r="AP94" s="543"/>
      <c r="AQ94" s="543"/>
      <c r="AR94" s="543"/>
    </row>
    <row r="95" spans="1:45" s="536" customFormat="1" x14ac:dyDescent="0.25">
      <c r="B95" s="547" t="s">
        <v>668</v>
      </c>
      <c r="C95" s="548">
        <f t="shared" ref="C95:H95" si="523">C89+C91+C92+C93</f>
        <v>327</v>
      </c>
      <c r="D95" s="548">
        <f t="shared" si="523"/>
        <v>420</v>
      </c>
      <c r="E95" s="548">
        <f t="shared" si="523"/>
        <v>417</v>
      </c>
      <c r="F95" s="548">
        <f t="shared" si="523"/>
        <v>473</v>
      </c>
      <c r="G95" s="548">
        <f t="shared" si="523"/>
        <v>214</v>
      </c>
      <c r="H95" s="548">
        <f t="shared" si="523"/>
        <v>95</v>
      </c>
      <c r="I95" s="548">
        <f t="shared" ref="I95:AR95" si="524">I89+I91+I92+I93</f>
        <v>121</v>
      </c>
      <c r="J95" s="548">
        <f t="shared" si="524"/>
        <v>83</v>
      </c>
      <c r="K95" s="548">
        <f t="shared" si="524"/>
        <v>87</v>
      </c>
      <c r="L95" s="548">
        <f t="shared" si="524"/>
        <v>161</v>
      </c>
      <c r="M95" s="548">
        <f t="shared" si="524"/>
        <v>131</v>
      </c>
      <c r="N95" s="543"/>
      <c r="O95" s="548">
        <f t="shared" ref="O95" si="525">O89+O91+O92+O93</f>
        <v>582</v>
      </c>
      <c r="P95" s="548">
        <f t="shared" ref="P95" si="526">P89+P91+P92+P93</f>
        <v>312</v>
      </c>
      <c r="Q95" s="548">
        <f t="shared" ref="Q95" si="527">Q89+Q91+Q92+Q93</f>
        <v>327</v>
      </c>
      <c r="R95" s="548">
        <f t="shared" ref="R95:S95" si="528">R89+R91+R92+R93</f>
        <v>393</v>
      </c>
      <c r="S95" s="548">
        <f t="shared" si="528"/>
        <v>287</v>
      </c>
      <c r="T95" s="548">
        <f t="shared" ref="T95:U95" si="529">T89+T91+T92+T93</f>
        <v>363</v>
      </c>
      <c r="U95" s="548">
        <f t="shared" si="529"/>
        <v>420</v>
      </c>
      <c r="V95" s="548">
        <f t="shared" ref="V95" si="530">V89+V91+V92+V93</f>
        <v>307</v>
      </c>
      <c r="W95" s="548">
        <f t="shared" ref="W95:X95" si="531">W89+W91+W92+W93</f>
        <v>372</v>
      </c>
      <c r="X95" s="548">
        <f t="shared" si="531"/>
        <v>552</v>
      </c>
      <c r="Y95" s="548">
        <f t="shared" ref="Y95:AA95" si="532">Y89+Y91+Y92+Y93</f>
        <v>417</v>
      </c>
      <c r="Z95" s="548">
        <f t="shared" si="532"/>
        <v>498</v>
      </c>
      <c r="AA95" s="548">
        <f t="shared" si="532"/>
        <v>426</v>
      </c>
      <c r="AB95" s="548">
        <f t="shared" ref="AB95" si="533">AB89+AB91+AB92+AB93</f>
        <v>439</v>
      </c>
      <c r="AC95" s="548">
        <f t="shared" ref="AC95" si="534">AC89+AC91+AC92+AC93</f>
        <v>473</v>
      </c>
      <c r="AD95" s="548">
        <f t="shared" ref="AD95" si="535">AD89+AD91+AD92+AD93</f>
        <v>301</v>
      </c>
      <c r="AE95" s="548">
        <f t="shared" ref="AE95:AF95" si="536">AE89+AE91+AE92+AE93</f>
        <v>318</v>
      </c>
      <c r="AF95" s="548">
        <f t="shared" si="536"/>
        <v>157</v>
      </c>
      <c r="AG95" s="548">
        <f t="shared" ref="AG95" si="537">AG89+AG91+AG92+AG93</f>
        <v>214</v>
      </c>
      <c r="AH95" s="548">
        <f t="shared" ref="AH95" si="538">AH89+AH91+AH92+AH93</f>
        <v>216</v>
      </c>
      <c r="AI95" s="548">
        <f t="shared" si="524"/>
        <v>323</v>
      </c>
      <c r="AJ95" s="548">
        <f t="shared" si="524"/>
        <v>434</v>
      </c>
      <c r="AK95" s="548">
        <f t="shared" si="524"/>
        <v>351</v>
      </c>
      <c r="AL95" s="548">
        <f t="shared" si="524"/>
        <v>96</v>
      </c>
      <c r="AM95" s="548">
        <f t="shared" si="524"/>
        <v>137</v>
      </c>
      <c r="AN95" s="548">
        <f t="shared" si="524"/>
        <v>103</v>
      </c>
      <c r="AO95" s="548">
        <f t="shared" si="524"/>
        <v>183</v>
      </c>
      <c r="AP95" s="548">
        <f t="shared" si="524"/>
        <v>102</v>
      </c>
      <c r="AQ95" s="548">
        <f t="shared" si="524"/>
        <v>155</v>
      </c>
      <c r="AR95" s="548">
        <f t="shared" si="524"/>
        <v>798</v>
      </c>
    </row>
    <row r="96" spans="1:45" s="591" customFormat="1" x14ac:dyDescent="0.25">
      <c r="A96" s="588"/>
      <c r="B96" s="588" t="s">
        <v>113</v>
      </c>
      <c r="C96" s="589">
        <f t="shared" ref="C96" si="539">C102-C95</f>
        <v>0</v>
      </c>
      <c r="D96" s="589">
        <f t="shared" ref="D96:E96" si="540">D102-D95</f>
        <v>0</v>
      </c>
      <c r="E96" s="589">
        <f t="shared" si="540"/>
        <v>0</v>
      </c>
      <c r="F96" s="589">
        <f t="shared" ref="F96:G96" si="541">F102-F95</f>
        <v>0</v>
      </c>
      <c r="G96" s="589">
        <f t="shared" si="541"/>
        <v>0</v>
      </c>
      <c r="H96" s="589">
        <f t="shared" ref="H96:M96" si="542">H102-H95</f>
        <v>0</v>
      </c>
      <c r="I96" s="589">
        <f t="shared" si="542"/>
        <v>0</v>
      </c>
      <c r="J96" s="589">
        <f t="shared" si="542"/>
        <v>0</v>
      </c>
      <c r="K96" s="589">
        <f t="shared" si="542"/>
        <v>0</v>
      </c>
      <c r="L96" s="589">
        <f t="shared" si="542"/>
        <v>87</v>
      </c>
      <c r="M96" s="589">
        <f t="shared" si="542"/>
        <v>116</v>
      </c>
      <c r="N96" s="590"/>
      <c r="O96" s="589">
        <f>O102-O95</f>
        <v>0</v>
      </c>
      <c r="P96" s="589">
        <f>P102-P95</f>
        <v>0</v>
      </c>
      <c r="Q96" s="543">
        <f t="shared" ref="Q96" si="543">C96-R96-S96-T96</f>
        <v>0</v>
      </c>
      <c r="R96" s="589">
        <f>R102-R95</f>
        <v>0</v>
      </c>
      <c r="S96" s="589">
        <f>S102-S95</f>
        <v>0</v>
      </c>
      <c r="T96" s="589">
        <f>T102-T95</f>
        <v>0</v>
      </c>
      <c r="U96" s="589">
        <f t="shared" ref="U96" si="544">U102-U95</f>
        <v>0</v>
      </c>
      <c r="V96" s="589">
        <f>V102-V95</f>
        <v>0</v>
      </c>
      <c r="W96" s="589">
        <f>W102-W95</f>
        <v>0</v>
      </c>
      <c r="X96" s="589">
        <f>X102-X95</f>
        <v>0</v>
      </c>
      <c r="Y96" s="589">
        <f t="shared" ref="Y96" si="545">Y102-Y95</f>
        <v>0</v>
      </c>
      <c r="Z96" s="589">
        <f>Z102-Z95</f>
        <v>0</v>
      </c>
      <c r="AA96" s="589">
        <f>AA102-AA95</f>
        <v>0</v>
      </c>
      <c r="AB96" s="589">
        <f>AB102-AB95</f>
        <v>0</v>
      </c>
      <c r="AC96" s="589">
        <f t="shared" ref="AC96" si="546">AC102-AC95</f>
        <v>0</v>
      </c>
      <c r="AD96" s="589">
        <f>AD102-AD95</f>
        <v>0</v>
      </c>
      <c r="AE96" s="589">
        <f>AE102-AE95</f>
        <v>0</v>
      </c>
      <c r="AF96" s="589">
        <f>AF102-AF95</f>
        <v>0</v>
      </c>
      <c r="AG96" s="589">
        <f t="shared" ref="AG96" si="547">AG102-AG95</f>
        <v>0</v>
      </c>
      <c r="AH96" s="589">
        <f>AH102-AH95</f>
        <v>0</v>
      </c>
      <c r="AI96" s="589">
        <f>AI102-AI95</f>
        <v>0</v>
      </c>
      <c r="AJ96" s="589">
        <f>AJ102-AJ95</f>
        <v>0</v>
      </c>
      <c r="AK96" s="589">
        <f t="shared" ref="AK96:AR96" si="548">AK102-AK95</f>
        <v>-256</v>
      </c>
      <c r="AL96" s="589">
        <f t="shared" si="548"/>
        <v>0</v>
      </c>
      <c r="AM96" s="589">
        <f t="shared" si="548"/>
        <v>0</v>
      </c>
      <c r="AN96" s="589">
        <f t="shared" si="548"/>
        <v>0</v>
      </c>
      <c r="AO96" s="589">
        <f t="shared" si="548"/>
        <v>-62</v>
      </c>
      <c r="AP96" s="589">
        <f t="shared" si="548"/>
        <v>0</v>
      </c>
      <c r="AQ96" s="589">
        <f t="shared" si="548"/>
        <v>0</v>
      </c>
      <c r="AR96" s="589">
        <f t="shared" si="548"/>
        <v>0</v>
      </c>
      <c r="AS96" s="589"/>
    </row>
    <row r="97" spans="1:52" s="591" customFormat="1" x14ac:dyDescent="0.25">
      <c r="A97" s="588"/>
      <c r="B97" s="588"/>
      <c r="C97" s="589"/>
      <c r="D97" s="589"/>
      <c r="E97" s="589"/>
      <c r="F97" s="589"/>
      <c r="G97" s="589"/>
      <c r="H97" s="589"/>
      <c r="I97" s="589"/>
      <c r="J97" s="589"/>
      <c r="K97" s="589"/>
      <c r="L97" s="589"/>
      <c r="M97" s="589"/>
      <c r="N97" s="590"/>
      <c r="O97" s="589"/>
      <c r="P97" s="589"/>
      <c r="Q97" s="589"/>
      <c r="R97" s="589"/>
      <c r="S97" s="589"/>
      <c r="T97" s="589"/>
      <c r="U97" s="589"/>
      <c r="V97" s="589"/>
      <c r="W97" s="589"/>
      <c r="X97" s="589"/>
      <c r="Y97" s="589"/>
      <c r="Z97" s="589"/>
      <c r="AA97" s="589"/>
      <c r="AB97" s="589"/>
      <c r="AC97" s="589"/>
      <c r="AD97" s="589"/>
      <c r="AE97" s="589"/>
      <c r="AF97" s="589"/>
      <c r="AG97" s="589"/>
      <c r="AH97" s="589"/>
      <c r="AI97" s="589"/>
      <c r="AJ97" s="589"/>
      <c r="AK97" s="589"/>
      <c r="AL97" s="589"/>
      <c r="AM97" s="589"/>
      <c r="AN97" s="589"/>
      <c r="AO97" s="589"/>
      <c r="AP97" s="589"/>
      <c r="AQ97" s="589"/>
      <c r="AR97" s="589"/>
      <c r="AS97" s="589"/>
    </row>
    <row r="98" spans="1:52" s="536" customFormat="1" x14ac:dyDescent="0.25">
      <c r="B98" s="547" t="s">
        <v>669</v>
      </c>
      <c r="C98" s="543"/>
      <c r="D98" s="543"/>
      <c r="E98" s="543"/>
      <c r="F98" s="543"/>
      <c r="G98" s="543"/>
      <c r="H98" s="543"/>
      <c r="I98" s="543"/>
      <c r="J98" s="543"/>
      <c r="K98" s="543"/>
      <c r="L98" s="543"/>
      <c r="M98" s="543"/>
      <c r="N98" s="543"/>
      <c r="O98" s="543"/>
      <c r="P98" s="543"/>
      <c r="Q98" s="543"/>
      <c r="R98" s="543"/>
      <c r="S98" s="543"/>
      <c r="T98" s="543"/>
      <c r="U98" s="543"/>
      <c r="V98" s="543"/>
      <c r="W98" s="543"/>
      <c r="X98" s="543"/>
      <c r="Y98" s="543"/>
      <c r="Z98" s="543"/>
      <c r="AA98" s="543"/>
      <c r="AB98" s="543"/>
      <c r="AC98" s="543"/>
      <c r="AD98" s="543"/>
      <c r="AE98" s="543"/>
      <c r="AF98" s="543"/>
      <c r="AG98" s="543"/>
      <c r="AH98" s="543"/>
      <c r="AI98" s="543"/>
      <c r="AJ98" s="543"/>
      <c r="AK98" s="543"/>
      <c r="AL98" s="543"/>
      <c r="AM98" s="543"/>
      <c r="AN98" s="543"/>
      <c r="AO98" s="543"/>
      <c r="AP98" s="543"/>
      <c r="AQ98" s="543"/>
      <c r="AR98" s="543"/>
    </row>
    <row r="99" spans="1:52" s="536" customFormat="1" x14ac:dyDescent="0.25">
      <c r="B99" s="536" t="s">
        <v>670</v>
      </c>
      <c r="C99" s="543"/>
      <c r="D99" s="543"/>
      <c r="E99" s="543"/>
      <c r="F99" s="543"/>
      <c r="G99" s="543"/>
      <c r="H99" s="543"/>
      <c r="I99" s="543"/>
      <c r="J99" s="543"/>
      <c r="K99" s="543"/>
      <c r="L99" s="543"/>
      <c r="M99" s="543"/>
      <c r="N99" s="543"/>
      <c r="O99" s="543"/>
      <c r="P99" s="543"/>
      <c r="Q99" s="543"/>
      <c r="R99" s="543"/>
      <c r="S99" s="543"/>
      <c r="T99" s="543"/>
      <c r="U99" s="543"/>
      <c r="V99" s="543"/>
      <c r="W99" s="543"/>
      <c r="X99" s="543"/>
      <c r="Y99" s="543"/>
      <c r="Z99" s="543"/>
      <c r="AA99" s="543"/>
      <c r="AB99" s="543"/>
      <c r="AC99" s="543"/>
      <c r="AD99" s="543"/>
      <c r="AE99" s="543"/>
      <c r="AF99" s="543"/>
      <c r="AG99" s="543"/>
      <c r="AH99" s="543"/>
      <c r="AI99" s="543"/>
      <c r="AJ99" s="543"/>
      <c r="AK99" s="543"/>
      <c r="AL99" s="543"/>
      <c r="AM99" s="543"/>
      <c r="AN99" s="543"/>
      <c r="AO99" s="543"/>
      <c r="AP99" s="543"/>
      <c r="AQ99" s="543"/>
      <c r="AR99" s="543"/>
    </row>
    <row r="100" spans="1:52" s="536" customFormat="1" x14ac:dyDescent="0.25">
      <c r="C100" s="543"/>
      <c r="D100" s="543"/>
      <c r="E100" s="543"/>
      <c r="F100" s="543"/>
      <c r="G100" s="543"/>
      <c r="H100" s="543"/>
      <c r="I100" s="543"/>
      <c r="J100" s="543"/>
      <c r="K100" s="543"/>
      <c r="L100" s="543"/>
      <c r="M100" s="543"/>
      <c r="N100" s="543"/>
      <c r="O100" s="543"/>
      <c r="P100" s="543"/>
      <c r="Q100" s="543"/>
      <c r="R100" s="543"/>
      <c r="S100" s="543"/>
      <c r="T100" s="543"/>
      <c r="U100" s="543"/>
      <c r="V100" s="543"/>
      <c r="W100" s="543"/>
      <c r="X100" s="543"/>
      <c r="Y100" s="543"/>
      <c r="Z100" s="543"/>
      <c r="AA100" s="543"/>
      <c r="AB100" s="543"/>
      <c r="AC100" s="543"/>
      <c r="AD100" s="543"/>
      <c r="AE100" s="543"/>
      <c r="AF100" s="543"/>
      <c r="AG100" s="543"/>
      <c r="AH100" s="543"/>
      <c r="AI100" s="543"/>
      <c r="AJ100" s="543"/>
      <c r="AK100" s="543"/>
      <c r="AL100" s="543"/>
      <c r="AM100" s="543"/>
      <c r="AN100" s="543"/>
      <c r="AO100" s="543"/>
      <c r="AP100" s="543"/>
      <c r="AQ100" s="543"/>
      <c r="AR100" s="543"/>
    </row>
    <row r="101" spans="1:52" s="547" customFormat="1" x14ac:dyDescent="0.25">
      <c r="A101" s="539" t="s">
        <v>671</v>
      </c>
      <c r="B101" s="539"/>
      <c r="C101" s="541" t="str">
        <f t="shared" ref="C101:H101" si="549">C$2</f>
        <v>FY 2024</v>
      </c>
      <c r="D101" s="541" t="str">
        <f t="shared" si="549"/>
        <v>FY 2023</v>
      </c>
      <c r="E101" s="541" t="str">
        <f t="shared" si="549"/>
        <v>FY 2022</v>
      </c>
      <c r="F101" s="541" t="str">
        <f t="shared" si="549"/>
        <v>FY 2021</v>
      </c>
      <c r="G101" s="541" t="str">
        <f t="shared" si="549"/>
        <v>FY 2020</v>
      </c>
      <c r="H101" s="541" t="str">
        <f t="shared" si="549"/>
        <v>FY 2019</v>
      </c>
      <c r="I101" s="541" t="str">
        <f t="shared" ref="I101:AR101" si="550">I$2</f>
        <v>FY 2018</v>
      </c>
      <c r="J101" s="541" t="str">
        <f t="shared" si="550"/>
        <v>FY 2017</v>
      </c>
      <c r="K101" s="541" t="str">
        <f t="shared" si="550"/>
        <v>FY 2016</v>
      </c>
      <c r="L101" s="541" t="str">
        <f>L$2</f>
        <v>FY 2015</v>
      </c>
      <c r="M101" s="541" t="str">
        <f t="shared" si="550"/>
        <v>FY 2014</v>
      </c>
      <c r="O101" s="541" t="str">
        <f t="shared" si="550"/>
        <v>Q2 2025</v>
      </c>
      <c r="P101" s="541" t="str">
        <f t="shared" si="550"/>
        <v>Q1 2025</v>
      </c>
      <c r="Q101" s="541" t="str">
        <f t="shared" si="550"/>
        <v>Q4 2024</v>
      </c>
      <c r="R101" s="541" t="str">
        <f t="shared" si="550"/>
        <v>Q3 2024</v>
      </c>
      <c r="S101" s="541" t="str">
        <f t="shared" si="550"/>
        <v>Q2 2024</v>
      </c>
      <c r="T101" s="541" t="str">
        <f t="shared" si="550"/>
        <v>Q1 2024</v>
      </c>
      <c r="U101" s="541" t="str">
        <f t="shared" si="550"/>
        <v>Q4 2023</v>
      </c>
      <c r="V101" s="541" t="str">
        <f t="shared" si="550"/>
        <v>Q3 2023</v>
      </c>
      <c r="W101" s="541" t="str">
        <f t="shared" si="550"/>
        <v>Q2 2023</v>
      </c>
      <c r="X101" s="541" t="str">
        <f t="shared" si="550"/>
        <v>Q1 2023</v>
      </c>
      <c r="Y101" s="541" t="str">
        <f t="shared" si="550"/>
        <v>Q4 2022</v>
      </c>
      <c r="Z101" s="541" t="str">
        <f t="shared" si="550"/>
        <v>Q3 2022</v>
      </c>
      <c r="AA101" s="541" t="str">
        <f t="shared" si="550"/>
        <v>Q2 2022</v>
      </c>
      <c r="AB101" s="541" t="str">
        <f t="shared" si="550"/>
        <v>Q1 2022</v>
      </c>
      <c r="AC101" s="541" t="str">
        <f t="shared" si="550"/>
        <v>Q4 2021</v>
      </c>
      <c r="AD101" s="541" t="str">
        <f t="shared" si="550"/>
        <v>Q3 2021</v>
      </c>
      <c r="AE101" s="541" t="str">
        <f t="shared" si="550"/>
        <v>Q2 2021</v>
      </c>
      <c r="AF101" s="541" t="str">
        <f t="shared" si="550"/>
        <v>Q1 2021</v>
      </c>
      <c r="AG101" s="541" t="str">
        <f t="shared" si="550"/>
        <v>Q4 2020</v>
      </c>
      <c r="AH101" s="541" t="str">
        <f t="shared" si="550"/>
        <v>Q3 2020</v>
      </c>
      <c r="AI101" s="541" t="str">
        <f t="shared" si="550"/>
        <v>Q2 2020</v>
      </c>
      <c r="AJ101" s="541" t="str">
        <f t="shared" si="550"/>
        <v>Q1 2020</v>
      </c>
      <c r="AK101" s="541" t="str">
        <f t="shared" si="550"/>
        <v>Q4 2019</v>
      </c>
      <c r="AL101" s="541" t="str">
        <f t="shared" si="550"/>
        <v>Q3 2019</v>
      </c>
      <c r="AM101" s="541" t="str">
        <f t="shared" si="550"/>
        <v>Q2 2019</v>
      </c>
      <c r="AN101" s="541" t="str">
        <f t="shared" si="550"/>
        <v>Q1 2019</v>
      </c>
      <c r="AO101" s="541" t="str">
        <f t="shared" si="550"/>
        <v>Q4 2018</v>
      </c>
      <c r="AP101" s="541" t="str">
        <f t="shared" si="550"/>
        <v>Q3 2018</v>
      </c>
      <c r="AQ101" s="541" t="str">
        <f t="shared" si="550"/>
        <v>Q2 2018</v>
      </c>
      <c r="AR101" s="541" t="str">
        <f t="shared" si="550"/>
        <v>Q1 2018</v>
      </c>
    </row>
    <row r="102" spans="1:52" x14ac:dyDescent="0.25">
      <c r="B102" s="536" t="s">
        <v>672</v>
      </c>
      <c r="C102" s="543">
        <v>327</v>
      </c>
      <c r="D102" s="543">
        <v>420</v>
      </c>
      <c r="E102" s="543">
        <v>417</v>
      </c>
      <c r="F102" s="543">
        <v>473</v>
      </c>
      <c r="G102" s="543">
        <v>214</v>
      </c>
      <c r="H102" s="543">
        <v>95</v>
      </c>
      <c r="I102" s="543">
        <v>121</v>
      </c>
      <c r="J102" s="543">
        <v>83</v>
      </c>
      <c r="K102" s="543">
        <v>87</v>
      </c>
      <c r="L102" s="543">
        <v>248</v>
      </c>
      <c r="M102" s="543">
        <v>247</v>
      </c>
      <c r="N102" s="592"/>
      <c r="O102" s="543">
        <v>582</v>
      </c>
      <c r="P102" s="543">
        <v>312</v>
      </c>
      <c r="Q102" s="543">
        <v>327</v>
      </c>
      <c r="R102" s="543">
        <v>393</v>
      </c>
      <c r="S102" s="543">
        <v>287</v>
      </c>
      <c r="T102" s="543">
        <v>363</v>
      </c>
      <c r="U102" s="543">
        <f>D102</f>
        <v>420</v>
      </c>
      <c r="V102" s="543">
        <v>307</v>
      </c>
      <c r="W102" s="543">
        <v>372</v>
      </c>
      <c r="X102" s="543">
        <v>552</v>
      </c>
      <c r="Y102" s="543">
        <f>E102</f>
        <v>417</v>
      </c>
      <c r="Z102" s="543">
        <v>498</v>
      </c>
      <c r="AA102" s="543">
        <v>426</v>
      </c>
      <c r="AB102" s="543">
        <v>439</v>
      </c>
      <c r="AC102" s="543">
        <f>F102</f>
        <v>473</v>
      </c>
      <c r="AD102" s="543">
        <v>301</v>
      </c>
      <c r="AE102" s="543">
        <v>318</v>
      </c>
      <c r="AF102" s="543">
        <v>157</v>
      </c>
      <c r="AG102" s="543">
        <f>G102</f>
        <v>214</v>
      </c>
      <c r="AH102" s="543">
        <v>216</v>
      </c>
      <c r="AI102" s="543">
        <v>323</v>
      </c>
      <c r="AJ102" s="543">
        <v>434</v>
      </c>
      <c r="AK102" s="543">
        <f t="shared" ref="AK102:AK107" si="551">H102</f>
        <v>95</v>
      </c>
      <c r="AL102" s="543">
        <v>96</v>
      </c>
      <c r="AM102" s="543">
        <v>137</v>
      </c>
      <c r="AN102" s="543">
        <v>103</v>
      </c>
      <c r="AO102" s="543">
        <f t="shared" ref="AO102:AO107" si="552">I102</f>
        <v>121</v>
      </c>
      <c r="AP102" s="543">
        <v>102</v>
      </c>
      <c r="AQ102" s="543">
        <v>155</v>
      </c>
      <c r="AR102" s="543">
        <v>798</v>
      </c>
    </row>
    <row r="103" spans="1:52" x14ac:dyDescent="0.25">
      <c r="B103" s="536" t="s">
        <v>748</v>
      </c>
      <c r="C103" s="543">
        <v>115</v>
      </c>
      <c r="D103" s="543">
        <v>172</v>
      </c>
      <c r="E103" s="543">
        <v>91</v>
      </c>
      <c r="F103" s="543">
        <v>91</v>
      </c>
      <c r="G103" s="543">
        <v>100</v>
      </c>
      <c r="H103" s="543">
        <v>96</v>
      </c>
      <c r="I103" s="543">
        <v>92</v>
      </c>
      <c r="J103" s="543">
        <v>90</v>
      </c>
      <c r="K103" s="543">
        <v>29</v>
      </c>
      <c r="L103" s="543">
        <v>0</v>
      </c>
      <c r="M103" s="543">
        <v>0</v>
      </c>
      <c r="N103" s="592"/>
      <c r="O103" s="543">
        <v>119</v>
      </c>
      <c r="P103" s="543">
        <v>121</v>
      </c>
      <c r="Q103" s="543">
        <v>115</v>
      </c>
      <c r="R103" s="543">
        <v>110</v>
      </c>
      <c r="S103" s="543">
        <v>109</v>
      </c>
      <c r="T103" s="543">
        <v>121</v>
      </c>
      <c r="U103" s="543">
        <f t="shared" ref="U103:U107" si="553">D103</f>
        <v>172</v>
      </c>
      <c r="V103" s="543">
        <v>162</v>
      </c>
      <c r="W103" s="543">
        <v>166</v>
      </c>
      <c r="X103" s="543">
        <v>129</v>
      </c>
      <c r="Y103" s="543">
        <f t="shared" ref="Y103:Y107" si="554">E103</f>
        <v>91</v>
      </c>
      <c r="Z103" s="543">
        <v>92</v>
      </c>
      <c r="AA103" s="543">
        <v>90</v>
      </c>
      <c r="AB103" s="543">
        <v>93</v>
      </c>
      <c r="AC103" s="543">
        <f t="shared" ref="AC103:AC107" si="555">F103</f>
        <v>91</v>
      </c>
      <c r="AD103" s="543">
        <v>88</v>
      </c>
      <c r="AE103" s="543">
        <v>92</v>
      </c>
      <c r="AF103" s="543">
        <v>99</v>
      </c>
      <c r="AG103" s="543">
        <f t="shared" ref="AG103:AG107" si="556">G103</f>
        <v>100</v>
      </c>
      <c r="AH103" s="543">
        <v>98</v>
      </c>
      <c r="AI103" s="543">
        <v>86</v>
      </c>
      <c r="AJ103" s="543">
        <v>90</v>
      </c>
      <c r="AK103" s="543">
        <f t="shared" si="551"/>
        <v>96</v>
      </c>
      <c r="AL103" s="543">
        <v>91</v>
      </c>
      <c r="AM103" s="543">
        <v>82</v>
      </c>
      <c r="AN103" s="543">
        <v>80</v>
      </c>
      <c r="AO103" s="543">
        <f t="shared" si="552"/>
        <v>92</v>
      </c>
      <c r="AP103" s="543">
        <v>85</v>
      </c>
      <c r="AQ103" s="543">
        <v>80</v>
      </c>
      <c r="AR103" s="543">
        <v>78</v>
      </c>
    </row>
    <row r="104" spans="1:52" x14ac:dyDescent="0.25">
      <c r="B104" s="536" t="s">
        <v>39</v>
      </c>
      <c r="C104" s="543">
        <v>1260</v>
      </c>
      <c r="D104" s="543">
        <v>1376</v>
      </c>
      <c r="E104" s="543">
        <v>1583</v>
      </c>
      <c r="F104" s="543">
        <v>1418</v>
      </c>
      <c r="G104" s="543">
        <v>883</v>
      </c>
      <c r="H104" s="543">
        <v>778</v>
      </c>
      <c r="I104" s="543">
        <v>990</v>
      </c>
      <c r="J104" s="543">
        <v>932</v>
      </c>
      <c r="K104" s="543">
        <v>966</v>
      </c>
      <c r="L104" s="543">
        <v>1082</v>
      </c>
      <c r="M104" s="543">
        <v>1039</v>
      </c>
      <c r="N104" s="592"/>
      <c r="O104" s="543">
        <v>1431</v>
      </c>
      <c r="P104" s="543">
        <v>1497</v>
      </c>
      <c r="Q104" s="543">
        <v>1260</v>
      </c>
      <c r="R104" s="543">
        <v>1393</v>
      </c>
      <c r="S104" s="543">
        <v>1429</v>
      </c>
      <c r="T104" s="543">
        <v>1492</v>
      </c>
      <c r="U104" s="543">
        <f t="shared" si="553"/>
        <v>1376</v>
      </c>
      <c r="V104" s="543">
        <v>1387</v>
      </c>
      <c r="W104" s="543">
        <v>1380</v>
      </c>
      <c r="X104" s="543">
        <v>1631</v>
      </c>
      <c r="Y104" s="543">
        <f t="shared" si="554"/>
        <v>1583</v>
      </c>
      <c r="Z104" s="543">
        <v>1672</v>
      </c>
      <c r="AA104" s="543">
        <v>1812</v>
      </c>
      <c r="AB104" s="543">
        <v>1898</v>
      </c>
      <c r="AC104" s="543">
        <f t="shared" si="555"/>
        <v>1418</v>
      </c>
      <c r="AD104" s="543">
        <v>1210</v>
      </c>
      <c r="AE104" s="543">
        <v>1097</v>
      </c>
      <c r="AF104" s="543">
        <v>1056</v>
      </c>
      <c r="AG104" s="543">
        <f t="shared" si="556"/>
        <v>883</v>
      </c>
      <c r="AH104" s="543">
        <v>813</v>
      </c>
      <c r="AI104" s="543">
        <v>831</v>
      </c>
      <c r="AJ104" s="543">
        <v>939</v>
      </c>
      <c r="AK104" s="543">
        <f t="shared" si="551"/>
        <v>778</v>
      </c>
      <c r="AL104" s="543">
        <v>979</v>
      </c>
      <c r="AM104" s="543">
        <v>1071</v>
      </c>
      <c r="AN104" s="543">
        <v>1071</v>
      </c>
      <c r="AO104" s="543">
        <f t="shared" si="552"/>
        <v>990</v>
      </c>
      <c r="AP104" s="543">
        <v>1000</v>
      </c>
      <c r="AQ104" s="543">
        <v>1074</v>
      </c>
      <c r="AR104" s="543">
        <v>1014</v>
      </c>
    </row>
    <row r="105" spans="1:52" x14ac:dyDescent="0.25">
      <c r="B105" s="536" t="s">
        <v>42</v>
      </c>
      <c r="C105" s="543">
        <v>1626</v>
      </c>
      <c r="D105" s="543">
        <v>1703</v>
      </c>
      <c r="E105" s="543">
        <v>2134</v>
      </c>
      <c r="F105" s="543">
        <v>1570</v>
      </c>
      <c r="G105" s="543">
        <v>1250</v>
      </c>
      <c r="H105" s="543">
        <v>1312</v>
      </c>
      <c r="I105" s="543">
        <v>1290</v>
      </c>
      <c r="J105" s="543">
        <v>1226</v>
      </c>
      <c r="K105" s="543">
        <v>1267</v>
      </c>
      <c r="L105" s="543">
        <v>1364</v>
      </c>
      <c r="M105" s="543">
        <v>1335</v>
      </c>
      <c r="N105" s="592"/>
      <c r="O105" s="543">
        <v>1690</v>
      </c>
      <c r="P105" s="543">
        <v>1629</v>
      </c>
      <c r="Q105" s="543">
        <v>1626</v>
      </c>
      <c r="R105" s="543">
        <v>1591</v>
      </c>
      <c r="S105" s="543">
        <v>1544</v>
      </c>
      <c r="T105" s="543">
        <v>1630</v>
      </c>
      <c r="U105" s="543">
        <f t="shared" si="553"/>
        <v>1703</v>
      </c>
      <c r="V105" s="543">
        <v>1722</v>
      </c>
      <c r="W105" s="543">
        <v>2006</v>
      </c>
      <c r="X105" s="543">
        <v>2116</v>
      </c>
      <c r="Y105" s="543">
        <f t="shared" si="554"/>
        <v>2134</v>
      </c>
      <c r="Z105" s="543">
        <v>1982</v>
      </c>
      <c r="AA105" s="543">
        <v>1857</v>
      </c>
      <c r="AB105" s="543">
        <v>1673</v>
      </c>
      <c r="AC105" s="543">
        <f t="shared" si="555"/>
        <v>1570</v>
      </c>
      <c r="AD105" s="543">
        <v>1409</v>
      </c>
      <c r="AE105" s="543">
        <v>1207</v>
      </c>
      <c r="AF105" s="543">
        <v>1195</v>
      </c>
      <c r="AG105" s="543">
        <f t="shared" si="556"/>
        <v>1250</v>
      </c>
      <c r="AH105" s="543">
        <v>1233</v>
      </c>
      <c r="AI105" s="543">
        <v>1202</v>
      </c>
      <c r="AJ105" s="543">
        <v>1256</v>
      </c>
      <c r="AK105" s="543">
        <f t="shared" si="551"/>
        <v>1312</v>
      </c>
      <c r="AL105" s="543">
        <v>1205</v>
      </c>
      <c r="AM105" s="543">
        <v>1245</v>
      </c>
      <c r="AN105" s="543">
        <v>1254</v>
      </c>
      <c r="AO105" s="543">
        <f t="shared" si="552"/>
        <v>1290</v>
      </c>
      <c r="AP105" s="543">
        <v>1225</v>
      </c>
      <c r="AQ105" s="543">
        <v>1208</v>
      </c>
      <c r="AR105" s="543">
        <v>1255</v>
      </c>
    </row>
    <row r="106" spans="1:52" x14ac:dyDescent="0.25">
      <c r="B106" s="536" t="s">
        <v>673</v>
      </c>
      <c r="C106" s="543">
        <v>0</v>
      </c>
      <c r="D106" s="543">
        <v>0</v>
      </c>
      <c r="E106" s="543">
        <v>0</v>
      </c>
      <c r="F106" s="543">
        <v>0</v>
      </c>
      <c r="G106" s="543">
        <v>0</v>
      </c>
      <c r="H106" s="543">
        <v>0</v>
      </c>
      <c r="I106" s="543">
        <v>0</v>
      </c>
      <c r="J106" s="543">
        <v>169</v>
      </c>
      <c r="K106" s="543">
        <v>0</v>
      </c>
      <c r="L106" s="543">
        <v>39</v>
      </c>
      <c r="M106" s="543">
        <v>225</v>
      </c>
      <c r="N106" s="592"/>
      <c r="O106" s="543">
        <v>0</v>
      </c>
      <c r="P106" s="543">
        <v>0</v>
      </c>
      <c r="Q106" s="543">
        <v>0</v>
      </c>
      <c r="R106" s="543">
        <v>0</v>
      </c>
      <c r="S106" s="543">
        <v>0</v>
      </c>
      <c r="T106" s="543">
        <v>0</v>
      </c>
      <c r="U106" s="543">
        <f t="shared" si="553"/>
        <v>0</v>
      </c>
      <c r="V106" s="543">
        <v>0</v>
      </c>
      <c r="W106" s="543">
        <v>0</v>
      </c>
      <c r="X106" s="543">
        <v>0</v>
      </c>
      <c r="Y106" s="543">
        <f t="shared" si="554"/>
        <v>0</v>
      </c>
      <c r="Z106" s="543">
        <v>0</v>
      </c>
      <c r="AA106" s="543">
        <v>0</v>
      </c>
      <c r="AB106" s="543">
        <v>0</v>
      </c>
      <c r="AC106" s="543">
        <f t="shared" si="555"/>
        <v>0</v>
      </c>
      <c r="AD106" s="543">
        <v>0</v>
      </c>
      <c r="AE106" s="543">
        <v>0</v>
      </c>
      <c r="AF106" s="543">
        <v>0</v>
      </c>
      <c r="AG106" s="543">
        <f t="shared" si="556"/>
        <v>0</v>
      </c>
      <c r="AH106" s="543">
        <v>0</v>
      </c>
      <c r="AI106" s="543">
        <v>0</v>
      </c>
      <c r="AJ106" s="543">
        <v>0</v>
      </c>
      <c r="AK106" s="543">
        <f t="shared" si="551"/>
        <v>0</v>
      </c>
      <c r="AL106" s="543">
        <v>0</v>
      </c>
      <c r="AM106" s="543">
        <v>0</v>
      </c>
      <c r="AN106" s="543">
        <v>0</v>
      </c>
      <c r="AO106" s="543">
        <f t="shared" si="552"/>
        <v>0</v>
      </c>
      <c r="AP106" s="543">
        <v>0</v>
      </c>
      <c r="AQ106" s="543">
        <v>0</v>
      </c>
      <c r="AR106" s="543">
        <v>0</v>
      </c>
    </row>
    <row r="107" spans="1:52" x14ac:dyDescent="0.25">
      <c r="B107" s="536" t="s">
        <v>749</v>
      </c>
      <c r="C107" s="543">
        <v>258</v>
      </c>
      <c r="D107" s="543">
        <v>363</v>
      </c>
      <c r="E107" s="543">
        <v>323</v>
      </c>
      <c r="F107" s="543">
        <v>357</v>
      </c>
      <c r="G107" s="543">
        <v>394</v>
      </c>
      <c r="H107" s="543">
        <v>403</v>
      </c>
      <c r="I107" s="543">
        <v>295</v>
      </c>
      <c r="J107" s="543">
        <v>225</v>
      </c>
      <c r="K107" s="543">
        <v>222</v>
      </c>
      <c r="L107" s="543">
        <f>45+207</f>
        <v>252</v>
      </c>
      <c r="M107" s="543">
        <f>139+155</f>
        <v>294</v>
      </c>
      <c r="N107" s="592"/>
      <c r="O107" s="543">
        <v>413</v>
      </c>
      <c r="P107" s="543">
        <v>277</v>
      </c>
      <c r="Q107" s="543">
        <v>258</v>
      </c>
      <c r="R107" s="543">
        <v>337</v>
      </c>
      <c r="S107" s="543">
        <v>298</v>
      </c>
      <c r="T107" s="543">
        <v>301</v>
      </c>
      <c r="U107" s="543">
        <f t="shared" si="553"/>
        <v>363</v>
      </c>
      <c r="V107" s="543">
        <v>362</v>
      </c>
      <c r="W107" s="543">
        <v>333</v>
      </c>
      <c r="X107" s="543">
        <v>316</v>
      </c>
      <c r="Y107" s="543">
        <f t="shared" si="554"/>
        <v>323</v>
      </c>
      <c r="Z107" s="543">
        <v>361</v>
      </c>
      <c r="AA107" s="543">
        <v>572</v>
      </c>
      <c r="AB107" s="543">
        <v>355</v>
      </c>
      <c r="AC107" s="543">
        <f t="shared" si="555"/>
        <v>357</v>
      </c>
      <c r="AD107" s="543">
        <f>350+103</f>
        <v>453</v>
      </c>
      <c r="AE107" s="543">
        <f>180+344</f>
        <v>524</v>
      </c>
      <c r="AF107" s="543">
        <v>481</v>
      </c>
      <c r="AG107" s="543">
        <f t="shared" si="556"/>
        <v>394</v>
      </c>
      <c r="AH107" s="543">
        <v>388</v>
      </c>
      <c r="AI107" s="543">
        <v>422</v>
      </c>
      <c r="AJ107" s="543">
        <v>412</v>
      </c>
      <c r="AK107" s="543">
        <f t="shared" si="551"/>
        <v>403</v>
      </c>
      <c r="AL107" s="543">
        <v>324</v>
      </c>
      <c r="AM107" s="543">
        <v>303</v>
      </c>
      <c r="AN107" s="543">
        <v>271</v>
      </c>
      <c r="AO107" s="543">
        <f t="shared" si="552"/>
        <v>295</v>
      </c>
      <c r="AP107" s="543">
        <v>269</v>
      </c>
      <c r="AQ107" s="543">
        <v>276</v>
      </c>
      <c r="AR107" s="543">
        <v>296</v>
      </c>
    </row>
    <row r="108" spans="1:52" x14ac:dyDescent="0.25">
      <c r="B108" s="547" t="s">
        <v>674</v>
      </c>
      <c r="C108" s="548">
        <f t="shared" ref="C108" si="557">SUM(C102:C107)</f>
        <v>3586</v>
      </c>
      <c r="D108" s="548">
        <f t="shared" ref="D108:E108" si="558">SUM(D102:D107)</f>
        <v>4034</v>
      </c>
      <c r="E108" s="548">
        <f t="shared" si="558"/>
        <v>4548</v>
      </c>
      <c r="F108" s="548">
        <f t="shared" ref="F108:G108" si="559">SUM(F102:F107)</f>
        <v>3909</v>
      </c>
      <c r="G108" s="548">
        <f t="shared" si="559"/>
        <v>2841</v>
      </c>
      <c r="H108" s="548">
        <f t="shared" ref="H108:M108" si="560">SUM(H102:H107)</f>
        <v>2684</v>
      </c>
      <c r="I108" s="548">
        <f t="shared" si="560"/>
        <v>2788</v>
      </c>
      <c r="J108" s="548">
        <f t="shared" si="560"/>
        <v>2725</v>
      </c>
      <c r="K108" s="548">
        <f t="shared" si="560"/>
        <v>2571</v>
      </c>
      <c r="L108" s="548">
        <f t="shared" si="560"/>
        <v>2985</v>
      </c>
      <c r="M108" s="548">
        <f t="shared" si="560"/>
        <v>3140</v>
      </c>
      <c r="N108" s="592"/>
      <c r="O108" s="548">
        <f t="shared" ref="O108" si="561">SUM(O102:O107)</f>
        <v>4235</v>
      </c>
      <c r="P108" s="548">
        <f t="shared" ref="P108" si="562">SUM(P102:P107)</f>
        <v>3836</v>
      </c>
      <c r="Q108" s="548">
        <f t="shared" ref="Q108" si="563">SUM(Q102:Q107)</f>
        <v>3586</v>
      </c>
      <c r="R108" s="548">
        <f t="shared" ref="R108:S108" si="564">SUM(R102:R107)</f>
        <v>3824</v>
      </c>
      <c r="S108" s="548">
        <f t="shared" si="564"/>
        <v>3667</v>
      </c>
      <c r="T108" s="548">
        <f t="shared" ref="T108:U108" si="565">SUM(T102:T107)</f>
        <v>3907</v>
      </c>
      <c r="U108" s="548">
        <f t="shared" si="565"/>
        <v>4034</v>
      </c>
      <c r="V108" s="548">
        <f t="shared" ref="V108" si="566">SUM(V102:V107)</f>
        <v>3940</v>
      </c>
      <c r="W108" s="548">
        <f t="shared" ref="W108:X108" si="567">SUM(W102:W107)</f>
        <v>4257</v>
      </c>
      <c r="X108" s="548">
        <f t="shared" si="567"/>
        <v>4744</v>
      </c>
      <c r="Y108" s="548">
        <f t="shared" ref="Y108:AA108" si="568">SUM(Y102:Y107)</f>
        <v>4548</v>
      </c>
      <c r="Z108" s="548">
        <f t="shared" si="568"/>
        <v>4605</v>
      </c>
      <c r="AA108" s="548">
        <f t="shared" si="568"/>
        <v>4757</v>
      </c>
      <c r="AB108" s="548">
        <f t="shared" ref="AB108" si="569">SUM(AB102:AB107)</f>
        <v>4458</v>
      </c>
      <c r="AC108" s="548">
        <f t="shared" ref="AC108" si="570">SUM(AC102:AC107)</f>
        <v>3909</v>
      </c>
      <c r="AD108" s="548">
        <f t="shared" ref="AD108" si="571">SUM(AD102:AD107)</f>
        <v>3461</v>
      </c>
      <c r="AE108" s="548">
        <f t="shared" ref="AE108:AF108" si="572">SUM(AE102:AE107)</f>
        <v>3238</v>
      </c>
      <c r="AF108" s="548">
        <f t="shared" si="572"/>
        <v>2988</v>
      </c>
      <c r="AG108" s="548">
        <f t="shared" ref="AG108" si="573">SUM(AG102:AG107)</f>
        <v>2841</v>
      </c>
      <c r="AH108" s="548">
        <f t="shared" ref="AH108" si="574">SUM(AH102:AH107)</f>
        <v>2748</v>
      </c>
      <c r="AI108" s="548">
        <f t="shared" ref="AI108:AR108" si="575">SUM(AI102:AI107)</f>
        <v>2864</v>
      </c>
      <c r="AJ108" s="548">
        <f t="shared" si="575"/>
        <v>3131</v>
      </c>
      <c r="AK108" s="548">
        <f t="shared" si="575"/>
        <v>2684</v>
      </c>
      <c r="AL108" s="548">
        <f t="shared" si="575"/>
        <v>2695</v>
      </c>
      <c r="AM108" s="548">
        <f t="shared" si="575"/>
        <v>2838</v>
      </c>
      <c r="AN108" s="548">
        <f t="shared" si="575"/>
        <v>2779</v>
      </c>
      <c r="AO108" s="548">
        <f t="shared" si="575"/>
        <v>2788</v>
      </c>
      <c r="AP108" s="548">
        <f t="shared" si="575"/>
        <v>2681</v>
      </c>
      <c r="AQ108" s="548">
        <f t="shared" si="575"/>
        <v>2793</v>
      </c>
      <c r="AR108" s="548">
        <f t="shared" si="575"/>
        <v>3441</v>
      </c>
    </row>
    <row r="109" spans="1:52" x14ac:dyDescent="0.25">
      <c r="B109" s="536" t="s">
        <v>750</v>
      </c>
      <c r="C109" s="543">
        <v>0</v>
      </c>
      <c r="D109" s="543">
        <v>0</v>
      </c>
      <c r="E109" s="543">
        <v>0</v>
      </c>
      <c r="F109" s="543">
        <v>0</v>
      </c>
      <c r="G109" s="543">
        <v>83</v>
      </c>
      <c r="H109" s="543">
        <v>111</v>
      </c>
      <c r="I109" s="543">
        <v>145</v>
      </c>
      <c r="J109" s="543">
        <v>29</v>
      </c>
      <c r="K109" s="543">
        <v>153</v>
      </c>
      <c r="L109" s="543">
        <v>159</v>
      </c>
      <c r="M109" s="543">
        <v>185</v>
      </c>
      <c r="N109" s="592"/>
      <c r="O109" s="543">
        <v>0</v>
      </c>
      <c r="P109" s="543">
        <v>0</v>
      </c>
      <c r="Q109" s="543">
        <v>0</v>
      </c>
      <c r="R109" s="543">
        <v>0</v>
      </c>
      <c r="S109" s="543">
        <v>0</v>
      </c>
      <c r="T109" s="543">
        <v>0</v>
      </c>
      <c r="U109" s="543">
        <f t="shared" ref="U109:U114" si="576">D109</f>
        <v>0</v>
      </c>
      <c r="V109" s="543">
        <v>0</v>
      </c>
      <c r="W109" s="543">
        <v>0</v>
      </c>
      <c r="X109" s="543">
        <v>0</v>
      </c>
      <c r="Y109" s="543">
        <f t="shared" ref="Y109:Y114" si="577">E109</f>
        <v>0</v>
      </c>
      <c r="Z109" s="543">
        <v>0</v>
      </c>
      <c r="AA109" s="543">
        <v>0</v>
      </c>
      <c r="AB109" s="543">
        <v>0</v>
      </c>
      <c r="AC109" s="543">
        <f t="shared" ref="AC109:AC114" si="578">F109</f>
        <v>0</v>
      </c>
      <c r="AD109" s="543">
        <v>0</v>
      </c>
      <c r="AE109" s="543">
        <v>0</v>
      </c>
      <c r="AF109" s="543">
        <v>0</v>
      </c>
      <c r="AG109" s="543">
        <f t="shared" ref="AG109:AG114" si="579">G109</f>
        <v>83</v>
      </c>
      <c r="AH109" s="543">
        <v>73</v>
      </c>
      <c r="AI109" s="543">
        <v>76</v>
      </c>
      <c r="AJ109" s="543">
        <v>100</v>
      </c>
      <c r="AK109" s="543">
        <f t="shared" ref="AK109:AK114" si="580">H109</f>
        <v>111</v>
      </c>
      <c r="AL109" s="543">
        <v>29</v>
      </c>
      <c r="AM109" s="543">
        <v>29</v>
      </c>
      <c r="AN109" s="543">
        <v>30</v>
      </c>
      <c r="AO109" s="543">
        <f t="shared" ref="AO109:AO114" si="581">I109</f>
        <v>145</v>
      </c>
      <c r="AP109" s="543">
        <v>28</v>
      </c>
      <c r="AQ109" s="543">
        <v>29</v>
      </c>
      <c r="AR109" s="543">
        <v>30</v>
      </c>
    </row>
    <row r="110" spans="1:52" x14ac:dyDescent="0.25">
      <c r="B110" s="536" t="s">
        <v>758</v>
      </c>
      <c r="C110" s="543">
        <v>0</v>
      </c>
      <c r="D110" s="543">
        <v>0</v>
      </c>
      <c r="E110" s="543">
        <v>0</v>
      </c>
      <c r="F110" s="543">
        <v>0</v>
      </c>
      <c r="G110" s="543">
        <v>0</v>
      </c>
      <c r="H110" s="543">
        <v>0</v>
      </c>
      <c r="I110" s="543">
        <v>0</v>
      </c>
      <c r="J110" s="543">
        <v>212</v>
      </c>
      <c r="K110" s="543">
        <v>253</v>
      </c>
      <c r="L110" s="543">
        <v>0</v>
      </c>
      <c r="M110" s="543">
        <v>0</v>
      </c>
      <c r="N110" s="592"/>
      <c r="O110" s="543">
        <v>0</v>
      </c>
      <c r="P110" s="543">
        <v>0</v>
      </c>
      <c r="Q110" s="543">
        <v>0</v>
      </c>
      <c r="R110" s="543">
        <v>0</v>
      </c>
      <c r="S110" s="543">
        <v>0</v>
      </c>
      <c r="T110" s="543">
        <v>0</v>
      </c>
      <c r="U110" s="543">
        <f t="shared" si="576"/>
        <v>0</v>
      </c>
      <c r="V110" s="543">
        <v>0</v>
      </c>
      <c r="W110" s="543">
        <v>0</v>
      </c>
      <c r="X110" s="543">
        <v>0</v>
      </c>
      <c r="Y110" s="543">
        <f t="shared" si="577"/>
        <v>0</v>
      </c>
      <c r="Z110" s="543">
        <v>0</v>
      </c>
      <c r="AA110" s="543">
        <v>0</v>
      </c>
      <c r="AB110" s="543">
        <v>0</v>
      </c>
      <c r="AC110" s="543">
        <f t="shared" si="578"/>
        <v>0</v>
      </c>
      <c r="AD110" s="543">
        <v>0</v>
      </c>
      <c r="AE110" s="543">
        <v>0</v>
      </c>
      <c r="AF110" s="543">
        <v>0</v>
      </c>
      <c r="AG110" s="543">
        <f t="shared" si="579"/>
        <v>0</v>
      </c>
      <c r="AH110" s="543">
        <v>0</v>
      </c>
      <c r="AI110" s="543">
        <v>0</v>
      </c>
      <c r="AJ110" s="543">
        <v>0</v>
      </c>
      <c r="AK110" s="543">
        <f t="shared" si="580"/>
        <v>0</v>
      </c>
      <c r="AL110" s="543">
        <v>144</v>
      </c>
      <c r="AM110" s="543">
        <v>173</v>
      </c>
      <c r="AN110" s="543">
        <v>201</v>
      </c>
      <c r="AO110" s="543">
        <f t="shared" si="581"/>
        <v>0</v>
      </c>
      <c r="AP110" s="543">
        <v>149</v>
      </c>
      <c r="AQ110" s="543">
        <v>150</v>
      </c>
      <c r="AR110" s="543">
        <v>219</v>
      </c>
    </row>
    <row r="111" spans="1:52" x14ac:dyDescent="0.25">
      <c r="B111" s="536" t="s">
        <v>751</v>
      </c>
      <c r="C111" s="543">
        <v>143</v>
      </c>
      <c r="D111" s="543">
        <v>152</v>
      </c>
      <c r="E111" s="543">
        <v>150</v>
      </c>
      <c r="F111" s="543">
        <v>147</v>
      </c>
      <c r="G111" s="543">
        <v>127</v>
      </c>
      <c r="H111" s="543">
        <v>109</v>
      </c>
      <c r="I111" s="543">
        <v>122</v>
      </c>
      <c r="J111" s="543">
        <v>132</v>
      </c>
      <c r="K111" s="543">
        <v>150</v>
      </c>
      <c r="L111" s="543">
        <v>0</v>
      </c>
      <c r="M111" s="543">
        <v>0</v>
      </c>
      <c r="N111" s="592"/>
      <c r="O111" s="543">
        <v>172</v>
      </c>
      <c r="P111" s="543">
        <v>151</v>
      </c>
      <c r="Q111" s="543">
        <v>143</v>
      </c>
      <c r="R111" s="543">
        <v>149</v>
      </c>
      <c r="S111" s="543">
        <v>147</v>
      </c>
      <c r="T111" s="543">
        <v>155</v>
      </c>
      <c r="U111" s="543">
        <f t="shared" si="576"/>
        <v>152</v>
      </c>
      <c r="V111" s="543">
        <v>141</v>
      </c>
      <c r="W111" s="543">
        <v>149</v>
      </c>
      <c r="X111" s="543">
        <v>155</v>
      </c>
      <c r="Y111" s="543">
        <f t="shared" si="577"/>
        <v>150</v>
      </c>
      <c r="Z111" s="543">
        <v>152</v>
      </c>
      <c r="AA111" s="543">
        <v>132</v>
      </c>
      <c r="AB111" s="543">
        <v>142</v>
      </c>
      <c r="AC111" s="543">
        <f t="shared" si="578"/>
        <v>147</v>
      </c>
      <c r="AD111" s="543">
        <v>157</v>
      </c>
      <c r="AE111" s="543">
        <v>143</v>
      </c>
      <c r="AF111" s="543">
        <v>136</v>
      </c>
      <c r="AG111" s="543">
        <f t="shared" si="579"/>
        <v>127</v>
      </c>
      <c r="AH111" s="543">
        <v>121</v>
      </c>
      <c r="AI111" s="543">
        <v>116</v>
      </c>
      <c r="AJ111" s="543">
        <v>102</v>
      </c>
      <c r="AK111" s="543">
        <f t="shared" si="580"/>
        <v>109</v>
      </c>
      <c r="AL111" s="543">
        <v>97</v>
      </c>
      <c r="AM111" s="543">
        <v>94</v>
      </c>
      <c r="AN111" s="543">
        <v>83</v>
      </c>
      <c r="AO111" s="543">
        <f t="shared" si="581"/>
        <v>122</v>
      </c>
      <c r="AP111" s="543">
        <v>112</v>
      </c>
      <c r="AQ111" s="543">
        <v>114</v>
      </c>
      <c r="AR111" s="543">
        <v>123</v>
      </c>
      <c r="AZ111" s="690"/>
    </row>
    <row r="112" spans="1:52" x14ac:dyDescent="0.25">
      <c r="B112" s="536" t="s">
        <v>752</v>
      </c>
      <c r="C112" s="543">
        <v>6462</v>
      </c>
      <c r="D112" s="543">
        <v>6329</v>
      </c>
      <c r="E112" s="543">
        <v>5969</v>
      </c>
      <c r="F112" s="543">
        <v>5754</v>
      </c>
      <c r="G112" s="543">
        <v>5550</v>
      </c>
      <c r="H112" s="543">
        <v>5331</v>
      </c>
      <c r="I112" s="543">
        <v>4663</v>
      </c>
      <c r="J112" s="543">
        <v>4521</v>
      </c>
      <c r="K112" s="543">
        <v>4309</v>
      </c>
      <c r="L112" s="543">
        <v>4212</v>
      </c>
      <c r="M112" s="543">
        <v>3927</v>
      </c>
      <c r="N112" s="592"/>
      <c r="O112" s="543">
        <v>6701</v>
      </c>
      <c r="P112" s="543">
        <v>6526</v>
      </c>
      <c r="Q112" s="543">
        <v>6462</v>
      </c>
      <c r="R112" s="543">
        <v>6414</v>
      </c>
      <c r="S112" s="543">
        <v>6285</v>
      </c>
      <c r="T112" s="543">
        <v>6285</v>
      </c>
      <c r="U112" s="543">
        <f t="shared" si="576"/>
        <v>6329</v>
      </c>
      <c r="V112" s="543">
        <v>6125</v>
      </c>
      <c r="W112" s="543">
        <v>6097</v>
      </c>
      <c r="X112" s="543">
        <v>6066</v>
      </c>
      <c r="Y112" s="543">
        <f t="shared" si="577"/>
        <v>5969</v>
      </c>
      <c r="Z112" s="543">
        <v>5764</v>
      </c>
      <c r="AA112" s="543">
        <v>5749</v>
      </c>
      <c r="AB112" s="543">
        <v>5797</v>
      </c>
      <c r="AC112" s="543">
        <f t="shared" si="578"/>
        <v>5754</v>
      </c>
      <c r="AD112" s="543">
        <v>5632</v>
      </c>
      <c r="AE112" s="543">
        <v>5601</v>
      </c>
      <c r="AF112" s="543">
        <v>5531</v>
      </c>
      <c r="AG112" s="543">
        <f t="shared" si="579"/>
        <v>5550</v>
      </c>
      <c r="AH112" s="543">
        <v>5368</v>
      </c>
      <c r="AI112" s="543">
        <v>5228</v>
      </c>
      <c r="AJ112" s="543">
        <v>5316</v>
      </c>
      <c r="AK112" s="543">
        <f t="shared" si="580"/>
        <v>5331</v>
      </c>
      <c r="AL112" s="543">
        <v>5068</v>
      </c>
      <c r="AM112" s="543">
        <v>5045</v>
      </c>
      <c r="AN112" s="543">
        <v>4961</v>
      </c>
      <c r="AO112" s="543">
        <f t="shared" si="581"/>
        <v>4663</v>
      </c>
      <c r="AP112" s="543">
        <v>4580</v>
      </c>
      <c r="AQ112" s="543">
        <v>4548</v>
      </c>
      <c r="AR112" s="543">
        <v>4577</v>
      </c>
    </row>
    <row r="113" spans="2:44" x14ac:dyDescent="0.25">
      <c r="B113" s="536" t="s">
        <v>170</v>
      </c>
      <c r="C113" s="543">
        <v>869</v>
      </c>
      <c r="D113" s="543">
        <v>873</v>
      </c>
      <c r="E113" s="543">
        <v>852</v>
      </c>
      <c r="F113" s="543">
        <v>867</v>
      </c>
      <c r="G113" s="543">
        <v>670</v>
      </c>
      <c r="H113" s="543">
        <v>652</v>
      </c>
      <c r="I113" s="543">
        <v>671</v>
      </c>
      <c r="J113" s="543">
        <v>722</v>
      </c>
      <c r="K113" s="543">
        <v>824</v>
      </c>
      <c r="L113" s="543">
        <v>1185</v>
      </c>
      <c r="M113" s="543">
        <v>803</v>
      </c>
      <c r="N113" s="592"/>
      <c r="O113" s="543">
        <v>941</v>
      </c>
      <c r="P113" s="543">
        <v>918</v>
      </c>
      <c r="Q113" s="543">
        <v>869</v>
      </c>
      <c r="R113" s="543">
        <v>916</v>
      </c>
      <c r="S113" s="543">
        <v>857</v>
      </c>
      <c r="T113" s="543">
        <v>897</v>
      </c>
      <c r="U113" s="543">
        <f t="shared" si="576"/>
        <v>873</v>
      </c>
      <c r="V113" s="543">
        <v>851</v>
      </c>
      <c r="W113" s="543">
        <v>872</v>
      </c>
      <c r="X113" s="543">
        <v>867</v>
      </c>
      <c r="Y113" s="543">
        <f t="shared" si="577"/>
        <v>852</v>
      </c>
      <c r="Z113" s="543">
        <v>825</v>
      </c>
      <c r="AA113" s="543">
        <v>867</v>
      </c>
      <c r="AB113" s="543">
        <v>889</v>
      </c>
      <c r="AC113" s="543">
        <f t="shared" si="578"/>
        <v>867</v>
      </c>
      <c r="AD113" s="543">
        <v>927</v>
      </c>
      <c r="AE113" s="543">
        <v>725</v>
      </c>
      <c r="AF113" s="543">
        <v>709</v>
      </c>
      <c r="AG113" s="543">
        <f t="shared" si="579"/>
        <v>670</v>
      </c>
      <c r="AH113" s="543">
        <v>645</v>
      </c>
      <c r="AI113" s="543">
        <v>634</v>
      </c>
      <c r="AJ113" s="543">
        <v>652</v>
      </c>
      <c r="AK113" s="543">
        <f t="shared" si="580"/>
        <v>652</v>
      </c>
      <c r="AL113" s="543">
        <v>641</v>
      </c>
      <c r="AM113" s="543">
        <v>662</v>
      </c>
      <c r="AN113" s="543">
        <v>664</v>
      </c>
      <c r="AO113" s="543">
        <f t="shared" si="581"/>
        <v>671</v>
      </c>
      <c r="AP113" s="543">
        <v>672</v>
      </c>
      <c r="AQ113" s="543">
        <v>688</v>
      </c>
      <c r="AR113" s="543">
        <v>732</v>
      </c>
    </row>
    <row r="114" spans="2:44" x14ac:dyDescent="0.25">
      <c r="B114" s="536" t="s">
        <v>753</v>
      </c>
      <c r="C114" s="543">
        <v>261</v>
      </c>
      <c r="D114" s="543">
        <v>239</v>
      </c>
      <c r="E114" s="543">
        <v>231</v>
      </c>
      <c r="F114" s="543">
        <v>403</v>
      </c>
      <c r="G114" s="543">
        <v>393</v>
      </c>
      <c r="H114" s="543">
        <v>286</v>
      </c>
      <c r="I114" s="543">
        <v>387</v>
      </c>
      <c r="J114" s="543">
        <v>373</v>
      </c>
      <c r="K114" s="543">
        <v>292</v>
      </c>
      <c r="L114" s="543">
        <v>536</v>
      </c>
      <c r="M114" s="543">
        <v>293</v>
      </c>
      <c r="N114" s="592"/>
      <c r="O114" s="543">
        <v>326</v>
      </c>
      <c r="P114" s="543">
        <v>260</v>
      </c>
      <c r="Q114" s="543">
        <v>261</v>
      </c>
      <c r="R114" s="543">
        <v>255</v>
      </c>
      <c r="S114" s="543">
        <v>249</v>
      </c>
      <c r="T114" s="543">
        <v>242</v>
      </c>
      <c r="U114" s="543">
        <f t="shared" si="576"/>
        <v>239</v>
      </c>
      <c r="V114" s="543">
        <v>217</v>
      </c>
      <c r="W114" s="543">
        <v>209</v>
      </c>
      <c r="X114" s="543">
        <v>213</v>
      </c>
      <c r="Y114" s="543">
        <f t="shared" si="577"/>
        <v>231</v>
      </c>
      <c r="Z114" s="543">
        <v>252</v>
      </c>
      <c r="AA114" s="543">
        <v>273</v>
      </c>
      <c r="AB114" s="543">
        <v>378</v>
      </c>
      <c r="AC114" s="543">
        <f t="shared" si="578"/>
        <v>403</v>
      </c>
      <c r="AD114" s="543">
        <v>395</v>
      </c>
      <c r="AE114" s="543">
        <v>373</v>
      </c>
      <c r="AF114" s="543">
        <v>356</v>
      </c>
      <c r="AG114" s="543">
        <f t="shared" si="579"/>
        <v>393</v>
      </c>
      <c r="AH114" s="543">
        <v>311</v>
      </c>
      <c r="AI114" s="543">
        <v>308</v>
      </c>
      <c r="AJ114" s="543">
        <v>247</v>
      </c>
      <c r="AK114" s="543">
        <f t="shared" si="580"/>
        <v>286</v>
      </c>
      <c r="AL114" s="543">
        <v>439</v>
      </c>
      <c r="AM114" s="543">
        <v>401</v>
      </c>
      <c r="AN114" s="543">
        <v>399</v>
      </c>
      <c r="AO114" s="543">
        <f t="shared" si="581"/>
        <v>387</v>
      </c>
      <c r="AP114" s="543">
        <v>421</v>
      </c>
      <c r="AQ114" s="543">
        <v>409</v>
      </c>
      <c r="AR114" s="543">
        <v>448</v>
      </c>
    </row>
    <row r="115" spans="2:44" ht="15.75" thickBot="1" x14ac:dyDescent="0.3">
      <c r="B115" s="594" t="s">
        <v>676</v>
      </c>
      <c r="C115" s="595">
        <f t="shared" ref="C115" si="582">SUM(C109:C114)</f>
        <v>7735</v>
      </c>
      <c r="D115" s="595">
        <f t="shared" ref="D115:E115" si="583">SUM(D109:D114)</f>
        <v>7593</v>
      </c>
      <c r="E115" s="595">
        <f t="shared" si="583"/>
        <v>7202</v>
      </c>
      <c r="F115" s="595">
        <f t="shared" ref="F115:G115" si="584">SUM(F109:F114)</f>
        <v>7171</v>
      </c>
      <c r="G115" s="595">
        <f t="shared" si="584"/>
        <v>6823</v>
      </c>
      <c r="H115" s="595">
        <f t="shared" ref="H115:M115" si="585">SUM(H109:H114)</f>
        <v>6489</v>
      </c>
      <c r="I115" s="595">
        <f t="shared" si="585"/>
        <v>5988</v>
      </c>
      <c r="J115" s="595">
        <f t="shared" si="585"/>
        <v>5989</v>
      </c>
      <c r="K115" s="595">
        <f t="shared" si="585"/>
        <v>5981</v>
      </c>
      <c r="L115" s="595">
        <f t="shared" si="585"/>
        <v>6092</v>
      </c>
      <c r="M115" s="595">
        <f t="shared" si="585"/>
        <v>5208</v>
      </c>
      <c r="N115" s="592"/>
      <c r="O115" s="595">
        <f t="shared" ref="O115" si="586">SUM(O109:O114)</f>
        <v>8140</v>
      </c>
      <c r="P115" s="595">
        <f t="shared" ref="P115" si="587">SUM(P109:P114)</f>
        <v>7855</v>
      </c>
      <c r="Q115" s="595">
        <f t="shared" ref="Q115" si="588">SUM(Q109:Q114)</f>
        <v>7735</v>
      </c>
      <c r="R115" s="595">
        <f t="shared" ref="R115:S115" si="589">SUM(R109:R114)</f>
        <v>7734</v>
      </c>
      <c r="S115" s="595">
        <f t="shared" si="589"/>
        <v>7538</v>
      </c>
      <c r="T115" s="595">
        <f t="shared" ref="T115:U115" si="590">SUM(T109:T114)</f>
        <v>7579</v>
      </c>
      <c r="U115" s="595">
        <f t="shared" si="590"/>
        <v>7593</v>
      </c>
      <c r="V115" s="595">
        <f t="shared" ref="V115" si="591">SUM(V109:V114)</f>
        <v>7334</v>
      </c>
      <c r="W115" s="595">
        <f t="shared" ref="W115:X115" si="592">SUM(W109:W114)</f>
        <v>7327</v>
      </c>
      <c r="X115" s="595">
        <f t="shared" si="592"/>
        <v>7301</v>
      </c>
      <c r="Y115" s="595">
        <f t="shared" ref="Y115:AA115" si="593">SUM(Y109:Y114)</f>
        <v>7202</v>
      </c>
      <c r="Z115" s="595">
        <f t="shared" si="593"/>
        <v>6993</v>
      </c>
      <c r="AA115" s="595">
        <f t="shared" si="593"/>
        <v>7021</v>
      </c>
      <c r="AB115" s="595">
        <f t="shared" ref="AB115" si="594">SUM(AB109:AB114)</f>
        <v>7206</v>
      </c>
      <c r="AC115" s="595">
        <f t="shared" ref="AC115" si="595">SUM(AC109:AC114)</f>
        <v>7171</v>
      </c>
      <c r="AD115" s="595">
        <f t="shared" ref="AD115" si="596">SUM(AD109:AD114)</f>
        <v>7111</v>
      </c>
      <c r="AE115" s="595">
        <f t="shared" ref="AE115:AF115" si="597">SUM(AE109:AE114)</f>
        <v>6842</v>
      </c>
      <c r="AF115" s="595">
        <f t="shared" si="597"/>
        <v>6732</v>
      </c>
      <c r="AG115" s="595">
        <f t="shared" ref="AG115" si="598">SUM(AG109:AG114)</f>
        <v>6823</v>
      </c>
      <c r="AH115" s="595">
        <f t="shared" ref="AH115" si="599">SUM(AH109:AH114)</f>
        <v>6518</v>
      </c>
      <c r="AI115" s="595">
        <f t="shared" ref="AI115:AR115" si="600">SUM(AI109:AI114)</f>
        <v>6362</v>
      </c>
      <c r="AJ115" s="595">
        <f t="shared" si="600"/>
        <v>6417</v>
      </c>
      <c r="AK115" s="595">
        <f t="shared" si="600"/>
        <v>6489</v>
      </c>
      <c r="AL115" s="595">
        <f t="shared" si="600"/>
        <v>6418</v>
      </c>
      <c r="AM115" s="595">
        <f t="shared" si="600"/>
        <v>6404</v>
      </c>
      <c r="AN115" s="595">
        <f t="shared" si="600"/>
        <v>6338</v>
      </c>
      <c r="AO115" s="595">
        <f t="shared" si="600"/>
        <v>5988</v>
      </c>
      <c r="AP115" s="595">
        <f t="shared" si="600"/>
        <v>5962</v>
      </c>
      <c r="AQ115" s="595">
        <f t="shared" si="600"/>
        <v>5938</v>
      </c>
      <c r="AR115" s="595">
        <f t="shared" si="600"/>
        <v>6129</v>
      </c>
    </row>
    <row r="116" spans="2:44" ht="15.75" thickTop="1" x14ac:dyDescent="0.25">
      <c r="B116" s="586" t="s">
        <v>677</v>
      </c>
      <c r="C116" s="587">
        <f t="shared" ref="C116" si="601">C108+C115</f>
        <v>11321</v>
      </c>
      <c r="D116" s="587">
        <f t="shared" ref="D116:E116" si="602">D108+D115</f>
        <v>11627</v>
      </c>
      <c r="E116" s="587">
        <f t="shared" si="602"/>
        <v>11750</v>
      </c>
      <c r="F116" s="587">
        <f t="shared" ref="F116:G116" si="603">F108+F115</f>
        <v>11080</v>
      </c>
      <c r="G116" s="587">
        <f t="shared" si="603"/>
        <v>9664</v>
      </c>
      <c r="H116" s="587">
        <f t="shared" ref="H116:M116" si="604">H108+H115</f>
        <v>9173</v>
      </c>
      <c r="I116" s="587">
        <f t="shared" si="604"/>
        <v>8776</v>
      </c>
      <c r="J116" s="587">
        <f t="shared" si="604"/>
        <v>8714</v>
      </c>
      <c r="K116" s="587">
        <f t="shared" si="604"/>
        <v>8552</v>
      </c>
      <c r="L116" s="587">
        <f t="shared" si="604"/>
        <v>9077</v>
      </c>
      <c r="M116" s="587">
        <f t="shared" si="604"/>
        <v>8348</v>
      </c>
      <c r="N116" s="592"/>
      <c r="O116" s="587">
        <f t="shared" ref="O116" si="605">O108+O115</f>
        <v>12375</v>
      </c>
      <c r="P116" s="587">
        <f t="shared" ref="P116" si="606">P108+P115</f>
        <v>11691</v>
      </c>
      <c r="Q116" s="587">
        <f t="shared" ref="Q116" si="607">Q108+Q115</f>
        <v>11321</v>
      </c>
      <c r="R116" s="587">
        <f t="shared" ref="R116:S116" si="608">R108+R115</f>
        <v>11558</v>
      </c>
      <c r="S116" s="587">
        <f t="shared" si="608"/>
        <v>11205</v>
      </c>
      <c r="T116" s="587">
        <f t="shared" ref="T116:U116" si="609">T108+T115</f>
        <v>11486</v>
      </c>
      <c r="U116" s="587">
        <f t="shared" si="609"/>
        <v>11627</v>
      </c>
      <c r="V116" s="587">
        <f t="shared" ref="V116" si="610">V108+V115</f>
        <v>11274</v>
      </c>
      <c r="W116" s="587">
        <f t="shared" ref="W116:X116" si="611">W108+W115</f>
        <v>11584</v>
      </c>
      <c r="X116" s="587">
        <f t="shared" si="611"/>
        <v>12045</v>
      </c>
      <c r="Y116" s="587">
        <f t="shared" ref="Y116:AA116" si="612">Y108+Y115</f>
        <v>11750</v>
      </c>
      <c r="Z116" s="587">
        <f t="shared" si="612"/>
        <v>11598</v>
      </c>
      <c r="AA116" s="587">
        <f t="shared" si="612"/>
        <v>11778</v>
      </c>
      <c r="AB116" s="587">
        <f t="shared" ref="AB116" si="613">AB108+AB115</f>
        <v>11664</v>
      </c>
      <c r="AC116" s="587">
        <f t="shared" ref="AC116" si="614">AC108+AC115</f>
        <v>11080</v>
      </c>
      <c r="AD116" s="587">
        <f t="shared" ref="AD116" si="615">AD108+AD115</f>
        <v>10572</v>
      </c>
      <c r="AE116" s="587">
        <f t="shared" ref="AE116:AF116" si="616">AE108+AE115</f>
        <v>10080</v>
      </c>
      <c r="AF116" s="587">
        <f t="shared" si="616"/>
        <v>9720</v>
      </c>
      <c r="AG116" s="587">
        <f t="shared" ref="AG116" si="617">AG108+AG115</f>
        <v>9664</v>
      </c>
      <c r="AH116" s="587">
        <f t="shared" ref="AH116" si="618">AH108+AH115</f>
        <v>9266</v>
      </c>
      <c r="AI116" s="587">
        <f t="shared" ref="AI116:AR116" si="619">AI108+AI115</f>
        <v>9226</v>
      </c>
      <c r="AJ116" s="587">
        <f t="shared" si="619"/>
        <v>9548</v>
      </c>
      <c r="AK116" s="587">
        <f t="shared" si="619"/>
        <v>9173</v>
      </c>
      <c r="AL116" s="587">
        <f t="shared" si="619"/>
        <v>9113</v>
      </c>
      <c r="AM116" s="587">
        <f t="shared" si="619"/>
        <v>9242</v>
      </c>
      <c r="AN116" s="587">
        <f t="shared" si="619"/>
        <v>9117</v>
      </c>
      <c r="AO116" s="587">
        <f t="shared" si="619"/>
        <v>8776</v>
      </c>
      <c r="AP116" s="587">
        <f t="shared" si="619"/>
        <v>8643</v>
      </c>
      <c r="AQ116" s="587">
        <f t="shared" si="619"/>
        <v>8731</v>
      </c>
      <c r="AR116" s="587">
        <f t="shared" si="619"/>
        <v>9570</v>
      </c>
    </row>
    <row r="117" spans="2:44" x14ac:dyDescent="0.25">
      <c r="B117" s="536" t="s">
        <v>678</v>
      </c>
      <c r="C117" s="543">
        <v>384</v>
      </c>
      <c r="D117" s="543">
        <v>858</v>
      </c>
      <c r="E117" s="543">
        <v>512</v>
      </c>
      <c r="F117" s="543">
        <v>577</v>
      </c>
      <c r="G117" s="543">
        <v>679</v>
      </c>
      <c r="H117" s="543">
        <v>420</v>
      </c>
      <c r="I117" s="543">
        <v>610</v>
      </c>
      <c r="J117" s="543">
        <v>822</v>
      </c>
      <c r="K117" s="543">
        <v>588</v>
      </c>
      <c r="L117" s="543">
        <v>673</v>
      </c>
      <c r="M117" s="543">
        <v>603</v>
      </c>
      <c r="N117" s="592"/>
      <c r="O117" s="543">
        <v>365</v>
      </c>
      <c r="P117" s="543">
        <v>570</v>
      </c>
      <c r="Q117" s="543">
        <v>384</v>
      </c>
      <c r="R117" s="543">
        <v>606</v>
      </c>
      <c r="S117" s="543">
        <v>577</v>
      </c>
      <c r="T117" s="543">
        <v>623</v>
      </c>
      <c r="U117" s="543">
        <f t="shared" ref="U117:U121" si="620">D117</f>
        <v>858</v>
      </c>
      <c r="V117" s="543">
        <v>592</v>
      </c>
      <c r="W117" s="543">
        <v>674</v>
      </c>
      <c r="X117" s="543">
        <v>704</v>
      </c>
      <c r="Y117" s="543">
        <f t="shared" ref="Y117:Y121" si="621">E117</f>
        <v>512</v>
      </c>
      <c r="Z117" s="543">
        <v>481</v>
      </c>
      <c r="AA117" s="543">
        <v>466</v>
      </c>
      <c r="AB117" s="543">
        <v>506</v>
      </c>
      <c r="AC117" s="543">
        <f t="shared" ref="AC117:AC121" si="622">F117</f>
        <v>577</v>
      </c>
      <c r="AD117" s="543">
        <v>597</v>
      </c>
      <c r="AE117" s="543">
        <v>630</v>
      </c>
      <c r="AF117" s="543">
        <v>617</v>
      </c>
      <c r="AG117" s="543">
        <f t="shared" ref="AG117:AG121" si="623">G117</f>
        <v>679</v>
      </c>
      <c r="AH117" s="543">
        <v>614</v>
      </c>
      <c r="AI117" s="543">
        <v>544</v>
      </c>
      <c r="AJ117" s="543">
        <v>606</v>
      </c>
      <c r="AK117" s="543">
        <f>H117</f>
        <v>420</v>
      </c>
      <c r="AL117" s="543">
        <v>476</v>
      </c>
      <c r="AM117" s="543">
        <v>598</v>
      </c>
      <c r="AN117" s="543">
        <v>638</v>
      </c>
      <c r="AO117" s="543">
        <f>I117</f>
        <v>610</v>
      </c>
      <c r="AP117" s="543">
        <v>671</v>
      </c>
      <c r="AQ117" s="543">
        <v>616</v>
      </c>
      <c r="AR117" s="543">
        <v>642</v>
      </c>
    </row>
    <row r="118" spans="2:44" x14ac:dyDescent="0.25">
      <c r="B118" s="536" t="s">
        <v>48</v>
      </c>
      <c r="C118" s="543">
        <v>1002</v>
      </c>
      <c r="D118" s="543">
        <v>912</v>
      </c>
      <c r="E118" s="543">
        <v>1006</v>
      </c>
      <c r="F118" s="543">
        <v>1064</v>
      </c>
      <c r="G118" s="543">
        <v>740</v>
      </c>
      <c r="H118" s="543">
        <v>712</v>
      </c>
      <c r="I118" s="543">
        <v>715</v>
      </c>
      <c r="J118" s="543">
        <v>790</v>
      </c>
      <c r="K118" s="543">
        <v>644</v>
      </c>
      <c r="L118" s="543">
        <v>716</v>
      </c>
      <c r="M118" s="543">
        <v>585</v>
      </c>
      <c r="N118" s="592"/>
      <c r="O118" s="543">
        <v>1082</v>
      </c>
      <c r="P118" s="543">
        <v>1031</v>
      </c>
      <c r="Q118" s="543">
        <v>1002</v>
      </c>
      <c r="R118" s="543">
        <v>921</v>
      </c>
      <c r="S118" s="543">
        <v>834</v>
      </c>
      <c r="T118" s="543">
        <v>914</v>
      </c>
      <c r="U118" s="543">
        <f t="shared" si="620"/>
        <v>912</v>
      </c>
      <c r="V118" s="543">
        <v>814</v>
      </c>
      <c r="W118" s="543">
        <v>893</v>
      </c>
      <c r="X118" s="543">
        <v>967</v>
      </c>
      <c r="Y118" s="543">
        <f t="shared" si="621"/>
        <v>1006</v>
      </c>
      <c r="Z118" s="543">
        <v>1066</v>
      </c>
      <c r="AA118" s="543">
        <v>1132</v>
      </c>
      <c r="AB118" s="543">
        <v>1078</v>
      </c>
      <c r="AC118" s="543">
        <f t="shared" si="622"/>
        <v>1064</v>
      </c>
      <c r="AD118" s="543">
        <v>885</v>
      </c>
      <c r="AE118" s="543">
        <v>801</v>
      </c>
      <c r="AF118" s="543">
        <v>752</v>
      </c>
      <c r="AG118" s="543">
        <f t="shared" si="623"/>
        <v>740</v>
      </c>
      <c r="AH118" s="543">
        <v>669</v>
      </c>
      <c r="AI118" s="543">
        <v>720</v>
      </c>
      <c r="AJ118" s="543">
        <v>757</v>
      </c>
      <c r="AK118" s="543">
        <f>H118</f>
        <v>712</v>
      </c>
      <c r="AL118" s="543">
        <v>691</v>
      </c>
      <c r="AM118" s="543">
        <v>670</v>
      </c>
      <c r="AN118" s="543">
        <v>616</v>
      </c>
      <c r="AO118" s="543">
        <f>I118</f>
        <v>715</v>
      </c>
      <c r="AP118" s="543">
        <v>686</v>
      </c>
      <c r="AQ118" s="543">
        <v>777</v>
      </c>
      <c r="AR118" s="543">
        <v>736</v>
      </c>
    </row>
    <row r="119" spans="2:44" x14ac:dyDescent="0.25">
      <c r="B119" s="536" t="s">
        <v>173</v>
      </c>
      <c r="C119" s="543">
        <v>63</v>
      </c>
      <c r="D119" s="543">
        <v>85</v>
      </c>
      <c r="E119" s="543">
        <v>81</v>
      </c>
      <c r="F119" s="543">
        <v>59</v>
      </c>
      <c r="G119" s="543">
        <v>54</v>
      </c>
      <c r="H119" s="543">
        <v>42</v>
      </c>
      <c r="I119" s="543">
        <v>37</v>
      </c>
      <c r="J119" s="543">
        <v>78</v>
      </c>
      <c r="K119" s="543">
        <v>83</v>
      </c>
      <c r="L119" s="543">
        <v>62</v>
      </c>
      <c r="M119" s="543">
        <v>36</v>
      </c>
      <c r="N119" s="592"/>
      <c r="O119" s="543">
        <v>59</v>
      </c>
      <c r="P119" s="543">
        <v>62</v>
      </c>
      <c r="Q119" s="543">
        <v>63</v>
      </c>
      <c r="R119" s="543">
        <v>49</v>
      </c>
      <c r="S119" s="543">
        <v>49</v>
      </c>
      <c r="T119" s="543">
        <v>54</v>
      </c>
      <c r="U119" s="543">
        <f t="shared" si="620"/>
        <v>85</v>
      </c>
      <c r="V119" s="543">
        <v>71</v>
      </c>
      <c r="W119" s="543">
        <v>75</v>
      </c>
      <c r="X119" s="543">
        <v>79</v>
      </c>
      <c r="Y119" s="543">
        <f t="shared" si="621"/>
        <v>81</v>
      </c>
      <c r="Z119" s="543">
        <v>45</v>
      </c>
      <c r="AA119" s="543">
        <v>53</v>
      </c>
      <c r="AB119" s="543">
        <v>56</v>
      </c>
      <c r="AC119" s="543">
        <f t="shared" si="622"/>
        <v>59</v>
      </c>
      <c r="AD119" s="543">
        <v>56</v>
      </c>
      <c r="AE119" s="543">
        <v>55</v>
      </c>
      <c r="AF119" s="543">
        <v>54</v>
      </c>
      <c r="AG119" s="543">
        <f t="shared" si="623"/>
        <v>54</v>
      </c>
      <c r="AH119" s="543">
        <v>51</v>
      </c>
      <c r="AI119" s="543">
        <v>51</v>
      </c>
      <c r="AJ119" s="543">
        <v>43</v>
      </c>
      <c r="AK119" s="543">
        <f>H119</f>
        <v>42</v>
      </c>
      <c r="AL119" s="543">
        <v>34</v>
      </c>
      <c r="AM119" s="543">
        <v>37</v>
      </c>
      <c r="AN119" s="543">
        <v>36</v>
      </c>
      <c r="AO119" s="543">
        <f>I119</f>
        <v>37</v>
      </c>
      <c r="AP119" s="543">
        <v>50</v>
      </c>
      <c r="AQ119" s="543">
        <v>54</v>
      </c>
      <c r="AR119" s="543">
        <v>59</v>
      </c>
    </row>
    <row r="120" spans="2:44" x14ac:dyDescent="0.25">
      <c r="B120" s="536" t="s">
        <v>759</v>
      </c>
      <c r="C120" s="543">
        <v>0</v>
      </c>
      <c r="D120" s="543">
        <v>0</v>
      </c>
      <c r="E120" s="543">
        <v>0</v>
      </c>
      <c r="F120" s="543">
        <v>0</v>
      </c>
      <c r="G120" s="543">
        <v>0</v>
      </c>
      <c r="H120" s="543">
        <v>0</v>
      </c>
      <c r="I120" s="543">
        <v>0</v>
      </c>
      <c r="J120" s="543">
        <v>43</v>
      </c>
      <c r="K120" s="543">
        <v>0</v>
      </c>
      <c r="L120" s="543">
        <v>26</v>
      </c>
      <c r="M120" s="543">
        <v>51</v>
      </c>
      <c r="N120" s="592"/>
      <c r="O120" s="543">
        <v>0</v>
      </c>
      <c r="P120" s="543">
        <v>0</v>
      </c>
      <c r="Q120" s="543">
        <v>0</v>
      </c>
      <c r="R120" s="543">
        <v>0</v>
      </c>
      <c r="S120" s="543">
        <v>0</v>
      </c>
      <c r="T120" s="543">
        <v>0</v>
      </c>
      <c r="U120" s="543">
        <f t="shared" si="620"/>
        <v>0</v>
      </c>
      <c r="V120" s="543">
        <v>0</v>
      </c>
      <c r="W120" s="543">
        <v>0</v>
      </c>
      <c r="X120" s="543">
        <v>0</v>
      </c>
      <c r="Y120" s="543">
        <f t="shared" si="621"/>
        <v>0</v>
      </c>
      <c r="Z120" s="543">
        <v>0</v>
      </c>
      <c r="AA120" s="543">
        <v>0</v>
      </c>
      <c r="AB120" s="543">
        <v>0</v>
      </c>
      <c r="AC120" s="543">
        <f t="shared" si="622"/>
        <v>0</v>
      </c>
      <c r="AD120" s="543">
        <v>0</v>
      </c>
      <c r="AE120" s="543">
        <v>0</v>
      </c>
      <c r="AF120" s="543">
        <v>0</v>
      </c>
      <c r="AG120" s="543">
        <f t="shared" si="623"/>
        <v>0</v>
      </c>
      <c r="AH120" s="543">
        <v>0</v>
      </c>
      <c r="AI120" s="543">
        <v>0</v>
      </c>
      <c r="AJ120" s="543">
        <v>0</v>
      </c>
      <c r="AK120" s="543"/>
      <c r="AL120" s="543">
        <v>0</v>
      </c>
      <c r="AM120" s="543">
        <v>0</v>
      </c>
      <c r="AN120" s="543">
        <v>0</v>
      </c>
      <c r="AO120" s="543"/>
      <c r="AP120" s="543">
        <v>0</v>
      </c>
      <c r="AQ120" s="543">
        <v>0</v>
      </c>
      <c r="AR120" s="543">
        <v>0</v>
      </c>
    </row>
    <row r="121" spans="2:44" x14ac:dyDescent="0.25">
      <c r="B121" s="536" t="s">
        <v>754</v>
      </c>
      <c r="C121" s="543">
        <v>879</v>
      </c>
      <c r="D121" s="543">
        <v>783</v>
      </c>
      <c r="E121" s="543">
        <v>1007</v>
      </c>
      <c r="F121" s="543">
        <v>912</v>
      </c>
      <c r="G121" s="543">
        <v>704</v>
      </c>
      <c r="H121" s="543">
        <v>587</v>
      </c>
      <c r="I121" s="543">
        <v>647</v>
      </c>
      <c r="J121" s="543">
        <v>595</v>
      </c>
      <c r="K121" s="543">
        <v>708</v>
      </c>
      <c r="L121" s="543">
        <v>569</v>
      </c>
      <c r="M121" s="543">
        <v>730</v>
      </c>
      <c r="N121" s="592"/>
      <c r="O121" s="543">
        <v>920</v>
      </c>
      <c r="P121" s="543">
        <v>940</v>
      </c>
      <c r="Q121" s="543">
        <v>879</v>
      </c>
      <c r="R121" s="543">
        <v>874</v>
      </c>
      <c r="S121" s="543">
        <v>802</v>
      </c>
      <c r="T121" s="543">
        <v>849</v>
      </c>
      <c r="U121" s="543">
        <f t="shared" si="620"/>
        <v>783</v>
      </c>
      <c r="V121" s="543">
        <v>809</v>
      </c>
      <c r="W121" s="543">
        <v>789</v>
      </c>
      <c r="X121" s="543">
        <v>985</v>
      </c>
      <c r="Y121" s="543">
        <f t="shared" si="621"/>
        <v>1007</v>
      </c>
      <c r="Z121" s="543">
        <v>1040</v>
      </c>
      <c r="AA121" s="543">
        <v>1227</v>
      </c>
      <c r="AB121" s="543">
        <v>1049</v>
      </c>
      <c r="AC121" s="543">
        <f t="shared" si="622"/>
        <v>912</v>
      </c>
      <c r="AD121" s="543">
        <v>740</v>
      </c>
      <c r="AE121" s="543">
        <v>659</v>
      </c>
      <c r="AF121" s="543">
        <v>735</v>
      </c>
      <c r="AG121" s="543">
        <f t="shared" si="623"/>
        <v>704</v>
      </c>
      <c r="AH121" s="543">
        <v>633</v>
      </c>
      <c r="AI121" s="543">
        <v>576</v>
      </c>
      <c r="AJ121" s="543">
        <v>637</v>
      </c>
      <c r="AK121" s="543">
        <f>H121</f>
        <v>587</v>
      </c>
      <c r="AL121" s="543">
        <v>578</v>
      </c>
      <c r="AM121" s="543">
        <v>571</v>
      </c>
      <c r="AN121" s="543">
        <v>649</v>
      </c>
      <c r="AO121" s="543">
        <f>I121</f>
        <v>647</v>
      </c>
      <c r="AP121" s="543">
        <v>587</v>
      </c>
      <c r="AQ121" s="543">
        <v>626</v>
      </c>
      <c r="AR121" s="543">
        <v>689</v>
      </c>
    </row>
    <row r="122" spans="2:44" x14ac:dyDescent="0.25">
      <c r="B122" s="547" t="s">
        <v>679</v>
      </c>
      <c r="C122" s="548">
        <f t="shared" ref="C122" si="624">SUM(C117:C121)</f>
        <v>2328</v>
      </c>
      <c r="D122" s="548">
        <f t="shared" ref="D122:E122" si="625">SUM(D117:D121)</f>
        <v>2638</v>
      </c>
      <c r="E122" s="548">
        <f t="shared" si="625"/>
        <v>2606</v>
      </c>
      <c r="F122" s="548">
        <f t="shared" ref="F122:G122" si="626">SUM(F117:F121)</f>
        <v>2612</v>
      </c>
      <c r="G122" s="548">
        <f t="shared" si="626"/>
        <v>2177</v>
      </c>
      <c r="H122" s="548">
        <f t="shared" ref="H122:M122" si="627">SUM(H117:H121)</f>
        <v>1761</v>
      </c>
      <c r="I122" s="548">
        <f t="shared" si="627"/>
        <v>2009</v>
      </c>
      <c r="J122" s="548">
        <f t="shared" si="627"/>
        <v>2328</v>
      </c>
      <c r="K122" s="548">
        <f t="shared" si="627"/>
        <v>2023</v>
      </c>
      <c r="L122" s="548">
        <f t="shared" si="627"/>
        <v>2046</v>
      </c>
      <c r="M122" s="548">
        <f t="shared" si="627"/>
        <v>2005</v>
      </c>
      <c r="N122" s="592"/>
      <c r="O122" s="548">
        <f t="shared" ref="O122" si="628">SUM(O117:O121)</f>
        <v>2426</v>
      </c>
      <c r="P122" s="548">
        <f t="shared" ref="P122" si="629">SUM(P117:P121)</f>
        <v>2603</v>
      </c>
      <c r="Q122" s="548">
        <f t="shared" ref="Q122" si="630">SUM(Q117:Q121)</f>
        <v>2328</v>
      </c>
      <c r="R122" s="548">
        <f t="shared" ref="R122:S122" si="631">SUM(R117:R121)</f>
        <v>2450</v>
      </c>
      <c r="S122" s="548">
        <f t="shared" si="631"/>
        <v>2262</v>
      </c>
      <c r="T122" s="548">
        <f t="shared" ref="T122:U122" si="632">SUM(T117:T121)</f>
        <v>2440</v>
      </c>
      <c r="U122" s="548">
        <f t="shared" si="632"/>
        <v>2638</v>
      </c>
      <c r="V122" s="548">
        <f t="shared" ref="V122" si="633">SUM(V117:V121)</f>
        <v>2286</v>
      </c>
      <c r="W122" s="548">
        <f t="shared" ref="W122:X122" si="634">SUM(W117:W121)</f>
        <v>2431</v>
      </c>
      <c r="X122" s="548">
        <f t="shared" si="634"/>
        <v>2735</v>
      </c>
      <c r="Y122" s="548">
        <f t="shared" ref="Y122:AA122" si="635">SUM(Y117:Y121)</f>
        <v>2606</v>
      </c>
      <c r="Z122" s="548">
        <f t="shared" si="635"/>
        <v>2632</v>
      </c>
      <c r="AA122" s="548">
        <f t="shared" si="635"/>
        <v>2878</v>
      </c>
      <c r="AB122" s="548">
        <f t="shared" ref="AB122" si="636">SUM(AB117:AB121)</f>
        <v>2689</v>
      </c>
      <c r="AC122" s="548">
        <f t="shared" ref="AC122" si="637">SUM(AC117:AC121)</f>
        <v>2612</v>
      </c>
      <c r="AD122" s="548">
        <f t="shared" ref="AD122" si="638">SUM(AD117:AD121)</f>
        <v>2278</v>
      </c>
      <c r="AE122" s="548">
        <f t="shared" ref="AE122:AF122" si="639">SUM(AE117:AE121)</f>
        <v>2145</v>
      </c>
      <c r="AF122" s="548">
        <f t="shared" si="639"/>
        <v>2158</v>
      </c>
      <c r="AG122" s="548">
        <f t="shared" ref="AG122" si="640">SUM(AG117:AG121)</f>
        <v>2177</v>
      </c>
      <c r="AH122" s="548">
        <f t="shared" ref="AH122" si="641">SUM(AH117:AH121)</f>
        <v>1967</v>
      </c>
      <c r="AI122" s="548">
        <f t="shared" ref="AI122:AR122" si="642">SUM(AI117:AI121)</f>
        <v>1891</v>
      </c>
      <c r="AJ122" s="548">
        <f t="shared" si="642"/>
        <v>2043</v>
      </c>
      <c r="AK122" s="548">
        <f t="shared" si="642"/>
        <v>1761</v>
      </c>
      <c r="AL122" s="548">
        <f t="shared" si="642"/>
        <v>1779</v>
      </c>
      <c r="AM122" s="548">
        <f t="shared" si="642"/>
        <v>1876</v>
      </c>
      <c r="AN122" s="548">
        <f t="shared" si="642"/>
        <v>1939</v>
      </c>
      <c r="AO122" s="548">
        <f t="shared" si="642"/>
        <v>2009</v>
      </c>
      <c r="AP122" s="548">
        <f t="shared" si="642"/>
        <v>1994</v>
      </c>
      <c r="AQ122" s="548">
        <f t="shared" si="642"/>
        <v>2073</v>
      </c>
      <c r="AR122" s="548">
        <f t="shared" si="642"/>
        <v>2126</v>
      </c>
    </row>
    <row r="123" spans="2:44" x14ac:dyDescent="0.25">
      <c r="B123" s="536" t="s">
        <v>755</v>
      </c>
      <c r="C123" s="543">
        <v>1909</v>
      </c>
      <c r="D123" s="543">
        <v>1829</v>
      </c>
      <c r="E123" s="543">
        <v>2312</v>
      </c>
      <c r="F123" s="543">
        <v>2436</v>
      </c>
      <c r="G123" s="543">
        <v>2053</v>
      </c>
      <c r="H123" s="543">
        <v>2181</v>
      </c>
      <c r="I123" s="543">
        <v>1815</v>
      </c>
      <c r="J123" s="543">
        <v>2388</v>
      </c>
      <c r="K123" s="543">
        <v>2796</v>
      </c>
      <c r="L123" s="543">
        <v>2805</v>
      </c>
      <c r="M123" s="543">
        <v>2303</v>
      </c>
      <c r="N123" s="592"/>
      <c r="O123" s="543">
        <v>2550</v>
      </c>
      <c r="P123" s="543">
        <v>1856</v>
      </c>
      <c r="Q123" s="543">
        <v>1909</v>
      </c>
      <c r="R123" s="543">
        <v>1845</v>
      </c>
      <c r="S123" s="543">
        <v>1850</v>
      </c>
      <c r="T123" s="543">
        <v>1883</v>
      </c>
      <c r="U123" s="543">
        <f t="shared" ref="U123:U127" si="643">D123</f>
        <v>1829</v>
      </c>
      <c r="V123" s="543">
        <v>1984</v>
      </c>
      <c r="W123" s="543">
        <v>2117</v>
      </c>
      <c r="X123" s="543">
        <v>2278</v>
      </c>
      <c r="Y123" s="543">
        <f t="shared" ref="Y123:Y127" si="644">E123</f>
        <v>2312</v>
      </c>
      <c r="Z123" s="543">
        <v>2290</v>
      </c>
      <c r="AA123" s="543">
        <v>2291</v>
      </c>
      <c r="AB123" s="543">
        <v>2402</v>
      </c>
      <c r="AC123" s="543">
        <f t="shared" ref="AC123:AC127" si="645">F123</f>
        <v>2436</v>
      </c>
      <c r="AD123" s="543">
        <v>2426</v>
      </c>
      <c r="AE123" s="543">
        <v>2212</v>
      </c>
      <c r="AF123" s="543">
        <v>2121</v>
      </c>
      <c r="AG123" s="543">
        <f t="shared" ref="AG123:AG127" si="646">G123</f>
        <v>2053</v>
      </c>
      <c r="AH123" s="543">
        <v>2125</v>
      </c>
      <c r="AI123" s="543">
        <v>2297</v>
      </c>
      <c r="AJ123" s="543">
        <v>2353</v>
      </c>
      <c r="AK123" s="543">
        <f>H123</f>
        <v>2181</v>
      </c>
      <c r="AL123" s="543">
        <v>2101</v>
      </c>
      <c r="AM123" s="543">
        <v>2145</v>
      </c>
      <c r="AN123" s="543">
        <v>2072</v>
      </c>
      <c r="AO123" s="543">
        <f>I123</f>
        <v>1815</v>
      </c>
      <c r="AP123" s="543">
        <v>1721</v>
      </c>
      <c r="AQ123" s="543">
        <v>1886</v>
      </c>
      <c r="AR123" s="543">
        <v>2503</v>
      </c>
    </row>
    <row r="124" spans="2:44" x14ac:dyDescent="0.25">
      <c r="B124" s="536" t="s">
        <v>675</v>
      </c>
      <c r="C124" s="543">
        <v>481</v>
      </c>
      <c r="D124" s="543">
        <v>489</v>
      </c>
      <c r="E124" s="543">
        <v>423</v>
      </c>
      <c r="F124" s="543">
        <v>384</v>
      </c>
      <c r="G124" s="543">
        <v>326</v>
      </c>
      <c r="H124" s="543">
        <v>341</v>
      </c>
      <c r="I124" s="543">
        <v>297</v>
      </c>
      <c r="J124" s="543">
        <v>228</v>
      </c>
      <c r="K124" s="543">
        <v>303</v>
      </c>
      <c r="L124" s="543">
        <v>351</v>
      </c>
      <c r="M124" s="543">
        <v>260</v>
      </c>
      <c r="N124" s="592"/>
      <c r="O124" s="543">
        <v>477</v>
      </c>
      <c r="P124" s="543">
        <v>486</v>
      </c>
      <c r="Q124" s="543">
        <v>481</v>
      </c>
      <c r="R124" s="543">
        <v>495</v>
      </c>
      <c r="S124" s="543">
        <v>500</v>
      </c>
      <c r="T124" s="543">
        <v>492</v>
      </c>
      <c r="U124" s="543">
        <f t="shared" si="643"/>
        <v>489</v>
      </c>
      <c r="V124" s="543">
        <v>464</v>
      </c>
      <c r="W124" s="543">
        <v>467</v>
      </c>
      <c r="X124" s="543">
        <v>442</v>
      </c>
      <c r="Y124" s="543">
        <f t="shared" si="644"/>
        <v>423</v>
      </c>
      <c r="Z124" s="543">
        <v>412</v>
      </c>
      <c r="AA124" s="543">
        <v>450</v>
      </c>
      <c r="AB124" s="543">
        <v>406</v>
      </c>
      <c r="AC124" s="543">
        <f t="shared" si="645"/>
        <v>384</v>
      </c>
      <c r="AD124" s="543">
        <v>391</v>
      </c>
      <c r="AE124" s="543">
        <v>368</v>
      </c>
      <c r="AF124" s="543">
        <v>320</v>
      </c>
      <c r="AG124" s="543">
        <f t="shared" si="646"/>
        <v>326</v>
      </c>
      <c r="AH124" s="543">
        <v>307</v>
      </c>
      <c r="AI124" s="543">
        <v>305</v>
      </c>
      <c r="AJ124" s="543">
        <v>336</v>
      </c>
      <c r="AK124" s="543">
        <f>H124</f>
        <v>341</v>
      </c>
      <c r="AL124" s="543">
        <v>357</v>
      </c>
      <c r="AM124" s="543">
        <v>345</v>
      </c>
      <c r="AN124" s="543">
        <v>303</v>
      </c>
      <c r="AO124" s="543">
        <f>I124</f>
        <v>297</v>
      </c>
      <c r="AP124" s="543">
        <v>274</v>
      </c>
      <c r="AQ124" s="543">
        <v>246</v>
      </c>
      <c r="AR124" s="543">
        <v>255</v>
      </c>
    </row>
    <row r="125" spans="2:44" x14ac:dyDescent="0.25">
      <c r="B125" s="536" t="s">
        <v>681</v>
      </c>
      <c r="C125" s="543">
        <v>331</v>
      </c>
      <c r="D125" s="543">
        <v>354</v>
      </c>
      <c r="E125" s="543">
        <v>402</v>
      </c>
      <c r="F125" s="543">
        <v>564</v>
      </c>
      <c r="G125" s="543">
        <v>655</v>
      </c>
      <c r="H125" s="543">
        <v>575</v>
      </c>
      <c r="I125" s="543">
        <v>501</v>
      </c>
      <c r="J125" s="543">
        <v>640</v>
      </c>
      <c r="K125" s="543">
        <v>576</v>
      </c>
      <c r="L125" s="543">
        <v>547</v>
      </c>
      <c r="M125" s="543">
        <v>659</v>
      </c>
      <c r="N125" s="592"/>
      <c r="O125" s="543">
        <v>365</v>
      </c>
      <c r="P125" s="543">
        <v>333</v>
      </c>
      <c r="Q125" s="543">
        <v>331</v>
      </c>
      <c r="R125" s="543">
        <v>339</v>
      </c>
      <c r="S125" s="543">
        <v>330</v>
      </c>
      <c r="T125" s="543">
        <v>352</v>
      </c>
      <c r="U125" s="543">
        <f t="shared" si="643"/>
        <v>354</v>
      </c>
      <c r="V125" s="543">
        <v>334</v>
      </c>
      <c r="W125" s="543">
        <v>362</v>
      </c>
      <c r="X125" s="543">
        <v>385</v>
      </c>
      <c r="Y125" s="543">
        <f t="shared" si="644"/>
        <v>402</v>
      </c>
      <c r="Z125" s="543">
        <v>398</v>
      </c>
      <c r="AA125" s="543">
        <v>435</v>
      </c>
      <c r="AB125" s="543">
        <v>511</v>
      </c>
      <c r="AC125" s="543">
        <f t="shared" si="645"/>
        <v>564</v>
      </c>
      <c r="AD125" s="543">
        <v>606</v>
      </c>
      <c r="AE125" s="543">
        <v>622</v>
      </c>
      <c r="AF125" s="543">
        <v>620</v>
      </c>
      <c r="AG125" s="543">
        <f t="shared" si="646"/>
        <v>655</v>
      </c>
      <c r="AH125" s="543">
        <v>602</v>
      </c>
      <c r="AI125" s="543">
        <v>579</v>
      </c>
      <c r="AJ125" s="543">
        <v>522</v>
      </c>
      <c r="AK125" s="543">
        <f>H125</f>
        <v>575</v>
      </c>
      <c r="AL125" s="543">
        <v>576</v>
      </c>
      <c r="AM125" s="543">
        <v>544</v>
      </c>
      <c r="AN125" s="543">
        <v>524</v>
      </c>
      <c r="AO125" s="543">
        <f>I125</f>
        <v>501</v>
      </c>
      <c r="AP125" s="543">
        <v>542</v>
      </c>
      <c r="AQ125" s="543">
        <v>547</v>
      </c>
      <c r="AR125" s="543">
        <v>588</v>
      </c>
    </row>
    <row r="126" spans="2:44" x14ac:dyDescent="0.25">
      <c r="B126" s="536" t="s">
        <v>173</v>
      </c>
      <c r="C126" s="543">
        <v>230</v>
      </c>
      <c r="D126" s="543">
        <v>224</v>
      </c>
      <c r="E126" s="543">
        <v>234</v>
      </c>
      <c r="F126" s="543">
        <v>278</v>
      </c>
      <c r="G126" s="543">
        <v>267</v>
      </c>
      <c r="H126" s="543">
        <v>202</v>
      </c>
      <c r="I126" s="543">
        <v>229</v>
      </c>
      <c r="J126" s="543">
        <v>193</v>
      </c>
      <c r="K126" s="543">
        <v>185</v>
      </c>
      <c r="L126" s="543">
        <v>0</v>
      </c>
      <c r="M126" s="543">
        <v>0</v>
      </c>
      <c r="N126" s="592"/>
      <c r="O126" s="543">
        <v>244</v>
      </c>
      <c r="P126" s="543">
        <v>229</v>
      </c>
      <c r="Q126" s="543">
        <v>230</v>
      </c>
      <c r="R126" s="543">
        <v>223</v>
      </c>
      <c r="S126" s="543">
        <v>218</v>
      </c>
      <c r="T126" s="543">
        <v>218</v>
      </c>
      <c r="U126" s="543">
        <f t="shared" si="643"/>
        <v>224</v>
      </c>
      <c r="V126" s="543">
        <v>234</v>
      </c>
      <c r="W126" s="543">
        <v>236</v>
      </c>
      <c r="X126" s="543">
        <v>239</v>
      </c>
      <c r="Y126" s="543">
        <f t="shared" si="644"/>
        <v>234</v>
      </c>
      <c r="Z126" s="543">
        <v>262</v>
      </c>
      <c r="AA126" s="543">
        <v>266</v>
      </c>
      <c r="AB126" s="543">
        <v>275</v>
      </c>
      <c r="AC126" s="543">
        <f t="shared" si="645"/>
        <v>278</v>
      </c>
      <c r="AD126" s="543">
        <v>276</v>
      </c>
      <c r="AE126" s="543">
        <v>278</v>
      </c>
      <c r="AF126" s="543">
        <v>262</v>
      </c>
      <c r="AG126" s="543">
        <f t="shared" si="646"/>
        <v>267</v>
      </c>
      <c r="AH126" s="543">
        <v>268</v>
      </c>
      <c r="AI126" s="543">
        <v>227</v>
      </c>
      <c r="AJ126" s="543">
        <v>198</v>
      </c>
      <c r="AK126" s="543">
        <f>H126</f>
        <v>202</v>
      </c>
      <c r="AL126" s="543">
        <v>221</v>
      </c>
      <c r="AM126" s="543">
        <v>227</v>
      </c>
      <c r="AN126" s="543">
        <v>227</v>
      </c>
      <c r="AO126" s="543">
        <f>I126</f>
        <v>229</v>
      </c>
      <c r="AP126" s="543">
        <v>199</v>
      </c>
      <c r="AQ126" s="543">
        <v>200</v>
      </c>
      <c r="AR126" s="543">
        <v>206</v>
      </c>
    </row>
    <row r="127" spans="2:44" x14ac:dyDescent="0.25">
      <c r="B127" s="536" t="s">
        <v>756</v>
      </c>
      <c r="C127" s="543">
        <v>55</v>
      </c>
      <c r="D127" s="543">
        <v>56</v>
      </c>
      <c r="E127" s="543">
        <v>60</v>
      </c>
      <c r="F127" s="543">
        <v>70</v>
      </c>
      <c r="G127" s="543">
        <v>98</v>
      </c>
      <c r="H127" s="543">
        <v>52</v>
      </c>
      <c r="I127" s="543">
        <v>10</v>
      </c>
      <c r="J127" s="543">
        <v>7</v>
      </c>
      <c r="K127" s="543">
        <v>10</v>
      </c>
      <c r="L127" s="543">
        <v>140</v>
      </c>
      <c r="M127" s="543">
        <v>121</v>
      </c>
      <c r="N127" s="592"/>
      <c r="O127" s="543">
        <v>45</v>
      </c>
      <c r="P127" s="543">
        <v>61</v>
      </c>
      <c r="Q127" s="543">
        <v>55</v>
      </c>
      <c r="R127" s="543">
        <v>71</v>
      </c>
      <c r="S127" s="543">
        <v>61</v>
      </c>
      <c r="T127" s="543">
        <v>57</v>
      </c>
      <c r="U127" s="543">
        <f t="shared" si="643"/>
        <v>56</v>
      </c>
      <c r="V127" s="543">
        <v>64</v>
      </c>
      <c r="W127" s="543">
        <v>61</v>
      </c>
      <c r="X127" s="543">
        <v>68</v>
      </c>
      <c r="Y127" s="543">
        <f t="shared" si="644"/>
        <v>60</v>
      </c>
      <c r="Z127" s="543">
        <v>61</v>
      </c>
      <c r="AA127" s="543">
        <v>62</v>
      </c>
      <c r="AB127" s="543">
        <v>64</v>
      </c>
      <c r="AC127" s="543">
        <f t="shared" si="645"/>
        <v>70</v>
      </c>
      <c r="AD127" s="543">
        <v>73</v>
      </c>
      <c r="AE127" s="543">
        <v>76</v>
      </c>
      <c r="AF127" s="543">
        <v>75</v>
      </c>
      <c r="AG127" s="543">
        <f t="shared" si="646"/>
        <v>98</v>
      </c>
      <c r="AH127" s="543">
        <v>57</v>
      </c>
      <c r="AI127" s="543">
        <v>69</v>
      </c>
      <c r="AJ127" s="543">
        <v>62</v>
      </c>
      <c r="AK127" s="543">
        <f>H127</f>
        <v>52</v>
      </c>
      <c r="AL127" s="543">
        <v>45</v>
      </c>
      <c r="AM127" s="543">
        <v>29</v>
      </c>
      <c r="AN127" s="543">
        <v>16</v>
      </c>
      <c r="AO127" s="543">
        <f>I127</f>
        <v>10</v>
      </c>
      <c r="AP127" s="543">
        <v>4</v>
      </c>
      <c r="AQ127" s="543">
        <v>4</v>
      </c>
      <c r="AR127" s="543">
        <v>17</v>
      </c>
    </row>
    <row r="128" spans="2:44" x14ac:dyDescent="0.25">
      <c r="B128" s="547" t="s">
        <v>682</v>
      </c>
      <c r="C128" s="548">
        <f t="shared" ref="C128" si="647">SUM(C123:C127)</f>
        <v>3006</v>
      </c>
      <c r="D128" s="548">
        <f t="shared" ref="D128:E128" si="648">SUM(D123:D127)</f>
        <v>2952</v>
      </c>
      <c r="E128" s="548">
        <f t="shared" si="648"/>
        <v>3431</v>
      </c>
      <c r="F128" s="548">
        <f t="shared" ref="F128:G128" si="649">SUM(F123:F127)</f>
        <v>3732</v>
      </c>
      <c r="G128" s="548">
        <f t="shared" si="649"/>
        <v>3399</v>
      </c>
      <c r="H128" s="548">
        <f t="shared" ref="H128:M128" si="650">SUM(H123:H127)</f>
        <v>3351</v>
      </c>
      <c r="I128" s="548">
        <f t="shared" si="650"/>
        <v>2852</v>
      </c>
      <c r="J128" s="548">
        <f t="shared" si="650"/>
        <v>3456</v>
      </c>
      <c r="K128" s="548">
        <f t="shared" si="650"/>
        <v>3870</v>
      </c>
      <c r="L128" s="548">
        <f t="shared" si="650"/>
        <v>3843</v>
      </c>
      <c r="M128" s="548">
        <f t="shared" si="650"/>
        <v>3343</v>
      </c>
      <c r="N128" s="592"/>
      <c r="O128" s="548">
        <f t="shared" ref="O128" si="651">SUM(O123:O127)</f>
        <v>3681</v>
      </c>
      <c r="P128" s="548">
        <f t="shared" ref="P128" si="652">SUM(P123:P127)</f>
        <v>2965</v>
      </c>
      <c r="Q128" s="548">
        <f t="shared" ref="Q128" si="653">SUM(Q123:Q127)</f>
        <v>3006</v>
      </c>
      <c r="R128" s="548">
        <f t="shared" ref="R128:S128" si="654">SUM(R123:R127)</f>
        <v>2973</v>
      </c>
      <c r="S128" s="548">
        <f t="shared" si="654"/>
        <v>2959</v>
      </c>
      <c r="T128" s="548">
        <f t="shared" ref="T128:U128" si="655">SUM(T123:T127)</f>
        <v>3002</v>
      </c>
      <c r="U128" s="548">
        <f t="shared" si="655"/>
        <v>2952</v>
      </c>
      <c r="V128" s="548">
        <f t="shared" ref="V128" si="656">SUM(V123:V127)</f>
        <v>3080</v>
      </c>
      <c r="W128" s="548">
        <f t="shared" ref="W128:X128" si="657">SUM(W123:W127)</f>
        <v>3243</v>
      </c>
      <c r="X128" s="548">
        <f t="shared" si="657"/>
        <v>3412</v>
      </c>
      <c r="Y128" s="548">
        <f t="shared" ref="Y128:AA128" si="658">SUM(Y123:Y127)</f>
        <v>3431</v>
      </c>
      <c r="Z128" s="548">
        <f t="shared" si="658"/>
        <v>3423</v>
      </c>
      <c r="AA128" s="548">
        <f t="shared" si="658"/>
        <v>3504</v>
      </c>
      <c r="AB128" s="548">
        <f t="shared" ref="AB128" si="659">SUM(AB123:AB127)</f>
        <v>3658</v>
      </c>
      <c r="AC128" s="548">
        <f t="shared" ref="AC128" si="660">SUM(AC123:AC127)</f>
        <v>3732</v>
      </c>
      <c r="AD128" s="548">
        <f t="shared" ref="AD128" si="661">SUM(AD123:AD127)</f>
        <v>3772</v>
      </c>
      <c r="AE128" s="548">
        <f t="shared" ref="AE128:AF128" si="662">SUM(AE123:AE127)</f>
        <v>3556</v>
      </c>
      <c r="AF128" s="548">
        <f t="shared" si="662"/>
        <v>3398</v>
      </c>
      <c r="AG128" s="548">
        <f t="shared" ref="AG128" si="663">SUM(AG123:AG127)</f>
        <v>3399</v>
      </c>
      <c r="AH128" s="548">
        <f t="shared" ref="AH128" si="664">SUM(AH123:AH127)</f>
        <v>3359</v>
      </c>
      <c r="AI128" s="548">
        <f t="shared" ref="AI128:AR128" si="665">SUM(AI123:AI127)</f>
        <v>3477</v>
      </c>
      <c r="AJ128" s="548">
        <f t="shared" si="665"/>
        <v>3471</v>
      </c>
      <c r="AK128" s="548">
        <f t="shared" si="665"/>
        <v>3351</v>
      </c>
      <c r="AL128" s="548">
        <f t="shared" si="665"/>
        <v>3300</v>
      </c>
      <c r="AM128" s="548">
        <f t="shared" si="665"/>
        <v>3290</v>
      </c>
      <c r="AN128" s="548">
        <f t="shared" si="665"/>
        <v>3142</v>
      </c>
      <c r="AO128" s="548">
        <f t="shared" si="665"/>
        <v>2852</v>
      </c>
      <c r="AP128" s="548">
        <f t="shared" si="665"/>
        <v>2740</v>
      </c>
      <c r="AQ128" s="548">
        <f t="shared" si="665"/>
        <v>2883</v>
      </c>
      <c r="AR128" s="548">
        <f t="shared" si="665"/>
        <v>3569</v>
      </c>
    </row>
    <row r="129" spans="1:44" x14ac:dyDescent="0.25">
      <c r="B129" s="536" t="s">
        <v>683</v>
      </c>
      <c r="C129" s="543">
        <v>5724</v>
      </c>
      <c r="D129" s="543">
        <v>5768</v>
      </c>
      <c r="E129" s="543">
        <v>5464</v>
      </c>
      <c r="F129" s="543">
        <v>4527</v>
      </c>
      <c r="G129" s="543">
        <v>3930</v>
      </c>
      <c r="H129" s="543">
        <v>3925</v>
      </c>
      <c r="I129" s="543">
        <v>3781</v>
      </c>
      <c r="J129" s="543">
        <v>2859</v>
      </c>
      <c r="K129" s="543">
        <v>2574</v>
      </c>
      <c r="L129" s="543">
        <v>3028</v>
      </c>
      <c r="M129" s="543">
        <v>2974</v>
      </c>
      <c r="N129" s="592"/>
      <c r="O129" s="543">
        <v>6014</v>
      </c>
      <c r="P129" s="543">
        <v>5844</v>
      </c>
      <c r="Q129" s="543">
        <v>5724</v>
      </c>
      <c r="R129" s="543">
        <v>5873</v>
      </c>
      <c r="S129" s="543">
        <v>5746</v>
      </c>
      <c r="T129" s="543">
        <v>5762</v>
      </c>
      <c r="U129" s="543">
        <f t="shared" ref="U129:U130" si="666">D129</f>
        <v>5768</v>
      </c>
      <c r="V129" s="543">
        <v>5664</v>
      </c>
      <c r="W129" s="543">
        <v>5670</v>
      </c>
      <c r="X129" s="543">
        <v>5631</v>
      </c>
      <c r="Y129" s="543">
        <f t="shared" ref="Y129:Y130" si="667">E129</f>
        <v>5464</v>
      </c>
      <c r="Z129" s="543">
        <v>5310</v>
      </c>
      <c r="AA129" s="543">
        <v>5153</v>
      </c>
      <c r="AB129" s="543">
        <v>5083</v>
      </c>
      <c r="AC129" s="543">
        <f t="shared" ref="AC129:AC130" si="668">F129</f>
        <v>4527</v>
      </c>
      <c r="AD129" s="543">
        <v>4328</v>
      </c>
      <c r="AE129" s="543">
        <v>4201</v>
      </c>
      <c r="AF129" s="543">
        <v>4000</v>
      </c>
      <c r="AG129" s="543">
        <f t="shared" ref="AG129:AG130" si="669">G129</f>
        <v>3930</v>
      </c>
      <c r="AH129" s="543">
        <v>3791</v>
      </c>
      <c r="AI129" s="543">
        <v>3722</v>
      </c>
      <c r="AJ129" s="543">
        <v>3903</v>
      </c>
      <c r="AK129" s="543">
        <f>H129</f>
        <v>3925</v>
      </c>
      <c r="AL129" s="543">
        <v>3901</v>
      </c>
      <c r="AM129" s="543">
        <v>3939</v>
      </c>
      <c r="AN129" s="543">
        <v>3897</v>
      </c>
      <c r="AO129" s="543">
        <f>I129</f>
        <v>3781</v>
      </c>
      <c r="AP129" s="543">
        <v>3775</v>
      </c>
      <c r="AQ129" s="543">
        <v>3710</v>
      </c>
      <c r="AR129" s="543">
        <v>3804</v>
      </c>
    </row>
    <row r="130" spans="1:44" ht="15.75" thickBot="1" x14ac:dyDescent="0.3">
      <c r="B130" s="551" t="s">
        <v>684</v>
      </c>
      <c r="C130" s="552">
        <v>263</v>
      </c>
      <c r="D130" s="552">
        <v>269</v>
      </c>
      <c r="E130" s="552">
        <v>249</v>
      </c>
      <c r="F130" s="552">
        <v>209</v>
      </c>
      <c r="G130" s="552">
        <v>158</v>
      </c>
      <c r="H130" s="552">
        <v>136</v>
      </c>
      <c r="I130" s="552">
        <v>134</v>
      </c>
      <c r="J130" s="552">
        <v>71</v>
      </c>
      <c r="K130" s="552">
        <v>85</v>
      </c>
      <c r="L130" s="552">
        <v>160</v>
      </c>
      <c r="M130" s="552">
        <v>26</v>
      </c>
      <c r="N130" s="921"/>
      <c r="O130" s="552">
        <v>254</v>
      </c>
      <c r="P130" s="552">
        <v>279</v>
      </c>
      <c r="Q130" s="552">
        <v>263</v>
      </c>
      <c r="R130" s="552">
        <v>262</v>
      </c>
      <c r="S130" s="552">
        <v>238</v>
      </c>
      <c r="T130" s="552">
        <v>282</v>
      </c>
      <c r="U130" s="552">
        <f t="shared" si="666"/>
        <v>269</v>
      </c>
      <c r="V130" s="552">
        <v>244</v>
      </c>
      <c r="W130" s="552">
        <v>240</v>
      </c>
      <c r="X130" s="552">
        <v>267</v>
      </c>
      <c r="Y130" s="552">
        <f t="shared" si="667"/>
        <v>249</v>
      </c>
      <c r="Z130" s="552">
        <v>233</v>
      </c>
      <c r="AA130" s="552">
        <v>243</v>
      </c>
      <c r="AB130" s="552">
        <v>234</v>
      </c>
      <c r="AC130" s="543">
        <f t="shared" si="668"/>
        <v>209</v>
      </c>
      <c r="AD130" s="552">
        <v>194</v>
      </c>
      <c r="AE130" s="552">
        <v>178</v>
      </c>
      <c r="AF130" s="552">
        <v>164</v>
      </c>
      <c r="AG130" s="543">
        <f t="shared" si="669"/>
        <v>158</v>
      </c>
      <c r="AH130" s="552">
        <v>149</v>
      </c>
      <c r="AI130" s="552">
        <v>136</v>
      </c>
      <c r="AJ130" s="552">
        <v>131</v>
      </c>
      <c r="AK130" s="552">
        <f>H130</f>
        <v>136</v>
      </c>
      <c r="AL130" s="552">
        <v>133</v>
      </c>
      <c r="AM130" s="552">
        <v>137</v>
      </c>
      <c r="AN130" s="552">
        <v>139</v>
      </c>
      <c r="AO130" s="552">
        <f>I130</f>
        <v>134</v>
      </c>
      <c r="AP130" s="552">
        <v>134</v>
      </c>
      <c r="AQ130" s="552">
        <v>65</v>
      </c>
      <c r="AR130" s="552">
        <v>71</v>
      </c>
    </row>
    <row r="131" spans="1:44" ht="15.75" thickTop="1" x14ac:dyDescent="0.25">
      <c r="B131" s="547" t="s">
        <v>685</v>
      </c>
      <c r="C131" s="548">
        <f t="shared" ref="C131" si="670">C122+C128+C129+C130</f>
        <v>11321</v>
      </c>
      <c r="D131" s="548">
        <f t="shared" ref="D131:E131" si="671">D122+D128+D129+D130</f>
        <v>11627</v>
      </c>
      <c r="E131" s="548">
        <f t="shared" si="671"/>
        <v>11750</v>
      </c>
      <c r="F131" s="548">
        <f t="shared" ref="F131:G131" si="672">F122+F128+F129+F130</f>
        <v>11080</v>
      </c>
      <c r="G131" s="548">
        <f t="shared" si="672"/>
        <v>9664</v>
      </c>
      <c r="H131" s="548">
        <f t="shared" ref="H131:M131" si="673">H122+H128+H129+H130</f>
        <v>9173</v>
      </c>
      <c r="I131" s="548">
        <f t="shared" si="673"/>
        <v>8776</v>
      </c>
      <c r="J131" s="548">
        <f t="shared" si="673"/>
        <v>8714</v>
      </c>
      <c r="K131" s="548">
        <f t="shared" si="673"/>
        <v>8552</v>
      </c>
      <c r="L131" s="548">
        <f t="shared" si="673"/>
        <v>9077</v>
      </c>
      <c r="M131" s="548">
        <f t="shared" si="673"/>
        <v>8348</v>
      </c>
      <c r="N131" s="921"/>
      <c r="O131" s="548">
        <f t="shared" ref="O131" si="674">O122+O128+O129+O130</f>
        <v>12375</v>
      </c>
      <c r="P131" s="548">
        <f t="shared" ref="P131" si="675">P122+P128+P129+P130</f>
        <v>11691</v>
      </c>
      <c r="Q131" s="548">
        <f t="shared" ref="Q131" si="676">Q122+Q128+Q129+Q130</f>
        <v>11321</v>
      </c>
      <c r="R131" s="548">
        <f t="shared" ref="R131:S131" si="677">R122+R128+R129+R130</f>
        <v>11558</v>
      </c>
      <c r="S131" s="548">
        <f t="shared" si="677"/>
        <v>11205</v>
      </c>
      <c r="T131" s="548">
        <f t="shared" ref="T131:U131" si="678">T122+T128+T129+T130</f>
        <v>11486</v>
      </c>
      <c r="U131" s="548">
        <f t="shared" si="678"/>
        <v>11627</v>
      </c>
      <c r="V131" s="548">
        <f t="shared" ref="V131" si="679">V122+V128+V129+V130</f>
        <v>11274</v>
      </c>
      <c r="W131" s="548">
        <f t="shared" ref="W131:X131" si="680">W122+W128+W129+W130</f>
        <v>11584</v>
      </c>
      <c r="X131" s="548">
        <f t="shared" si="680"/>
        <v>12045</v>
      </c>
      <c r="Y131" s="548">
        <f t="shared" ref="Y131:AA131" si="681">Y122+Y128+Y129+Y130</f>
        <v>11750</v>
      </c>
      <c r="Z131" s="548">
        <f t="shared" si="681"/>
        <v>11598</v>
      </c>
      <c r="AA131" s="548">
        <f t="shared" si="681"/>
        <v>11778</v>
      </c>
      <c r="AB131" s="548">
        <f t="shared" ref="AB131" si="682">AB122+AB128+AB129+AB130</f>
        <v>11664</v>
      </c>
      <c r="AC131" s="548">
        <f t="shared" ref="AC131" si="683">AC122+AC128+AC129+AC130</f>
        <v>11080</v>
      </c>
      <c r="AD131" s="548">
        <f t="shared" ref="AD131" si="684">AD122+AD128+AD129+AD130</f>
        <v>10572</v>
      </c>
      <c r="AE131" s="548">
        <f t="shared" ref="AE131:AF131" si="685">AE122+AE128+AE129+AE130</f>
        <v>10080</v>
      </c>
      <c r="AF131" s="548">
        <f t="shared" si="685"/>
        <v>9720</v>
      </c>
      <c r="AG131" s="548">
        <f t="shared" ref="AG131" si="686">AG122+AG128+AG129+AG130</f>
        <v>9664</v>
      </c>
      <c r="AH131" s="548">
        <f t="shared" ref="AH131" si="687">AH122+AH128+AH129+AH130</f>
        <v>9266</v>
      </c>
      <c r="AI131" s="548">
        <f t="shared" ref="AI131:AR131" si="688">AI122+AI128+AI129+AI130</f>
        <v>9226</v>
      </c>
      <c r="AJ131" s="548">
        <f t="shared" si="688"/>
        <v>9548</v>
      </c>
      <c r="AK131" s="548">
        <f t="shared" si="688"/>
        <v>9173</v>
      </c>
      <c r="AL131" s="548">
        <f t="shared" si="688"/>
        <v>9113</v>
      </c>
      <c r="AM131" s="548">
        <f t="shared" si="688"/>
        <v>9242</v>
      </c>
      <c r="AN131" s="548">
        <f t="shared" si="688"/>
        <v>9117</v>
      </c>
      <c r="AO131" s="548">
        <f t="shared" si="688"/>
        <v>8776</v>
      </c>
      <c r="AP131" s="548">
        <f t="shared" si="688"/>
        <v>8643</v>
      </c>
      <c r="AQ131" s="548">
        <f t="shared" si="688"/>
        <v>8731</v>
      </c>
      <c r="AR131" s="548">
        <f t="shared" si="688"/>
        <v>9570</v>
      </c>
    </row>
    <row r="132" spans="1:44" s="591" customFormat="1" x14ac:dyDescent="0.25">
      <c r="A132" s="588"/>
      <c r="B132" s="588" t="s">
        <v>113</v>
      </c>
      <c r="C132" s="589">
        <f t="shared" ref="C132" si="689">C116-C131</f>
        <v>0</v>
      </c>
      <c r="D132" s="589">
        <f t="shared" ref="D132:E132" si="690">D116-D131</f>
        <v>0</v>
      </c>
      <c r="E132" s="589">
        <f t="shared" si="690"/>
        <v>0</v>
      </c>
      <c r="F132" s="589">
        <f t="shared" ref="F132:G132" si="691">F116-F131</f>
        <v>0</v>
      </c>
      <c r="G132" s="589">
        <f t="shared" si="691"/>
        <v>0</v>
      </c>
      <c r="H132" s="589">
        <f t="shared" ref="H132:M132" si="692">H116-H131</f>
        <v>0</v>
      </c>
      <c r="I132" s="589">
        <f t="shared" si="692"/>
        <v>0</v>
      </c>
      <c r="J132" s="589">
        <f t="shared" si="692"/>
        <v>0</v>
      </c>
      <c r="K132" s="589">
        <f t="shared" si="692"/>
        <v>0</v>
      </c>
      <c r="L132" s="589">
        <f t="shared" si="692"/>
        <v>0</v>
      </c>
      <c r="M132" s="589">
        <f t="shared" si="692"/>
        <v>0</v>
      </c>
      <c r="N132" s="592"/>
      <c r="O132" s="589">
        <f t="shared" ref="O132" si="693">O116-O131</f>
        <v>0</v>
      </c>
      <c r="P132" s="589">
        <f t="shared" ref="P132" si="694">P116-P131</f>
        <v>0</v>
      </c>
      <c r="Q132" s="589">
        <f t="shared" ref="Q132" si="695">Q116-Q131</f>
        <v>0</v>
      </c>
      <c r="R132" s="589">
        <f t="shared" ref="R132:S132" si="696">R116-R131</f>
        <v>0</v>
      </c>
      <c r="S132" s="589">
        <f t="shared" si="696"/>
        <v>0</v>
      </c>
      <c r="T132" s="589">
        <f t="shared" ref="T132:U132" si="697">T116-T131</f>
        <v>0</v>
      </c>
      <c r="U132" s="589">
        <f t="shared" si="697"/>
        <v>0</v>
      </c>
      <c r="V132" s="589">
        <f t="shared" ref="V132" si="698">V116-V131</f>
        <v>0</v>
      </c>
      <c r="W132" s="589">
        <f t="shared" ref="W132:X132" si="699">W116-W131</f>
        <v>0</v>
      </c>
      <c r="X132" s="589">
        <f t="shared" si="699"/>
        <v>0</v>
      </c>
      <c r="Y132" s="589">
        <f t="shared" ref="Y132:AA132" si="700">Y116-Y131</f>
        <v>0</v>
      </c>
      <c r="Z132" s="589">
        <f t="shared" si="700"/>
        <v>0</v>
      </c>
      <c r="AA132" s="589">
        <f t="shared" si="700"/>
        <v>0</v>
      </c>
      <c r="AB132" s="589">
        <f t="shared" ref="AB132" si="701">AB116-AB131</f>
        <v>0</v>
      </c>
      <c r="AC132" s="589">
        <f t="shared" ref="AC132" si="702">AC116-AC131</f>
        <v>0</v>
      </c>
      <c r="AD132" s="589">
        <f t="shared" ref="AD132" si="703">AD116-AD131</f>
        <v>0</v>
      </c>
      <c r="AE132" s="589">
        <f t="shared" ref="AE132:AF132" si="704">AE116-AE131</f>
        <v>0</v>
      </c>
      <c r="AF132" s="589">
        <f t="shared" si="704"/>
        <v>0</v>
      </c>
      <c r="AG132" s="589">
        <f t="shared" ref="AG132" si="705">AG116-AG131</f>
        <v>0</v>
      </c>
      <c r="AH132" s="589">
        <f t="shared" ref="AH132" si="706">AH116-AH131</f>
        <v>0</v>
      </c>
      <c r="AI132" s="589">
        <f t="shared" ref="AI132:AR132" si="707">AI116-AI131</f>
        <v>0</v>
      </c>
      <c r="AJ132" s="589">
        <f t="shared" si="707"/>
        <v>0</v>
      </c>
      <c r="AK132" s="589">
        <f t="shared" si="707"/>
        <v>0</v>
      </c>
      <c r="AL132" s="589">
        <f t="shared" si="707"/>
        <v>0</v>
      </c>
      <c r="AM132" s="589">
        <f t="shared" si="707"/>
        <v>0</v>
      </c>
      <c r="AN132" s="589">
        <f t="shared" si="707"/>
        <v>0</v>
      </c>
      <c r="AO132" s="589">
        <f t="shared" si="707"/>
        <v>0</v>
      </c>
      <c r="AP132" s="589">
        <f t="shared" si="707"/>
        <v>0</v>
      </c>
      <c r="AQ132" s="589">
        <f t="shared" si="707"/>
        <v>0</v>
      </c>
      <c r="AR132" s="589">
        <f t="shared" si="707"/>
        <v>0</v>
      </c>
    </row>
    <row r="133" spans="1:44" s="591" customFormat="1" x14ac:dyDescent="0.25">
      <c r="A133" s="588"/>
      <c r="B133" s="588"/>
      <c r="C133" s="589"/>
      <c r="D133" s="589"/>
      <c r="E133" s="589"/>
      <c r="F133" s="589"/>
      <c r="G133" s="589"/>
      <c r="H133" s="589"/>
      <c r="I133" s="589"/>
      <c r="J133" s="589"/>
      <c r="K133" s="589"/>
      <c r="L133" s="589"/>
      <c r="M133" s="589"/>
      <c r="N133" s="590"/>
      <c r="O133" s="589"/>
      <c r="P133" s="589"/>
      <c r="Q133" s="589"/>
      <c r="R133" s="589"/>
      <c r="S133" s="589"/>
      <c r="T133" s="589"/>
      <c r="U133" s="589"/>
      <c r="V133" s="589"/>
      <c r="W133" s="589"/>
      <c r="X133" s="589"/>
      <c r="Y133" s="589"/>
      <c r="Z133" s="589"/>
      <c r="AA133" s="589"/>
      <c r="AB133" s="589"/>
      <c r="AC133" s="589"/>
      <c r="AD133" s="589"/>
      <c r="AE133" s="589"/>
      <c r="AF133" s="589"/>
      <c r="AG133" s="589"/>
      <c r="AH133" s="589"/>
      <c r="AI133" s="589"/>
      <c r="AJ133" s="589"/>
      <c r="AK133" s="589"/>
      <c r="AL133" s="589"/>
      <c r="AM133" s="589"/>
      <c r="AN133" s="589"/>
      <c r="AO133" s="589"/>
      <c r="AP133" s="589"/>
      <c r="AQ133" s="589"/>
      <c r="AR133" s="589"/>
    </row>
    <row r="134" spans="1:44" x14ac:dyDescent="0.25">
      <c r="B134" s="536" t="s">
        <v>686</v>
      </c>
      <c r="C134" s="596">
        <f t="shared" ref="C134" si="708">C129/C131</f>
        <v>0.50560904513735538</v>
      </c>
      <c r="D134" s="596">
        <f t="shared" ref="D134:E134" si="709">D129/D131</f>
        <v>0.49608669476219147</v>
      </c>
      <c r="E134" s="596">
        <f t="shared" si="709"/>
        <v>0.46502127659574466</v>
      </c>
      <c r="F134" s="596">
        <f t="shared" ref="F134:K134" si="710">F129/F131</f>
        <v>0.40857400722021658</v>
      </c>
      <c r="G134" s="596">
        <f t="shared" si="710"/>
        <v>0.4066639072847682</v>
      </c>
      <c r="H134" s="596">
        <f t="shared" si="710"/>
        <v>0.42788618772484466</v>
      </c>
      <c r="I134" s="596">
        <f t="shared" si="710"/>
        <v>0.4308340929808569</v>
      </c>
      <c r="J134" s="596">
        <f t="shared" si="710"/>
        <v>0.32809272435161807</v>
      </c>
      <c r="K134" s="596">
        <f t="shared" si="710"/>
        <v>0.30098222637979422</v>
      </c>
      <c r="L134" s="596">
        <f t="shared" ref="L134:AR134" si="711">L129/L131</f>
        <v>0.33359039330175166</v>
      </c>
      <c r="M134" s="596">
        <f t="shared" si="711"/>
        <v>0.35625299472927646</v>
      </c>
      <c r="N134" s="596"/>
      <c r="O134" s="596">
        <f t="shared" ref="O134" si="712">O129/O131</f>
        <v>0.48597979797979796</v>
      </c>
      <c r="P134" s="596">
        <f t="shared" ref="P134" si="713">P129/P131</f>
        <v>0.49987169617654609</v>
      </c>
      <c r="Q134" s="596">
        <f t="shared" ref="Q134" si="714">Q129/Q131</f>
        <v>0.50560904513735538</v>
      </c>
      <c r="R134" s="596">
        <f t="shared" ref="R134:S134" si="715">R129/R131</f>
        <v>0.50813289496452674</v>
      </c>
      <c r="S134" s="596">
        <f t="shared" si="715"/>
        <v>0.51280678268630076</v>
      </c>
      <c r="T134" s="596">
        <f t="shared" ref="T134:U134" si="716">T129/T131</f>
        <v>0.5016541877067735</v>
      </c>
      <c r="U134" s="596">
        <f t="shared" si="716"/>
        <v>0.49608669476219147</v>
      </c>
      <c r="V134" s="596">
        <f t="shared" ref="V134" si="717">V129/V131</f>
        <v>0.50239489089941458</v>
      </c>
      <c r="W134" s="596">
        <f t="shared" ref="W134:X134" si="718">W129/W131</f>
        <v>0.48946823204419887</v>
      </c>
      <c r="X134" s="596">
        <f t="shared" si="718"/>
        <v>0.46749688667496886</v>
      </c>
      <c r="Y134" s="596">
        <f t="shared" ref="Y134:AA134" si="719">Y129/Y131</f>
        <v>0.46502127659574466</v>
      </c>
      <c r="Z134" s="596">
        <f t="shared" si="719"/>
        <v>0.45783755819968958</v>
      </c>
      <c r="AA134" s="596">
        <f t="shared" si="719"/>
        <v>0.43751061300730176</v>
      </c>
      <c r="AB134" s="596">
        <f t="shared" ref="AB134" si="720">AB129/AB131</f>
        <v>0.43578532235939643</v>
      </c>
      <c r="AC134" s="596">
        <f t="shared" ref="AC134" si="721">AC129/AC131</f>
        <v>0.40857400722021658</v>
      </c>
      <c r="AD134" s="596">
        <f t="shared" ref="AD134" si="722">AD129/AD131</f>
        <v>0.40938327657964435</v>
      </c>
      <c r="AE134" s="596">
        <f t="shared" ref="AE134:AF134" si="723">AE129/AE131</f>
        <v>0.41676587301587303</v>
      </c>
      <c r="AF134" s="596">
        <f t="shared" si="723"/>
        <v>0.41152263374485598</v>
      </c>
      <c r="AG134" s="596">
        <f t="shared" ref="AG134" si="724">AG129/AG131</f>
        <v>0.4066639072847682</v>
      </c>
      <c r="AH134" s="596">
        <f t="shared" ref="AH134" si="725">AH129/AH131</f>
        <v>0.40913015324843516</v>
      </c>
      <c r="AI134" s="596">
        <f t="shared" si="711"/>
        <v>0.40342510296986778</v>
      </c>
      <c r="AJ134" s="596">
        <f t="shared" si="711"/>
        <v>0.40877670716380393</v>
      </c>
      <c r="AK134" s="596">
        <f t="shared" si="711"/>
        <v>0.42788618772484466</v>
      </c>
      <c r="AL134" s="596">
        <f t="shared" si="711"/>
        <v>0.42806979040930537</v>
      </c>
      <c r="AM134" s="596">
        <f t="shared" si="711"/>
        <v>0.4262064488206016</v>
      </c>
      <c r="AN134" s="596">
        <f t="shared" si="711"/>
        <v>0.42744323790720634</v>
      </c>
      <c r="AO134" s="596">
        <f t="shared" si="711"/>
        <v>0.4308340929808569</v>
      </c>
      <c r="AP134" s="596">
        <f t="shared" si="711"/>
        <v>0.43676964017123682</v>
      </c>
      <c r="AQ134" s="596">
        <f t="shared" si="711"/>
        <v>0.4249226892681251</v>
      </c>
      <c r="AR134" s="596">
        <f t="shared" si="711"/>
        <v>0.39749216300940438</v>
      </c>
    </row>
    <row r="135" spans="1:44" x14ac:dyDescent="0.25">
      <c r="B135" s="536" t="s">
        <v>687</v>
      </c>
      <c r="C135" s="596">
        <f t="shared" ref="C135" si="726">C149/(C129+C149)</f>
        <v>0.32730050534727934</v>
      </c>
      <c r="D135" s="596">
        <f t="shared" ref="D135:E135" si="727">D149/(D129+D149)</f>
        <v>0.33716387037462653</v>
      </c>
      <c r="E135" s="596">
        <f t="shared" si="727"/>
        <v>0.3823895105685543</v>
      </c>
      <c r="F135" s="596">
        <f t="shared" ref="F135:M135" si="728">F149/(F129+F149)</f>
        <v>0.43113847700427244</v>
      </c>
      <c r="G135" s="596">
        <f t="shared" si="728"/>
        <v>0.44389415593604076</v>
      </c>
      <c r="H135" s="596">
        <f t="shared" si="728"/>
        <v>0.42809267084365438</v>
      </c>
      <c r="I135" s="596">
        <f t="shared" si="728"/>
        <v>0.41875480399692544</v>
      </c>
      <c r="J135" s="596">
        <f t="shared" si="728"/>
        <v>0.55804606585252747</v>
      </c>
      <c r="K135" s="596">
        <f t="shared" si="728"/>
        <v>0.59825191197128136</v>
      </c>
      <c r="L135" s="596">
        <f t="shared" si="728"/>
        <v>0.56859951560051292</v>
      </c>
      <c r="M135" s="596">
        <f t="shared" si="728"/>
        <v>0.53805529667598628</v>
      </c>
      <c r="N135" s="596"/>
      <c r="O135" s="596">
        <f t="shared" ref="O135" si="729">O149/(O129+O149)</f>
        <v>0.37516883116883115</v>
      </c>
      <c r="P135" s="596">
        <f t="shared" ref="P135" si="730">P149/(P129+P149)</f>
        <v>0.36910288243549605</v>
      </c>
      <c r="Q135" s="596">
        <f t="shared" ref="Q135" si="731">Q149/(Q129+Q149)</f>
        <v>0.35937325125909347</v>
      </c>
      <c r="R135" s="596">
        <f t="shared" ref="R135:S135" si="732">R149/(R129+R149)</f>
        <v>0.36093579978237217</v>
      </c>
      <c r="S135" s="596">
        <f t="shared" si="732"/>
        <v>0.36711091529904172</v>
      </c>
      <c r="T135" s="596">
        <f t="shared" ref="T135:U135" si="733">T149/(T129+T149)</f>
        <v>0.36854794520547945</v>
      </c>
      <c r="U135" s="596">
        <f t="shared" si="733"/>
        <v>0.36858237547892719</v>
      </c>
      <c r="V135" s="596">
        <f t="shared" ref="V135" si="734">V149/(V129+V149)</f>
        <v>0.37372843874391865</v>
      </c>
      <c r="W135" s="596">
        <f t="shared" ref="W135:X135" si="735">W149/(W129+W149)</f>
        <v>0.38228565203181175</v>
      </c>
      <c r="X135" s="596">
        <f t="shared" si="735"/>
        <v>0.39833315525162943</v>
      </c>
      <c r="Y135" s="596">
        <f t="shared" ref="Y135:AA135" si="736">Y149/(Y129+Y149)</f>
        <v>0.40673181324647123</v>
      </c>
      <c r="Z135" s="596">
        <f t="shared" si="736"/>
        <v>0.40623951694062393</v>
      </c>
      <c r="AA135" s="596">
        <f t="shared" si="736"/>
        <v>0.4319259177598942</v>
      </c>
      <c r="AB135" s="596">
        <f t="shared" ref="AB135:AR135" si="737">AB149/(AB129+AB149)</f>
        <v>0.42977339017276195</v>
      </c>
      <c r="AC135" s="596">
        <f t="shared" si="737"/>
        <v>0.45273210831721472</v>
      </c>
      <c r="AD135" s="596">
        <f t="shared" si="737"/>
        <v>0.46521685407141977</v>
      </c>
      <c r="AE135" s="596">
        <f t="shared" si="737"/>
        <v>0.45156657963446473</v>
      </c>
      <c r="AF135" s="596">
        <f t="shared" si="737"/>
        <v>0.46928486135067005</v>
      </c>
      <c r="AG135" s="596">
        <f t="shared" si="737"/>
        <v>0.46127484578478412</v>
      </c>
      <c r="AH135" s="596">
        <f t="shared" si="737"/>
        <v>0.46477481293237327</v>
      </c>
      <c r="AI135" s="596">
        <f t="shared" si="737"/>
        <v>0.46515303922977441</v>
      </c>
      <c r="AJ135" s="596">
        <f t="shared" si="737"/>
        <v>0.45874358618776867</v>
      </c>
      <c r="AK135" s="596">
        <f t="shared" si="737"/>
        <v>0.45120246085011184</v>
      </c>
      <c r="AL135" s="596">
        <f t="shared" si="737"/>
        <v>0.45796859802695566</v>
      </c>
      <c r="AM135" s="596">
        <f t="shared" si="737"/>
        <v>0.46408163265306124</v>
      </c>
      <c r="AN135" s="596">
        <f t="shared" si="737"/>
        <v>0.46950721481078139</v>
      </c>
      <c r="AO135" s="596">
        <f t="shared" si="737"/>
        <v>0.44331566548881035</v>
      </c>
      <c r="AP135" s="596">
        <f t="shared" si="737"/>
        <v>0.44591222662556879</v>
      </c>
      <c r="AQ135" s="596">
        <f t="shared" si="737"/>
        <v>0.45601173020527858</v>
      </c>
      <c r="AR135" s="596">
        <f t="shared" si="737"/>
        <v>0.45556032632030913</v>
      </c>
    </row>
    <row r="136" spans="1:44" x14ac:dyDescent="0.25">
      <c r="C136" s="596"/>
      <c r="D136" s="596"/>
      <c r="E136" s="596"/>
      <c r="F136" s="596"/>
      <c r="G136" s="596"/>
      <c r="H136" s="596"/>
      <c r="I136" s="596"/>
      <c r="J136" s="596"/>
      <c r="K136" s="596"/>
      <c r="L136" s="596"/>
      <c r="M136" s="596"/>
      <c r="N136" s="596"/>
      <c r="O136" s="596"/>
      <c r="P136" s="596"/>
      <c r="Q136" s="596"/>
      <c r="R136" s="596"/>
      <c r="S136" s="596"/>
      <c r="T136" s="596"/>
      <c r="U136" s="596"/>
      <c r="V136" s="596"/>
      <c r="W136" s="596"/>
      <c r="X136" s="596"/>
      <c r="Y136" s="596"/>
      <c r="Z136" s="596"/>
      <c r="AA136" s="596"/>
      <c r="AB136" s="596"/>
      <c r="AC136" s="596"/>
      <c r="AD136" s="596"/>
      <c r="AE136" s="596"/>
      <c r="AF136" s="596"/>
      <c r="AG136" s="596"/>
      <c r="AH136" s="596"/>
      <c r="AI136" s="596"/>
      <c r="AJ136" s="596"/>
      <c r="AK136" s="596"/>
      <c r="AL136" s="596"/>
      <c r="AM136" s="596"/>
      <c r="AN136" s="596"/>
      <c r="AO136" s="596"/>
      <c r="AP136" s="596"/>
      <c r="AQ136" s="596"/>
      <c r="AR136" s="596"/>
    </row>
    <row r="137" spans="1:44" x14ac:dyDescent="0.25">
      <c r="C137" s="543"/>
      <c r="D137" s="543"/>
      <c r="E137" s="543"/>
      <c r="F137" s="543"/>
      <c r="G137" s="543"/>
      <c r="H137" s="543"/>
      <c r="I137" s="543"/>
      <c r="J137" s="543"/>
      <c r="K137" s="543"/>
      <c r="L137" s="543"/>
      <c r="M137" s="543"/>
      <c r="N137" s="592"/>
      <c r="O137" s="543"/>
      <c r="P137" s="543"/>
      <c r="Q137" s="543"/>
      <c r="R137" s="543"/>
      <c r="S137" s="543"/>
      <c r="T137" s="543"/>
      <c r="U137" s="543"/>
      <c r="V137" s="543"/>
      <c r="W137" s="543"/>
      <c r="X137" s="543"/>
      <c r="Y137" s="543"/>
      <c r="Z137" s="543"/>
      <c r="AA137" s="543"/>
      <c r="AB137" s="543"/>
      <c r="AC137" s="543"/>
      <c r="AD137" s="543"/>
      <c r="AE137" s="543"/>
      <c r="AF137" s="543"/>
      <c r="AG137" s="543"/>
      <c r="AH137" s="543"/>
      <c r="AI137" s="543"/>
      <c r="AJ137" s="543"/>
      <c r="AK137" s="543"/>
      <c r="AL137" s="543"/>
      <c r="AM137" s="543"/>
      <c r="AN137" s="543"/>
      <c r="AO137" s="543"/>
      <c r="AP137" s="543"/>
      <c r="AQ137" s="543"/>
      <c r="AR137" s="543"/>
    </row>
    <row r="138" spans="1:44" x14ac:dyDescent="0.25">
      <c r="B138" s="554" t="s">
        <v>276</v>
      </c>
      <c r="C138" s="597"/>
      <c r="D138" s="597"/>
      <c r="E138" s="597"/>
      <c r="F138" s="597"/>
      <c r="G138" s="597"/>
      <c r="H138" s="597"/>
      <c r="I138" s="597"/>
      <c r="J138" s="597"/>
      <c r="K138" s="597"/>
      <c r="L138" s="597"/>
      <c r="M138" s="598"/>
      <c r="N138" s="592"/>
      <c r="O138" s="597"/>
      <c r="P138" s="597"/>
      <c r="Q138" s="597"/>
      <c r="R138" s="597"/>
      <c r="S138" s="597"/>
      <c r="T138" s="597"/>
      <c r="U138" s="597"/>
      <c r="V138" s="597"/>
      <c r="W138" s="597"/>
      <c r="X138" s="597"/>
      <c r="Y138" s="599"/>
      <c r="Z138" s="599"/>
      <c r="AA138" s="599"/>
      <c r="AB138" s="597"/>
      <c r="AC138" s="597"/>
      <c r="AD138" s="599"/>
      <c r="AE138" s="599"/>
      <c r="AF138" s="597"/>
      <c r="AG138" s="597"/>
      <c r="AH138" s="599"/>
      <c r="AI138" s="599"/>
      <c r="AJ138" s="597"/>
      <c r="AK138" s="597"/>
      <c r="AL138" s="597"/>
      <c r="AM138" s="597"/>
      <c r="AN138" s="597"/>
      <c r="AO138" s="597"/>
      <c r="AP138" s="597"/>
      <c r="AQ138" s="597"/>
      <c r="AR138" s="598"/>
    </row>
    <row r="139" spans="1:44" x14ac:dyDescent="0.25">
      <c r="B139" s="566" t="str">
        <f t="shared" ref="B139:M139" si="738">B117</f>
        <v>אשראי מתאגידים בנקאיים וחלויות שוטפות של הלוואות לזמן ארוך</v>
      </c>
      <c r="C139" s="543">
        <f t="shared" si="738"/>
        <v>384</v>
      </c>
      <c r="D139" s="543">
        <f t="shared" ref="D139:E139" si="739">D117</f>
        <v>858</v>
      </c>
      <c r="E139" s="543">
        <f t="shared" si="739"/>
        <v>512</v>
      </c>
      <c r="F139" s="543">
        <f t="shared" si="738"/>
        <v>577</v>
      </c>
      <c r="G139" s="543">
        <f t="shared" si="738"/>
        <v>679</v>
      </c>
      <c r="H139" s="543">
        <f t="shared" si="738"/>
        <v>420</v>
      </c>
      <c r="I139" s="543">
        <f t="shared" si="738"/>
        <v>610</v>
      </c>
      <c r="J139" s="543">
        <f t="shared" si="738"/>
        <v>822</v>
      </c>
      <c r="K139" s="543">
        <f t="shared" si="738"/>
        <v>588</v>
      </c>
      <c r="L139" s="543">
        <f t="shared" si="738"/>
        <v>673</v>
      </c>
      <c r="M139" s="600">
        <f t="shared" si="738"/>
        <v>603</v>
      </c>
      <c r="N139" s="592"/>
      <c r="O139" s="543">
        <f t="shared" ref="O139" si="740">O117</f>
        <v>365</v>
      </c>
      <c r="P139" s="543">
        <f t="shared" ref="P139" si="741">P117</f>
        <v>570</v>
      </c>
      <c r="Q139" s="543">
        <f t="shared" ref="Q139" si="742">Q117</f>
        <v>384</v>
      </c>
      <c r="R139" s="543">
        <f t="shared" ref="R139:S139" si="743">R117</f>
        <v>606</v>
      </c>
      <c r="S139" s="543">
        <f t="shared" si="743"/>
        <v>577</v>
      </c>
      <c r="T139" s="543">
        <f t="shared" ref="T139:U139" si="744">T117</f>
        <v>623</v>
      </c>
      <c r="U139" s="543">
        <f t="shared" si="744"/>
        <v>858</v>
      </c>
      <c r="V139" s="543">
        <f t="shared" ref="V139" si="745">V117</f>
        <v>592</v>
      </c>
      <c r="W139" s="543">
        <f t="shared" ref="W139:X139" si="746">W117</f>
        <v>674</v>
      </c>
      <c r="X139" s="543">
        <f t="shared" si="746"/>
        <v>704</v>
      </c>
      <c r="Y139" s="601">
        <f t="shared" ref="Y139:AA139" si="747">Y117</f>
        <v>512</v>
      </c>
      <c r="Z139" s="601">
        <f t="shared" si="747"/>
        <v>481</v>
      </c>
      <c r="AA139" s="601">
        <f t="shared" si="747"/>
        <v>466</v>
      </c>
      <c r="AB139" s="543">
        <f t="shared" ref="AB139:AR139" si="748">AB117</f>
        <v>506</v>
      </c>
      <c r="AC139" s="543">
        <f t="shared" si="748"/>
        <v>577</v>
      </c>
      <c r="AD139" s="601">
        <f t="shared" si="748"/>
        <v>597</v>
      </c>
      <c r="AE139" s="601">
        <f t="shared" si="748"/>
        <v>630</v>
      </c>
      <c r="AF139" s="543">
        <f t="shared" si="748"/>
        <v>617</v>
      </c>
      <c r="AG139" s="543">
        <f t="shared" si="748"/>
        <v>679</v>
      </c>
      <c r="AH139" s="601">
        <f t="shared" si="748"/>
        <v>614</v>
      </c>
      <c r="AI139" s="601">
        <f t="shared" si="748"/>
        <v>544</v>
      </c>
      <c r="AJ139" s="543">
        <f t="shared" si="748"/>
        <v>606</v>
      </c>
      <c r="AK139" s="543">
        <f t="shared" si="748"/>
        <v>420</v>
      </c>
      <c r="AL139" s="543">
        <f t="shared" si="748"/>
        <v>476</v>
      </c>
      <c r="AM139" s="543">
        <f t="shared" si="748"/>
        <v>598</v>
      </c>
      <c r="AN139" s="543">
        <f t="shared" si="748"/>
        <v>638</v>
      </c>
      <c r="AO139" s="543">
        <f t="shared" si="748"/>
        <v>610</v>
      </c>
      <c r="AP139" s="543">
        <f t="shared" si="748"/>
        <v>671</v>
      </c>
      <c r="AQ139" s="543">
        <f t="shared" si="748"/>
        <v>616</v>
      </c>
      <c r="AR139" s="600">
        <f t="shared" si="748"/>
        <v>642</v>
      </c>
    </row>
    <row r="140" spans="1:44" x14ac:dyDescent="0.25">
      <c r="B140" s="558" t="str">
        <f t="shared" ref="B140:M140" si="749">B121</f>
        <v>התחייבויות שוטפות אחרות</v>
      </c>
      <c r="C140" s="545">
        <f t="shared" si="749"/>
        <v>879</v>
      </c>
      <c r="D140" s="545">
        <f t="shared" ref="D140:E140" si="750">D121</f>
        <v>783</v>
      </c>
      <c r="E140" s="545">
        <f t="shared" si="750"/>
        <v>1007</v>
      </c>
      <c r="F140" s="545">
        <f t="shared" si="749"/>
        <v>912</v>
      </c>
      <c r="G140" s="545">
        <f t="shared" si="749"/>
        <v>704</v>
      </c>
      <c r="H140" s="545">
        <f t="shared" si="749"/>
        <v>587</v>
      </c>
      <c r="I140" s="545">
        <f t="shared" si="749"/>
        <v>647</v>
      </c>
      <c r="J140" s="545">
        <f t="shared" si="749"/>
        <v>595</v>
      </c>
      <c r="K140" s="545">
        <f t="shared" si="749"/>
        <v>708</v>
      </c>
      <c r="L140" s="545">
        <f t="shared" si="749"/>
        <v>569</v>
      </c>
      <c r="M140" s="602">
        <f t="shared" si="749"/>
        <v>730</v>
      </c>
      <c r="N140" s="592"/>
      <c r="O140" s="545">
        <f t="shared" ref="O140" si="751">O121</f>
        <v>920</v>
      </c>
      <c r="P140" s="545">
        <f t="shared" ref="P140" si="752">P121</f>
        <v>940</v>
      </c>
      <c r="Q140" s="545">
        <f t="shared" ref="Q140" si="753">Q121</f>
        <v>879</v>
      </c>
      <c r="R140" s="545">
        <f t="shared" ref="R140:S140" si="754">R121</f>
        <v>874</v>
      </c>
      <c r="S140" s="545">
        <f t="shared" si="754"/>
        <v>802</v>
      </c>
      <c r="T140" s="545">
        <f t="shared" ref="T140:U140" si="755">T121</f>
        <v>849</v>
      </c>
      <c r="U140" s="545">
        <f t="shared" si="755"/>
        <v>783</v>
      </c>
      <c r="V140" s="545">
        <f t="shared" ref="V140" si="756">V121</f>
        <v>809</v>
      </c>
      <c r="W140" s="545">
        <f t="shared" ref="W140:X140" si="757">W121</f>
        <v>789</v>
      </c>
      <c r="X140" s="545">
        <f t="shared" si="757"/>
        <v>985</v>
      </c>
      <c r="Y140" s="603">
        <f t="shared" ref="Y140:AA140" si="758">Y121</f>
        <v>1007</v>
      </c>
      <c r="Z140" s="603">
        <f t="shared" si="758"/>
        <v>1040</v>
      </c>
      <c r="AA140" s="603">
        <f t="shared" si="758"/>
        <v>1227</v>
      </c>
      <c r="AB140" s="545">
        <f t="shared" ref="AB140:AR140" si="759">AB121</f>
        <v>1049</v>
      </c>
      <c r="AC140" s="545">
        <f t="shared" si="759"/>
        <v>912</v>
      </c>
      <c r="AD140" s="603">
        <f t="shared" si="759"/>
        <v>740</v>
      </c>
      <c r="AE140" s="603">
        <f t="shared" si="759"/>
        <v>659</v>
      </c>
      <c r="AF140" s="545">
        <f t="shared" si="759"/>
        <v>735</v>
      </c>
      <c r="AG140" s="545">
        <f t="shared" si="759"/>
        <v>704</v>
      </c>
      <c r="AH140" s="603">
        <f t="shared" si="759"/>
        <v>633</v>
      </c>
      <c r="AI140" s="603">
        <f t="shared" si="759"/>
        <v>576</v>
      </c>
      <c r="AJ140" s="545">
        <f t="shared" si="759"/>
        <v>637</v>
      </c>
      <c r="AK140" s="545">
        <f t="shared" si="759"/>
        <v>587</v>
      </c>
      <c r="AL140" s="545">
        <f t="shared" si="759"/>
        <v>578</v>
      </c>
      <c r="AM140" s="545">
        <f t="shared" si="759"/>
        <v>571</v>
      </c>
      <c r="AN140" s="545">
        <f t="shared" si="759"/>
        <v>649</v>
      </c>
      <c r="AO140" s="545">
        <f t="shared" si="759"/>
        <v>647</v>
      </c>
      <c r="AP140" s="545">
        <f t="shared" si="759"/>
        <v>587</v>
      </c>
      <c r="AQ140" s="545">
        <f t="shared" si="759"/>
        <v>626</v>
      </c>
      <c r="AR140" s="602">
        <f t="shared" si="759"/>
        <v>689</v>
      </c>
    </row>
    <row r="141" spans="1:44" s="607" customFormat="1" x14ac:dyDescent="0.25">
      <c r="A141" s="547"/>
      <c r="B141" s="562" t="s">
        <v>688</v>
      </c>
      <c r="C141" s="548">
        <f t="shared" ref="C141" si="760">SUM(C139:C140)</f>
        <v>1263</v>
      </c>
      <c r="D141" s="548">
        <f t="shared" ref="D141:E141" si="761">SUM(D139:D140)</f>
        <v>1641</v>
      </c>
      <c r="E141" s="548">
        <f t="shared" si="761"/>
        <v>1519</v>
      </c>
      <c r="F141" s="548">
        <f t="shared" ref="F141:G141" si="762">SUM(F139:F140)</f>
        <v>1489</v>
      </c>
      <c r="G141" s="548">
        <f t="shared" si="762"/>
        <v>1383</v>
      </c>
      <c r="H141" s="548">
        <f t="shared" ref="H141:M141" si="763">SUM(H139:H140)</f>
        <v>1007</v>
      </c>
      <c r="I141" s="548">
        <f t="shared" si="763"/>
        <v>1257</v>
      </c>
      <c r="J141" s="548">
        <f t="shared" si="763"/>
        <v>1417</v>
      </c>
      <c r="K141" s="548">
        <f t="shared" si="763"/>
        <v>1296</v>
      </c>
      <c r="L141" s="548">
        <f t="shared" si="763"/>
        <v>1242</v>
      </c>
      <c r="M141" s="604">
        <f t="shared" si="763"/>
        <v>1333</v>
      </c>
      <c r="N141" s="605"/>
      <c r="O141" s="548">
        <f t="shared" ref="O141" si="764">SUM(O139:O140)</f>
        <v>1285</v>
      </c>
      <c r="P141" s="548">
        <f t="shared" ref="P141" si="765">SUM(P139:P140)</f>
        <v>1510</v>
      </c>
      <c r="Q141" s="548">
        <f t="shared" ref="Q141" si="766">SUM(Q139:Q140)</f>
        <v>1263</v>
      </c>
      <c r="R141" s="548">
        <f t="shared" ref="R141:S141" si="767">SUM(R139:R140)</f>
        <v>1480</v>
      </c>
      <c r="S141" s="548">
        <f t="shared" si="767"/>
        <v>1379</v>
      </c>
      <c r="T141" s="548">
        <f t="shared" ref="T141:U141" si="768">SUM(T139:T140)</f>
        <v>1472</v>
      </c>
      <c r="U141" s="548">
        <f t="shared" si="768"/>
        <v>1641</v>
      </c>
      <c r="V141" s="548">
        <f t="shared" ref="V141" si="769">SUM(V139:V140)</f>
        <v>1401</v>
      </c>
      <c r="W141" s="548">
        <f t="shared" ref="W141:X141" si="770">SUM(W139:W140)</f>
        <v>1463</v>
      </c>
      <c r="X141" s="548">
        <f t="shared" si="770"/>
        <v>1689</v>
      </c>
      <c r="Y141" s="606">
        <f t="shared" ref="Y141:AA141" si="771">SUM(Y139:Y140)</f>
        <v>1519</v>
      </c>
      <c r="Z141" s="606">
        <f t="shared" si="771"/>
        <v>1521</v>
      </c>
      <c r="AA141" s="606">
        <f t="shared" si="771"/>
        <v>1693</v>
      </c>
      <c r="AB141" s="548">
        <f t="shared" ref="AB141" si="772">SUM(AB139:AB140)</f>
        <v>1555</v>
      </c>
      <c r="AC141" s="548">
        <f t="shared" ref="AC141" si="773">SUM(AC139:AC140)</f>
        <v>1489</v>
      </c>
      <c r="AD141" s="606">
        <f t="shared" ref="AD141" si="774">SUM(AD139:AD140)</f>
        <v>1337</v>
      </c>
      <c r="AE141" s="606">
        <f t="shared" ref="AE141:AF141" si="775">SUM(AE139:AE140)</f>
        <v>1289</v>
      </c>
      <c r="AF141" s="548">
        <f t="shared" si="775"/>
        <v>1352</v>
      </c>
      <c r="AG141" s="548">
        <f t="shared" ref="AG141" si="776">SUM(AG139:AG140)</f>
        <v>1383</v>
      </c>
      <c r="AH141" s="606">
        <f>SUM(AH139:AH140)</f>
        <v>1247</v>
      </c>
      <c r="AI141" s="606">
        <f t="shared" ref="AI141:AR141" si="777">SUM(AI139:AI140)</f>
        <v>1120</v>
      </c>
      <c r="AJ141" s="548">
        <f t="shared" si="777"/>
        <v>1243</v>
      </c>
      <c r="AK141" s="548">
        <f t="shared" si="777"/>
        <v>1007</v>
      </c>
      <c r="AL141" s="548">
        <f t="shared" si="777"/>
        <v>1054</v>
      </c>
      <c r="AM141" s="548">
        <f t="shared" si="777"/>
        <v>1169</v>
      </c>
      <c r="AN141" s="548">
        <f t="shared" si="777"/>
        <v>1287</v>
      </c>
      <c r="AO141" s="548">
        <f t="shared" si="777"/>
        <v>1257</v>
      </c>
      <c r="AP141" s="548">
        <f t="shared" si="777"/>
        <v>1258</v>
      </c>
      <c r="AQ141" s="548">
        <f t="shared" si="777"/>
        <v>1242</v>
      </c>
      <c r="AR141" s="604">
        <f t="shared" si="777"/>
        <v>1331</v>
      </c>
    </row>
    <row r="142" spans="1:44" x14ac:dyDescent="0.25">
      <c r="B142" s="566" t="str">
        <f t="shared" ref="B142:M142" si="778">B123</f>
        <v>אג"ח והלוואות לז"א</v>
      </c>
      <c r="C142" s="543">
        <f t="shared" si="778"/>
        <v>1909</v>
      </c>
      <c r="D142" s="543">
        <f t="shared" ref="D142:E142" si="779">D123</f>
        <v>1829</v>
      </c>
      <c r="E142" s="543">
        <f t="shared" si="779"/>
        <v>2312</v>
      </c>
      <c r="F142" s="543">
        <f t="shared" si="778"/>
        <v>2436</v>
      </c>
      <c r="G142" s="543">
        <f t="shared" si="778"/>
        <v>2053</v>
      </c>
      <c r="H142" s="543">
        <f t="shared" si="778"/>
        <v>2181</v>
      </c>
      <c r="I142" s="543">
        <f t="shared" si="778"/>
        <v>1815</v>
      </c>
      <c r="J142" s="543">
        <f t="shared" si="778"/>
        <v>2388</v>
      </c>
      <c r="K142" s="543">
        <f t="shared" si="778"/>
        <v>2796</v>
      </c>
      <c r="L142" s="543">
        <f t="shared" si="778"/>
        <v>2805</v>
      </c>
      <c r="M142" s="600">
        <f t="shared" si="778"/>
        <v>2303</v>
      </c>
      <c r="N142" s="592"/>
      <c r="O142" s="543">
        <f t="shared" ref="O142" si="780">O123</f>
        <v>2550</v>
      </c>
      <c r="P142" s="543">
        <f t="shared" ref="P142" si="781">P123</f>
        <v>1856</v>
      </c>
      <c r="Q142" s="543">
        <f t="shared" ref="Q142" si="782">Q123</f>
        <v>1909</v>
      </c>
      <c r="R142" s="543">
        <f t="shared" ref="R142:S142" si="783">R123</f>
        <v>1845</v>
      </c>
      <c r="S142" s="543">
        <f t="shared" si="783"/>
        <v>1850</v>
      </c>
      <c r="T142" s="543">
        <f t="shared" ref="T142:U142" si="784">T123</f>
        <v>1883</v>
      </c>
      <c r="U142" s="543">
        <f t="shared" si="784"/>
        <v>1829</v>
      </c>
      <c r="V142" s="543">
        <f t="shared" ref="V142" si="785">V123</f>
        <v>1984</v>
      </c>
      <c r="W142" s="543">
        <f t="shared" ref="W142:X142" si="786">W123</f>
        <v>2117</v>
      </c>
      <c r="X142" s="543">
        <f t="shared" si="786"/>
        <v>2278</v>
      </c>
      <c r="Y142" s="601">
        <f t="shared" ref="Y142:AA142" si="787">Y123</f>
        <v>2312</v>
      </c>
      <c r="Z142" s="601">
        <f t="shared" si="787"/>
        <v>2290</v>
      </c>
      <c r="AA142" s="601">
        <f t="shared" si="787"/>
        <v>2291</v>
      </c>
      <c r="AB142" s="543">
        <f t="shared" ref="AB142:AR142" si="788">AB123</f>
        <v>2402</v>
      </c>
      <c r="AC142" s="543">
        <f t="shared" si="788"/>
        <v>2436</v>
      </c>
      <c r="AD142" s="601">
        <f t="shared" si="788"/>
        <v>2426</v>
      </c>
      <c r="AE142" s="601">
        <f t="shared" si="788"/>
        <v>2212</v>
      </c>
      <c r="AF142" s="543">
        <f t="shared" si="788"/>
        <v>2121</v>
      </c>
      <c r="AG142" s="543">
        <f t="shared" si="788"/>
        <v>2053</v>
      </c>
      <c r="AH142" s="601">
        <f t="shared" si="788"/>
        <v>2125</v>
      </c>
      <c r="AI142" s="601">
        <f t="shared" si="788"/>
        <v>2297</v>
      </c>
      <c r="AJ142" s="543">
        <f t="shared" si="788"/>
        <v>2353</v>
      </c>
      <c r="AK142" s="543">
        <f t="shared" si="788"/>
        <v>2181</v>
      </c>
      <c r="AL142" s="543">
        <f t="shared" si="788"/>
        <v>2101</v>
      </c>
      <c r="AM142" s="543">
        <f t="shared" si="788"/>
        <v>2145</v>
      </c>
      <c r="AN142" s="543">
        <f t="shared" si="788"/>
        <v>2072</v>
      </c>
      <c r="AO142" s="543">
        <f t="shared" si="788"/>
        <v>1815</v>
      </c>
      <c r="AP142" s="543">
        <f t="shared" si="788"/>
        <v>1721</v>
      </c>
      <c r="AQ142" s="543">
        <f t="shared" si="788"/>
        <v>1886</v>
      </c>
      <c r="AR142" s="600">
        <f t="shared" si="788"/>
        <v>2503</v>
      </c>
    </row>
    <row r="143" spans="1:44" x14ac:dyDescent="0.25">
      <c r="B143" s="566" t="s">
        <v>756</v>
      </c>
      <c r="C143" s="543">
        <f t="shared" ref="C143" si="789">C127</f>
        <v>55</v>
      </c>
      <c r="D143" s="543">
        <f t="shared" ref="D143:E143" si="790">D127</f>
        <v>56</v>
      </c>
      <c r="E143" s="543">
        <f t="shared" si="790"/>
        <v>60</v>
      </c>
      <c r="F143" s="543">
        <f t="shared" ref="F143:K143" si="791">F127</f>
        <v>70</v>
      </c>
      <c r="G143" s="543">
        <f t="shared" si="791"/>
        <v>98</v>
      </c>
      <c r="H143" s="543">
        <f t="shared" si="791"/>
        <v>52</v>
      </c>
      <c r="I143" s="543">
        <f t="shared" si="791"/>
        <v>10</v>
      </c>
      <c r="J143" s="543">
        <f t="shared" si="791"/>
        <v>7</v>
      </c>
      <c r="K143" s="543">
        <f t="shared" si="791"/>
        <v>10</v>
      </c>
      <c r="L143" s="543">
        <f>L124</f>
        <v>351</v>
      </c>
      <c r="M143" s="600">
        <f>M124</f>
        <v>260</v>
      </c>
      <c r="N143" s="592"/>
      <c r="O143" s="543">
        <f t="shared" ref="O143" si="792">O124</f>
        <v>477</v>
      </c>
      <c r="P143" s="543">
        <f t="shared" ref="P143" si="793">P124</f>
        <v>486</v>
      </c>
      <c r="Q143" s="543">
        <f t="shared" ref="Q143" si="794">Q124</f>
        <v>481</v>
      </c>
      <c r="R143" s="543">
        <f t="shared" ref="R143:S143" si="795">R124</f>
        <v>495</v>
      </c>
      <c r="S143" s="543">
        <f t="shared" si="795"/>
        <v>500</v>
      </c>
      <c r="T143" s="543">
        <f t="shared" ref="T143:U143" si="796">T124</f>
        <v>492</v>
      </c>
      <c r="U143" s="543">
        <f t="shared" si="796"/>
        <v>489</v>
      </c>
      <c r="V143" s="543">
        <f t="shared" ref="V143" si="797">V124</f>
        <v>464</v>
      </c>
      <c r="W143" s="543">
        <f t="shared" ref="W143:X143" si="798">W124</f>
        <v>467</v>
      </c>
      <c r="X143" s="543">
        <f t="shared" si="798"/>
        <v>442</v>
      </c>
      <c r="Y143" s="601">
        <f t="shared" ref="Y143:AA143" si="799">Y124</f>
        <v>423</v>
      </c>
      <c r="Z143" s="601">
        <f t="shared" si="799"/>
        <v>412</v>
      </c>
      <c r="AA143" s="601">
        <f t="shared" si="799"/>
        <v>450</v>
      </c>
      <c r="AB143" s="543">
        <f t="shared" ref="AB143:AR143" si="800">AB124</f>
        <v>406</v>
      </c>
      <c r="AC143" s="543">
        <f t="shared" si="800"/>
        <v>384</v>
      </c>
      <c r="AD143" s="601">
        <f t="shared" si="800"/>
        <v>391</v>
      </c>
      <c r="AE143" s="601">
        <f t="shared" si="800"/>
        <v>368</v>
      </c>
      <c r="AF143" s="543">
        <f t="shared" si="800"/>
        <v>320</v>
      </c>
      <c r="AG143" s="543">
        <f t="shared" si="800"/>
        <v>326</v>
      </c>
      <c r="AH143" s="601">
        <f t="shared" si="800"/>
        <v>307</v>
      </c>
      <c r="AI143" s="601">
        <f t="shared" si="800"/>
        <v>305</v>
      </c>
      <c r="AJ143" s="543">
        <f t="shared" si="800"/>
        <v>336</v>
      </c>
      <c r="AK143" s="543">
        <f t="shared" si="800"/>
        <v>341</v>
      </c>
      <c r="AL143" s="543">
        <f t="shared" si="800"/>
        <v>357</v>
      </c>
      <c r="AM143" s="543">
        <f t="shared" si="800"/>
        <v>345</v>
      </c>
      <c r="AN143" s="543">
        <f t="shared" si="800"/>
        <v>303</v>
      </c>
      <c r="AO143" s="543">
        <f t="shared" si="800"/>
        <v>297</v>
      </c>
      <c r="AP143" s="543">
        <f t="shared" si="800"/>
        <v>274</v>
      </c>
      <c r="AQ143" s="543">
        <f t="shared" si="800"/>
        <v>246</v>
      </c>
      <c r="AR143" s="600">
        <f t="shared" si="800"/>
        <v>255</v>
      </c>
    </row>
    <row r="144" spans="1:44" s="607" customFormat="1" ht="15.75" thickBot="1" x14ac:dyDescent="0.3">
      <c r="A144" s="547"/>
      <c r="B144" s="608" t="s">
        <v>757</v>
      </c>
      <c r="C144" s="595">
        <f t="shared" ref="C144" si="801">SUM(C142:C143)</f>
        <v>1964</v>
      </c>
      <c r="D144" s="595">
        <f t="shared" ref="D144:E144" si="802">SUM(D142:D143)</f>
        <v>1885</v>
      </c>
      <c r="E144" s="595">
        <f t="shared" si="802"/>
        <v>2372</v>
      </c>
      <c r="F144" s="595">
        <f t="shared" ref="F144:G144" si="803">SUM(F142:F143)</f>
        <v>2506</v>
      </c>
      <c r="G144" s="595">
        <f t="shared" si="803"/>
        <v>2151</v>
      </c>
      <c r="H144" s="595">
        <f t="shared" ref="H144:M144" si="804">SUM(H142:H143)</f>
        <v>2233</v>
      </c>
      <c r="I144" s="595">
        <f t="shared" si="804"/>
        <v>1825</v>
      </c>
      <c r="J144" s="595">
        <f t="shared" si="804"/>
        <v>2395</v>
      </c>
      <c r="K144" s="595">
        <f t="shared" si="804"/>
        <v>2806</v>
      </c>
      <c r="L144" s="595">
        <f t="shared" si="804"/>
        <v>3156</v>
      </c>
      <c r="M144" s="609">
        <f t="shared" si="804"/>
        <v>2563</v>
      </c>
      <c r="N144" s="605"/>
      <c r="O144" s="595">
        <f t="shared" ref="O144" si="805">SUM(O142:O143)</f>
        <v>3027</v>
      </c>
      <c r="P144" s="595">
        <f t="shared" ref="P144" si="806">SUM(P142:P143)</f>
        <v>2342</v>
      </c>
      <c r="Q144" s="595">
        <f t="shared" ref="Q144" si="807">SUM(Q142:Q143)</f>
        <v>2390</v>
      </c>
      <c r="R144" s="595">
        <f t="shared" ref="R144:S144" si="808">SUM(R142:R143)</f>
        <v>2340</v>
      </c>
      <c r="S144" s="595">
        <f t="shared" si="808"/>
        <v>2350</v>
      </c>
      <c r="T144" s="595">
        <f t="shared" ref="T144:U144" si="809">SUM(T142:T143)</f>
        <v>2375</v>
      </c>
      <c r="U144" s="595">
        <f t="shared" si="809"/>
        <v>2318</v>
      </c>
      <c r="V144" s="595">
        <f t="shared" ref="V144" si="810">SUM(V142:V143)</f>
        <v>2448</v>
      </c>
      <c r="W144" s="595">
        <f t="shared" ref="W144:X144" si="811">SUM(W142:W143)</f>
        <v>2584</v>
      </c>
      <c r="X144" s="595">
        <f t="shared" si="811"/>
        <v>2720</v>
      </c>
      <c r="Y144" s="610">
        <f t="shared" ref="Y144:AA144" si="812">SUM(Y142:Y143)</f>
        <v>2735</v>
      </c>
      <c r="Z144" s="610">
        <f t="shared" si="812"/>
        <v>2702</v>
      </c>
      <c r="AA144" s="610">
        <f t="shared" si="812"/>
        <v>2741</v>
      </c>
      <c r="AB144" s="595">
        <f t="shared" ref="AB144" si="813">SUM(AB142:AB143)</f>
        <v>2808</v>
      </c>
      <c r="AC144" s="595">
        <f t="shared" ref="AC144" si="814">SUM(AC142:AC143)</f>
        <v>2820</v>
      </c>
      <c r="AD144" s="610">
        <f t="shared" ref="AD144" si="815">SUM(AD142:AD143)</f>
        <v>2817</v>
      </c>
      <c r="AE144" s="610">
        <f t="shared" ref="AE144:AF144" si="816">SUM(AE142:AE143)</f>
        <v>2580</v>
      </c>
      <c r="AF144" s="595">
        <f t="shared" si="816"/>
        <v>2441</v>
      </c>
      <c r="AG144" s="595">
        <f t="shared" ref="AG144" si="817">SUM(AG142:AG143)</f>
        <v>2379</v>
      </c>
      <c r="AH144" s="610">
        <f>SUM(AH142:AH143)</f>
        <v>2432</v>
      </c>
      <c r="AI144" s="610">
        <f t="shared" ref="AI144:AR144" si="818">SUM(AI142:AI143)</f>
        <v>2602</v>
      </c>
      <c r="AJ144" s="595">
        <f t="shared" si="818"/>
        <v>2689</v>
      </c>
      <c r="AK144" s="595">
        <f t="shared" si="818"/>
        <v>2522</v>
      </c>
      <c r="AL144" s="595">
        <f t="shared" si="818"/>
        <v>2458</v>
      </c>
      <c r="AM144" s="595">
        <f t="shared" si="818"/>
        <v>2490</v>
      </c>
      <c r="AN144" s="595">
        <f t="shared" si="818"/>
        <v>2375</v>
      </c>
      <c r="AO144" s="595">
        <f t="shared" si="818"/>
        <v>2112</v>
      </c>
      <c r="AP144" s="595">
        <f t="shared" si="818"/>
        <v>1995</v>
      </c>
      <c r="AQ144" s="595">
        <f t="shared" si="818"/>
        <v>2132</v>
      </c>
      <c r="AR144" s="609">
        <f t="shared" si="818"/>
        <v>2758</v>
      </c>
    </row>
    <row r="145" spans="1:44" ht="15.75" thickTop="1" x14ac:dyDescent="0.25">
      <c r="B145" s="562" t="s">
        <v>689</v>
      </c>
      <c r="C145" s="548">
        <f t="shared" ref="C145" si="819">C141+C144</f>
        <v>3227</v>
      </c>
      <c r="D145" s="548">
        <f t="shared" ref="D145:E145" si="820">D141+D144</f>
        <v>3526</v>
      </c>
      <c r="E145" s="548">
        <f t="shared" si="820"/>
        <v>3891</v>
      </c>
      <c r="F145" s="548">
        <f t="shared" ref="F145:G145" si="821">F141+F144</f>
        <v>3995</v>
      </c>
      <c r="G145" s="548">
        <f t="shared" si="821"/>
        <v>3534</v>
      </c>
      <c r="H145" s="548">
        <f t="shared" ref="H145:M145" si="822">H141+H144</f>
        <v>3240</v>
      </c>
      <c r="I145" s="548">
        <f t="shared" si="822"/>
        <v>3082</v>
      </c>
      <c r="J145" s="548">
        <f t="shared" si="822"/>
        <v>3812</v>
      </c>
      <c r="K145" s="548">
        <f t="shared" si="822"/>
        <v>4102</v>
      </c>
      <c r="L145" s="548">
        <f t="shared" si="822"/>
        <v>4398</v>
      </c>
      <c r="M145" s="604">
        <f t="shared" si="822"/>
        <v>3896</v>
      </c>
      <c r="N145" s="592"/>
      <c r="O145" s="548">
        <f t="shared" ref="O145" si="823">O141+O144</f>
        <v>4312</v>
      </c>
      <c r="P145" s="548">
        <f t="shared" ref="P145" si="824">P141+P144</f>
        <v>3852</v>
      </c>
      <c r="Q145" s="548">
        <f t="shared" ref="Q145" si="825">Q141+Q144</f>
        <v>3653</v>
      </c>
      <c r="R145" s="548">
        <f t="shared" ref="R145:S145" si="826">R141+R144</f>
        <v>3820</v>
      </c>
      <c r="S145" s="548">
        <f t="shared" si="826"/>
        <v>3729</v>
      </c>
      <c r="T145" s="548">
        <f t="shared" ref="T145:U145" si="827">T141+T144</f>
        <v>3847</v>
      </c>
      <c r="U145" s="548">
        <f t="shared" si="827"/>
        <v>3959</v>
      </c>
      <c r="V145" s="548">
        <f t="shared" ref="V145" si="828">V141+V144</f>
        <v>3849</v>
      </c>
      <c r="W145" s="548">
        <f t="shared" ref="W145:X145" si="829">W141+W144</f>
        <v>4047</v>
      </c>
      <c r="X145" s="548">
        <f t="shared" si="829"/>
        <v>4409</v>
      </c>
      <c r="Y145" s="606">
        <f t="shared" ref="Y145:AA145" si="830">Y141+Y144</f>
        <v>4254</v>
      </c>
      <c r="Z145" s="606">
        <f t="shared" si="830"/>
        <v>4223</v>
      </c>
      <c r="AA145" s="606">
        <f t="shared" si="830"/>
        <v>4434</v>
      </c>
      <c r="AB145" s="548">
        <f t="shared" ref="AB145" si="831">AB141+AB144</f>
        <v>4363</v>
      </c>
      <c r="AC145" s="548">
        <f t="shared" ref="AC145" si="832">AC141+AC144</f>
        <v>4309</v>
      </c>
      <c r="AD145" s="606">
        <f t="shared" ref="AD145" si="833">AD141+AD144</f>
        <v>4154</v>
      </c>
      <c r="AE145" s="606">
        <f t="shared" ref="AE145:AF145" si="834">AE141+AE144</f>
        <v>3869</v>
      </c>
      <c r="AF145" s="548">
        <f t="shared" si="834"/>
        <v>3793</v>
      </c>
      <c r="AG145" s="548">
        <f t="shared" ref="AG145" si="835">AG141+AG144</f>
        <v>3762</v>
      </c>
      <c r="AH145" s="606">
        <f t="shared" ref="AH145" si="836">AH141+AH144</f>
        <v>3679</v>
      </c>
      <c r="AI145" s="606">
        <f t="shared" ref="AI145:AR145" si="837">AI141+AI144</f>
        <v>3722</v>
      </c>
      <c r="AJ145" s="548">
        <f t="shared" si="837"/>
        <v>3932</v>
      </c>
      <c r="AK145" s="548">
        <f t="shared" si="837"/>
        <v>3529</v>
      </c>
      <c r="AL145" s="548">
        <f t="shared" si="837"/>
        <v>3512</v>
      </c>
      <c r="AM145" s="548">
        <f t="shared" si="837"/>
        <v>3659</v>
      </c>
      <c r="AN145" s="548">
        <f t="shared" si="837"/>
        <v>3662</v>
      </c>
      <c r="AO145" s="548">
        <f t="shared" si="837"/>
        <v>3369</v>
      </c>
      <c r="AP145" s="548">
        <f t="shared" si="837"/>
        <v>3253</v>
      </c>
      <c r="AQ145" s="548">
        <f t="shared" si="837"/>
        <v>3374</v>
      </c>
      <c r="AR145" s="604">
        <f t="shared" si="837"/>
        <v>4089</v>
      </c>
    </row>
    <row r="146" spans="1:44" x14ac:dyDescent="0.25">
      <c r="B146" s="566" t="str">
        <f>B102</f>
        <v>מזומנים ושווי מזומנים</v>
      </c>
      <c r="C146" s="543">
        <f t="shared" ref="C146" si="838">-C102</f>
        <v>-327</v>
      </c>
      <c r="D146" s="543">
        <f t="shared" ref="D146:E146" si="839">-D102</f>
        <v>-420</v>
      </c>
      <c r="E146" s="543">
        <f t="shared" si="839"/>
        <v>-417</v>
      </c>
      <c r="F146" s="543">
        <f t="shared" ref="F146:M147" si="840">-F102</f>
        <v>-473</v>
      </c>
      <c r="G146" s="543">
        <f t="shared" si="840"/>
        <v>-214</v>
      </c>
      <c r="H146" s="543">
        <f t="shared" si="840"/>
        <v>-95</v>
      </c>
      <c r="I146" s="543">
        <f t="shared" si="840"/>
        <v>-121</v>
      </c>
      <c r="J146" s="543">
        <f t="shared" si="840"/>
        <v>-83</v>
      </c>
      <c r="K146" s="543">
        <f t="shared" si="840"/>
        <v>-87</v>
      </c>
      <c r="L146" s="543">
        <f t="shared" si="840"/>
        <v>-248</v>
      </c>
      <c r="M146" s="600">
        <f t="shared" si="840"/>
        <v>-247</v>
      </c>
      <c r="N146" s="592"/>
      <c r="O146" s="543">
        <f t="shared" ref="O146" si="841">-O102</f>
        <v>-582</v>
      </c>
      <c r="P146" s="543">
        <f t="shared" ref="P146" si="842">-P102</f>
        <v>-312</v>
      </c>
      <c r="Q146" s="543">
        <f t="shared" ref="Q146" si="843">-Q102</f>
        <v>-327</v>
      </c>
      <c r="R146" s="543">
        <f t="shared" ref="R146:S146" si="844">-R102</f>
        <v>-393</v>
      </c>
      <c r="S146" s="543">
        <f t="shared" si="844"/>
        <v>-287</v>
      </c>
      <c r="T146" s="543">
        <f t="shared" ref="T146:U146" si="845">-T102</f>
        <v>-363</v>
      </c>
      <c r="U146" s="543">
        <f t="shared" si="845"/>
        <v>-420</v>
      </c>
      <c r="V146" s="543">
        <f t="shared" ref="V146" si="846">-V102</f>
        <v>-307</v>
      </c>
      <c r="W146" s="543">
        <f t="shared" ref="W146:X146" si="847">-W102</f>
        <v>-372</v>
      </c>
      <c r="X146" s="543">
        <f t="shared" si="847"/>
        <v>-552</v>
      </c>
      <c r="Y146" s="601">
        <f t="shared" ref="Y146:AA146" si="848">-Y102</f>
        <v>-417</v>
      </c>
      <c r="Z146" s="601">
        <f t="shared" si="848"/>
        <v>-498</v>
      </c>
      <c r="AA146" s="601">
        <f t="shared" si="848"/>
        <v>-426</v>
      </c>
      <c r="AB146" s="543">
        <f t="shared" ref="AB146:AR146" si="849">-AB102</f>
        <v>-439</v>
      </c>
      <c r="AC146" s="543">
        <f t="shared" si="849"/>
        <v>-473</v>
      </c>
      <c r="AD146" s="601">
        <f t="shared" si="849"/>
        <v>-301</v>
      </c>
      <c r="AE146" s="601">
        <f t="shared" si="849"/>
        <v>-318</v>
      </c>
      <c r="AF146" s="543">
        <f t="shared" si="849"/>
        <v>-157</v>
      </c>
      <c r="AG146" s="543">
        <f t="shared" si="849"/>
        <v>-214</v>
      </c>
      <c r="AH146" s="601">
        <f t="shared" si="849"/>
        <v>-216</v>
      </c>
      <c r="AI146" s="601">
        <f t="shared" si="849"/>
        <v>-323</v>
      </c>
      <c r="AJ146" s="543">
        <f t="shared" si="849"/>
        <v>-434</v>
      </c>
      <c r="AK146" s="543">
        <f t="shared" si="849"/>
        <v>-95</v>
      </c>
      <c r="AL146" s="543">
        <f t="shared" si="849"/>
        <v>-96</v>
      </c>
      <c r="AM146" s="543">
        <f t="shared" si="849"/>
        <v>-137</v>
      </c>
      <c r="AN146" s="543">
        <f t="shared" si="849"/>
        <v>-103</v>
      </c>
      <c r="AO146" s="543">
        <f t="shared" si="849"/>
        <v>-121</v>
      </c>
      <c r="AP146" s="543">
        <f t="shared" si="849"/>
        <v>-102</v>
      </c>
      <c r="AQ146" s="543">
        <f t="shared" si="849"/>
        <v>-155</v>
      </c>
      <c r="AR146" s="600">
        <f t="shared" si="849"/>
        <v>-798</v>
      </c>
    </row>
    <row r="147" spans="1:44" x14ac:dyDescent="0.25">
      <c r="B147" s="566" t="str">
        <f>B103</f>
        <v>השקעות ופקדונות לז"ק</v>
      </c>
      <c r="C147" s="543">
        <f t="shared" ref="C147" si="850">-C103</f>
        <v>-115</v>
      </c>
      <c r="D147" s="543">
        <f t="shared" ref="D147:E147" si="851">-D103</f>
        <v>-172</v>
      </c>
      <c r="E147" s="543">
        <f t="shared" si="851"/>
        <v>-91</v>
      </c>
      <c r="F147" s="543">
        <f t="shared" si="840"/>
        <v>-91</v>
      </c>
      <c r="G147" s="543">
        <f t="shared" si="840"/>
        <v>-100</v>
      </c>
      <c r="H147" s="543">
        <f t="shared" si="840"/>
        <v>-96</v>
      </c>
      <c r="I147" s="543">
        <f t="shared" si="840"/>
        <v>-92</v>
      </c>
      <c r="J147" s="543">
        <f t="shared" si="840"/>
        <v>-90</v>
      </c>
      <c r="K147" s="543">
        <f t="shared" si="840"/>
        <v>-29</v>
      </c>
      <c r="L147" s="543">
        <f t="shared" si="840"/>
        <v>0</v>
      </c>
      <c r="M147" s="543">
        <f t="shared" si="840"/>
        <v>0</v>
      </c>
      <c r="N147" s="592"/>
      <c r="O147" s="543">
        <f t="shared" ref="O147" si="852">-O103</f>
        <v>-119</v>
      </c>
      <c r="P147" s="543">
        <f t="shared" ref="P147" si="853">-P103</f>
        <v>-121</v>
      </c>
      <c r="Q147" s="543">
        <f t="shared" ref="Q147" si="854">-Q103</f>
        <v>-115</v>
      </c>
      <c r="R147" s="543">
        <f t="shared" ref="R147:S147" si="855">-R103</f>
        <v>-110</v>
      </c>
      <c r="S147" s="543">
        <f t="shared" si="855"/>
        <v>-109</v>
      </c>
      <c r="T147" s="543">
        <f t="shared" ref="T147:U147" si="856">-T103</f>
        <v>-121</v>
      </c>
      <c r="U147" s="543">
        <f t="shared" si="856"/>
        <v>-172</v>
      </c>
      <c r="V147" s="543">
        <f t="shared" ref="V147" si="857">-V103</f>
        <v>-162</v>
      </c>
      <c r="W147" s="543">
        <f t="shared" ref="W147:X147" si="858">-W103</f>
        <v>-166</v>
      </c>
      <c r="X147" s="543">
        <f t="shared" si="858"/>
        <v>-129</v>
      </c>
      <c r="Y147" s="543">
        <f t="shared" ref="Y147:AA147" si="859">-Y103</f>
        <v>-91</v>
      </c>
      <c r="Z147" s="543">
        <f t="shared" si="859"/>
        <v>-92</v>
      </c>
      <c r="AA147" s="543">
        <f t="shared" si="859"/>
        <v>-90</v>
      </c>
      <c r="AB147" s="543">
        <f t="shared" ref="AB147:AR147" si="860">-AB103</f>
        <v>-93</v>
      </c>
      <c r="AC147" s="543">
        <f t="shared" si="860"/>
        <v>-91</v>
      </c>
      <c r="AD147" s="543">
        <f t="shared" si="860"/>
        <v>-88</v>
      </c>
      <c r="AE147" s="543">
        <f t="shared" si="860"/>
        <v>-92</v>
      </c>
      <c r="AF147" s="543">
        <f t="shared" si="860"/>
        <v>-99</v>
      </c>
      <c r="AG147" s="543">
        <f t="shared" si="860"/>
        <v>-100</v>
      </c>
      <c r="AH147" s="543">
        <f t="shared" si="860"/>
        <v>-98</v>
      </c>
      <c r="AI147" s="543">
        <f t="shared" si="860"/>
        <v>-86</v>
      </c>
      <c r="AJ147" s="543">
        <f t="shared" si="860"/>
        <v>-90</v>
      </c>
      <c r="AK147" s="543">
        <f t="shared" si="860"/>
        <v>-96</v>
      </c>
      <c r="AL147" s="543">
        <f t="shared" si="860"/>
        <v>-91</v>
      </c>
      <c r="AM147" s="543">
        <f t="shared" si="860"/>
        <v>-82</v>
      </c>
      <c r="AN147" s="543">
        <f t="shared" si="860"/>
        <v>-80</v>
      </c>
      <c r="AO147" s="543">
        <f t="shared" si="860"/>
        <v>-92</v>
      </c>
      <c r="AP147" s="543">
        <f t="shared" si="860"/>
        <v>-85</v>
      </c>
      <c r="AQ147" s="543">
        <f t="shared" si="860"/>
        <v>-80</v>
      </c>
      <c r="AR147" s="543">
        <f t="shared" si="860"/>
        <v>-78</v>
      </c>
    </row>
    <row r="148" spans="1:44" ht="15.75" thickBot="1" x14ac:dyDescent="0.3">
      <c r="B148" s="581" t="str">
        <f>B109</f>
        <v>השקעות הנמדדות בשווי הוגן דרך רווח כולל אחר</v>
      </c>
      <c r="C148" s="552">
        <f t="shared" ref="C148" si="861">-C109</f>
        <v>0</v>
      </c>
      <c r="D148" s="552">
        <f t="shared" ref="D148:E148" si="862">-D109</f>
        <v>0</v>
      </c>
      <c r="E148" s="552">
        <f t="shared" si="862"/>
        <v>0</v>
      </c>
      <c r="F148" s="552">
        <f t="shared" ref="F148:M148" si="863">-F109</f>
        <v>0</v>
      </c>
      <c r="G148" s="552">
        <f t="shared" si="863"/>
        <v>-83</v>
      </c>
      <c r="H148" s="552">
        <f t="shared" si="863"/>
        <v>-111</v>
      </c>
      <c r="I148" s="552">
        <f t="shared" si="863"/>
        <v>-145</v>
      </c>
      <c r="J148" s="552">
        <f t="shared" si="863"/>
        <v>-29</v>
      </c>
      <c r="K148" s="552">
        <f t="shared" si="863"/>
        <v>-153</v>
      </c>
      <c r="L148" s="552">
        <f t="shared" si="863"/>
        <v>-159</v>
      </c>
      <c r="M148" s="611">
        <f t="shared" si="863"/>
        <v>-185</v>
      </c>
      <c r="N148" s="592"/>
      <c r="O148" s="552">
        <f t="shared" ref="O148" si="864">-O109</f>
        <v>0</v>
      </c>
      <c r="P148" s="552">
        <f t="shared" ref="P148" si="865">-P109</f>
        <v>0</v>
      </c>
      <c r="Q148" s="552">
        <f t="shared" ref="Q148" si="866">-Q109</f>
        <v>0</v>
      </c>
      <c r="R148" s="552">
        <f t="shared" ref="R148:S148" si="867">-R109</f>
        <v>0</v>
      </c>
      <c r="S148" s="552">
        <f t="shared" si="867"/>
        <v>0</v>
      </c>
      <c r="T148" s="552">
        <f t="shared" ref="T148:U148" si="868">-T109</f>
        <v>0</v>
      </c>
      <c r="U148" s="552">
        <f t="shared" si="868"/>
        <v>0</v>
      </c>
      <c r="V148" s="552">
        <f t="shared" ref="V148" si="869">-V109</f>
        <v>0</v>
      </c>
      <c r="W148" s="552">
        <f t="shared" ref="W148:X148" si="870">-W109</f>
        <v>0</v>
      </c>
      <c r="X148" s="552">
        <f t="shared" si="870"/>
        <v>0</v>
      </c>
      <c r="Y148" s="612">
        <f t="shared" ref="Y148:AA148" si="871">-Y109</f>
        <v>0</v>
      </c>
      <c r="Z148" s="612">
        <f t="shared" si="871"/>
        <v>0</v>
      </c>
      <c r="AA148" s="612">
        <f t="shared" si="871"/>
        <v>0</v>
      </c>
      <c r="AB148" s="552">
        <f t="shared" ref="AB148:AR148" si="872">-AB109</f>
        <v>0</v>
      </c>
      <c r="AC148" s="552">
        <f t="shared" si="872"/>
        <v>0</v>
      </c>
      <c r="AD148" s="612">
        <f t="shared" si="872"/>
        <v>0</v>
      </c>
      <c r="AE148" s="612">
        <f t="shared" si="872"/>
        <v>0</v>
      </c>
      <c r="AF148" s="552">
        <f t="shared" si="872"/>
        <v>0</v>
      </c>
      <c r="AG148" s="552">
        <f t="shared" si="872"/>
        <v>-83</v>
      </c>
      <c r="AH148" s="612">
        <f t="shared" si="872"/>
        <v>-73</v>
      </c>
      <c r="AI148" s="612">
        <f t="shared" si="872"/>
        <v>-76</v>
      </c>
      <c r="AJ148" s="552">
        <f t="shared" si="872"/>
        <v>-100</v>
      </c>
      <c r="AK148" s="552">
        <f t="shared" si="872"/>
        <v>-111</v>
      </c>
      <c r="AL148" s="552">
        <f t="shared" si="872"/>
        <v>-29</v>
      </c>
      <c r="AM148" s="552">
        <f t="shared" si="872"/>
        <v>-29</v>
      </c>
      <c r="AN148" s="552">
        <f t="shared" si="872"/>
        <v>-30</v>
      </c>
      <c r="AO148" s="552">
        <f t="shared" si="872"/>
        <v>-145</v>
      </c>
      <c r="AP148" s="552">
        <f t="shared" si="872"/>
        <v>-28</v>
      </c>
      <c r="AQ148" s="552">
        <f t="shared" si="872"/>
        <v>-29</v>
      </c>
      <c r="AR148" s="611">
        <f t="shared" si="872"/>
        <v>-30</v>
      </c>
    </row>
    <row r="149" spans="1:44" ht="15.75" thickTop="1" x14ac:dyDescent="0.25">
      <c r="B149" s="574" t="s">
        <v>581</v>
      </c>
      <c r="C149" s="550">
        <f t="shared" ref="C149" si="873">SUM(C145:C148)</f>
        <v>2785</v>
      </c>
      <c r="D149" s="550">
        <f t="shared" ref="D149:E149" si="874">SUM(D145:D148)</f>
        <v>2934</v>
      </c>
      <c r="E149" s="550">
        <f t="shared" si="874"/>
        <v>3383</v>
      </c>
      <c r="F149" s="550">
        <f t="shared" ref="F149:G149" si="875">SUM(F145:F148)</f>
        <v>3431</v>
      </c>
      <c r="G149" s="550">
        <f t="shared" si="875"/>
        <v>3137</v>
      </c>
      <c r="H149" s="550">
        <f t="shared" ref="H149:M149" si="876">SUM(H145:H148)</f>
        <v>2938</v>
      </c>
      <c r="I149" s="550">
        <f t="shared" si="876"/>
        <v>2724</v>
      </c>
      <c r="J149" s="550">
        <f t="shared" si="876"/>
        <v>3610</v>
      </c>
      <c r="K149" s="550">
        <f t="shared" si="876"/>
        <v>3833</v>
      </c>
      <c r="L149" s="550">
        <f t="shared" si="876"/>
        <v>3991</v>
      </c>
      <c r="M149" s="613">
        <f t="shared" si="876"/>
        <v>3464</v>
      </c>
      <c r="N149" s="592"/>
      <c r="O149" s="550">
        <f t="shared" ref="O149" si="877">SUM(O145:O148)</f>
        <v>3611</v>
      </c>
      <c r="P149" s="550">
        <f t="shared" ref="P149" si="878">SUM(P145:P148)</f>
        <v>3419</v>
      </c>
      <c r="Q149" s="550">
        <f t="shared" ref="Q149" si="879">SUM(Q145:Q148)</f>
        <v>3211</v>
      </c>
      <c r="R149" s="550">
        <f t="shared" ref="R149:S149" si="880">SUM(R145:R148)</f>
        <v>3317</v>
      </c>
      <c r="S149" s="550">
        <f t="shared" si="880"/>
        <v>3333</v>
      </c>
      <c r="T149" s="550">
        <f t="shared" ref="T149:U149" si="881">SUM(T145:T148)</f>
        <v>3363</v>
      </c>
      <c r="U149" s="550">
        <f t="shared" si="881"/>
        <v>3367</v>
      </c>
      <c r="V149" s="550">
        <f t="shared" ref="V149" si="882">SUM(V145:V148)</f>
        <v>3380</v>
      </c>
      <c r="W149" s="550">
        <f t="shared" ref="W149:X149" si="883">SUM(W145:W148)</f>
        <v>3509</v>
      </c>
      <c r="X149" s="550">
        <f t="shared" si="883"/>
        <v>3728</v>
      </c>
      <c r="Y149" s="614">
        <f t="shared" ref="Y149:AA149" si="884">SUM(Y145:Y148)</f>
        <v>3746</v>
      </c>
      <c r="Z149" s="614">
        <f t="shared" si="884"/>
        <v>3633</v>
      </c>
      <c r="AA149" s="614">
        <f t="shared" si="884"/>
        <v>3918</v>
      </c>
      <c r="AB149" s="550">
        <f t="shared" ref="AB149" si="885">SUM(AB145:AB148)</f>
        <v>3831</v>
      </c>
      <c r="AC149" s="550">
        <f t="shared" ref="AC149:AK149" si="886">SUM(AC145:AC148)</f>
        <v>3745</v>
      </c>
      <c r="AD149" s="614">
        <f t="shared" si="886"/>
        <v>3765</v>
      </c>
      <c r="AE149" s="614">
        <f t="shared" si="886"/>
        <v>3459</v>
      </c>
      <c r="AF149" s="550">
        <f t="shared" si="886"/>
        <v>3537</v>
      </c>
      <c r="AG149" s="550">
        <f t="shared" si="886"/>
        <v>3365</v>
      </c>
      <c r="AH149" s="614">
        <f t="shared" si="886"/>
        <v>3292</v>
      </c>
      <c r="AI149" s="614">
        <f t="shared" si="886"/>
        <v>3237</v>
      </c>
      <c r="AJ149" s="550">
        <f t="shared" si="886"/>
        <v>3308</v>
      </c>
      <c r="AK149" s="550">
        <f t="shared" si="886"/>
        <v>3227</v>
      </c>
      <c r="AL149" s="550">
        <f t="shared" ref="AL149:AR149" si="887">SUM(AL145:AL148)</f>
        <v>3296</v>
      </c>
      <c r="AM149" s="550">
        <f t="shared" si="887"/>
        <v>3411</v>
      </c>
      <c r="AN149" s="550">
        <f t="shared" si="887"/>
        <v>3449</v>
      </c>
      <c r="AO149" s="550">
        <f t="shared" si="887"/>
        <v>3011</v>
      </c>
      <c r="AP149" s="550">
        <f t="shared" si="887"/>
        <v>3038</v>
      </c>
      <c r="AQ149" s="550">
        <f t="shared" si="887"/>
        <v>3110</v>
      </c>
      <c r="AR149" s="613">
        <f t="shared" si="887"/>
        <v>3183</v>
      </c>
    </row>
    <row r="150" spans="1:44" x14ac:dyDescent="0.25">
      <c r="C150" s="543"/>
      <c r="D150" s="543"/>
      <c r="E150" s="543"/>
      <c r="F150" s="543"/>
      <c r="G150" s="543"/>
      <c r="H150" s="543"/>
      <c r="I150" s="543"/>
      <c r="J150" s="543"/>
      <c r="K150" s="543"/>
      <c r="L150" s="543"/>
      <c r="M150" s="543"/>
      <c r="N150" s="592"/>
      <c r="O150" s="804"/>
      <c r="P150" s="804"/>
      <c r="Q150" s="804"/>
      <c r="R150" s="804"/>
      <c r="S150" s="804"/>
      <c r="T150" s="804"/>
      <c r="U150" s="804"/>
      <c r="V150" s="804"/>
      <c r="W150" s="804"/>
      <c r="X150" s="804"/>
      <c r="Y150" s="543"/>
      <c r="Z150" s="543"/>
      <c r="AA150" s="543"/>
      <c r="AB150" s="804"/>
      <c r="AC150" s="543"/>
      <c r="AD150" s="543"/>
      <c r="AE150" s="543"/>
      <c r="AF150" s="543"/>
      <c r="AG150" s="543"/>
      <c r="AH150" s="543"/>
      <c r="AI150" s="543"/>
      <c r="AJ150" s="543"/>
      <c r="AK150" s="543"/>
      <c r="AL150" s="543"/>
      <c r="AM150" s="543"/>
      <c r="AN150" s="543"/>
      <c r="AO150" s="543"/>
      <c r="AP150" s="543"/>
      <c r="AQ150" s="543"/>
      <c r="AR150" s="543"/>
    </row>
    <row r="151" spans="1:44" x14ac:dyDescent="0.25">
      <c r="C151" s="543"/>
      <c r="D151" s="543"/>
      <c r="E151" s="543"/>
      <c r="F151" s="543"/>
      <c r="G151" s="543"/>
      <c r="H151" s="543"/>
      <c r="I151" s="543"/>
      <c r="J151" s="543"/>
      <c r="K151" s="543"/>
      <c r="L151" s="543"/>
      <c r="M151" s="543"/>
      <c r="N151" s="543"/>
      <c r="O151" s="543"/>
      <c r="P151" s="543"/>
      <c r="Q151" s="543"/>
      <c r="R151" s="543"/>
      <c r="S151" s="543"/>
      <c r="T151" s="543"/>
      <c r="U151" s="543"/>
      <c r="V151" s="543"/>
      <c r="W151" s="543"/>
      <c r="X151" s="543"/>
      <c r="Y151" s="543"/>
      <c r="Z151" s="543"/>
      <c r="AA151" s="543"/>
      <c r="AB151" s="543"/>
      <c r="AC151" s="543"/>
      <c r="AD151" s="543"/>
      <c r="AE151" s="543"/>
      <c r="AF151" s="543"/>
      <c r="AG151" s="543"/>
      <c r="AH151" s="543"/>
      <c r="AI151" s="543"/>
      <c r="AJ151" s="543"/>
      <c r="AK151" s="543"/>
      <c r="AL151" s="543"/>
      <c r="AM151" s="543"/>
      <c r="AN151" s="543"/>
      <c r="AO151" s="543"/>
      <c r="AP151" s="543"/>
      <c r="AQ151" s="543"/>
      <c r="AR151" s="543"/>
    </row>
    <row r="152" spans="1:44" x14ac:dyDescent="0.25">
      <c r="B152" s="536" t="s">
        <v>690</v>
      </c>
      <c r="C152" s="596" t="str">
        <f>IFERROR(#REF!/#REF!,"")</f>
        <v/>
      </c>
      <c r="D152" s="596" t="str">
        <f>IFERROR(#REF!/#REF!,"")</f>
        <v/>
      </c>
      <c r="E152" s="596" t="str">
        <f>IFERROR(#REF!/#REF!,"")</f>
        <v/>
      </c>
      <c r="F152" s="596" t="str">
        <f>IFERROR(#REF!/#REF!,"")</f>
        <v/>
      </c>
      <c r="G152" s="596" t="str">
        <f>IFERROR(#REF!/#REF!,"")</f>
        <v/>
      </c>
      <c r="H152" s="596" t="str">
        <f>IFERROR(#REF!/#REF!,"")</f>
        <v/>
      </c>
      <c r="I152" s="596" t="str">
        <f>IFERROR(#REF!/#REF!,"")</f>
        <v/>
      </c>
      <c r="J152" s="596" t="str">
        <f>IFERROR(#REF!/#REF!,"")</f>
        <v/>
      </c>
      <c r="K152" s="596" t="str">
        <f>IFERROR(#REF!/#REF!,"")</f>
        <v/>
      </c>
      <c r="L152" s="596" t="str">
        <f>IFERROR(#REF!/#REF!,"")</f>
        <v/>
      </c>
      <c r="M152" s="596" t="str">
        <f>IFERROR(#REF!/#REF!,"")</f>
        <v/>
      </c>
      <c r="N152" s="543"/>
      <c r="O152" s="596" t="str">
        <f>IFERROR(#REF!/#REF!,"")</f>
        <v/>
      </c>
      <c r="P152" s="596" t="str">
        <f>IFERROR(#REF!/#REF!,"")</f>
        <v/>
      </c>
      <c r="Q152" s="596" t="str">
        <f>IFERROR(#REF!/#REF!,"")</f>
        <v/>
      </c>
      <c r="R152" s="596" t="str">
        <f>IFERROR(#REF!/#REF!,"")</f>
        <v/>
      </c>
      <c r="S152" s="596" t="str">
        <f>IFERROR(#REF!/#REF!,"")</f>
        <v/>
      </c>
      <c r="T152" s="596" t="str">
        <f>IFERROR(#REF!/#REF!,"")</f>
        <v/>
      </c>
      <c r="U152" s="596" t="str">
        <f>IFERROR(#REF!/#REF!,"")</f>
        <v/>
      </c>
      <c r="V152" s="596" t="str">
        <f>IFERROR(#REF!/#REF!,"")</f>
        <v/>
      </c>
      <c r="W152" s="596" t="str">
        <f>IFERROR(#REF!/#REF!,"")</f>
        <v/>
      </c>
      <c r="X152" s="596" t="str">
        <f>IFERROR(#REF!/#REF!,"")</f>
        <v/>
      </c>
      <c r="Y152" s="596" t="str">
        <f>IFERROR(#REF!/#REF!,"")</f>
        <v/>
      </c>
      <c r="Z152" s="596" t="str">
        <f>IFERROR(#REF!/#REF!,"")</f>
        <v/>
      </c>
      <c r="AA152" s="596" t="str">
        <f>IFERROR(#REF!/#REF!,"")</f>
        <v/>
      </c>
      <c r="AB152" s="596" t="str">
        <f>IFERROR(#REF!/#REF!,"")</f>
        <v/>
      </c>
      <c r="AC152" s="596" t="str">
        <f>IFERROR(#REF!/#REF!,"")</f>
        <v/>
      </c>
      <c r="AD152" s="596" t="str">
        <f>IFERROR(#REF!/#REF!,"")</f>
        <v/>
      </c>
      <c r="AE152" s="596" t="str">
        <f>IFERROR(#REF!/#REF!,"")</f>
        <v/>
      </c>
      <c r="AF152" s="596" t="str">
        <f>IFERROR(#REF!/#REF!,"")</f>
        <v/>
      </c>
      <c r="AG152" s="596" t="str">
        <f>IFERROR(#REF!/#REF!,"")</f>
        <v/>
      </c>
      <c r="AH152" s="596" t="str">
        <f>IFERROR(#REF!/#REF!,"")</f>
        <v/>
      </c>
      <c r="AI152" s="596" t="str">
        <f>IFERROR(#REF!/#REF!,"")</f>
        <v/>
      </c>
      <c r="AJ152" s="596" t="str">
        <f>IFERROR(#REF!/#REF!,"")</f>
        <v/>
      </c>
      <c r="AK152" s="596" t="str">
        <f>IFERROR(#REF!/#REF!,"")</f>
        <v/>
      </c>
      <c r="AL152" s="596" t="str">
        <f>IFERROR(#REF!/#REF!,"")</f>
        <v/>
      </c>
      <c r="AM152" s="596" t="str">
        <f>IFERROR(#REF!/#REF!,"")</f>
        <v/>
      </c>
      <c r="AN152" s="596" t="str">
        <f>IFERROR(#REF!/#REF!,"")</f>
        <v/>
      </c>
      <c r="AO152" s="596" t="str">
        <f>IFERROR(#REF!/#REF!,"")</f>
        <v/>
      </c>
      <c r="AP152" s="596" t="str">
        <f>IFERROR(#REF!/#REF!,"")</f>
        <v/>
      </c>
      <c r="AQ152" s="596" t="str">
        <f>IFERROR(#REF!/#REF!,"")</f>
        <v/>
      </c>
      <c r="AR152" s="596" t="str">
        <f>IFERROR(#REF!/#REF!,"")</f>
        <v/>
      </c>
    </row>
    <row r="153" spans="1:44" x14ac:dyDescent="0.25">
      <c r="B153" s="536" t="s">
        <v>680</v>
      </c>
      <c r="C153" s="596" t="str">
        <f>IFERROR(#REF!/#REF!,"")</f>
        <v/>
      </c>
      <c r="D153" s="596" t="str">
        <f>IFERROR(#REF!/#REF!,"")</f>
        <v/>
      </c>
      <c r="E153" s="596" t="str">
        <f>IFERROR(#REF!/#REF!,"")</f>
        <v/>
      </c>
      <c r="F153" s="596" t="str">
        <f>IFERROR(#REF!/#REF!,"")</f>
        <v/>
      </c>
      <c r="G153" s="596" t="str">
        <f>IFERROR(#REF!/#REF!,"")</f>
        <v/>
      </c>
      <c r="H153" s="596" t="str">
        <f>IFERROR(#REF!/#REF!,"")</f>
        <v/>
      </c>
      <c r="I153" s="596" t="str">
        <f>IFERROR(#REF!/#REF!,"")</f>
        <v/>
      </c>
      <c r="J153" s="596" t="str">
        <f>IFERROR(#REF!/#REF!,"")</f>
        <v/>
      </c>
      <c r="K153" s="596" t="str">
        <f>IFERROR(#REF!/#REF!,"")</f>
        <v/>
      </c>
      <c r="L153" s="596" t="str">
        <f>IFERROR(#REF!/#REF!,"")</f>
        <v/>
      </c>
      <c r="M153" s="596" t="str">
        <f>IFERROR(#REF!/#REF!,"")</f>
        <v/>
      </c>
      <c r="N153" s="543"/>
      <c r="O153" s="596" t="str">
        <f>IFERROR(#REF!/#REF!,"")</f>
        <v/>
      </c>
      <c r="P153" s="596" t="str">
        <f>IFERROR(#REF!/#REF!,"")</f>
        <v/>
      </c>
      <c r="Q153" s="596" t="str">
        <f>IFERROR(#REF!/#REF!,"")</f>
        <v/>
      </c>
      <c r="R153" s="596" t="str">
        <f>IFERROR(#REF!/#REF!,"")</f>
        <v/>
      </c>
      <c r="S153" s="596" t="str">
        <f>IFERROR(#REF!/#REF!,"")</f>
        <v/>
      </c>
      <c r="T153" s="596" t="str">
        <f>IFERROR(#REF!/#REF!,"")</f>
        <v/>
      </c>
      <c r="U153" s="596" t="str">
        <f>IFERROR(#REF!/#REF!,"")</f>
        <v/>
      </c>
      <c r="V153" s="596" t="str">
        <f>IFERROR(#REF!/#REF!,"")</f>
        <v/>
      </c>
      <c r="W153" s="596" t="str">
        <f>IFERROR(#REF!/#REF!,"")</f>
        <v/>
      </c>
      <c r="X153" s="596" t="str">
        <f>IFERROR(#REF!/#REF!,"")</f>
        <v/>
      </c>
      <c r="Y153" s="596" t="str">
        <f>IFERROR(#REF!/#REF!,"")</f>
        <v/>
      </c>
      <c r="Z153" s="596" t="str">
        <f>IFERROR(#REF!/#REF!,"")</f>
        <v/>
      </c>
      <c r="AA153" s="596" t="str">
        <f>IFERROR(#REF!/#REF!,"")</f>
        <v/>
      </c>
      <c r="AB153" s="596" t="str">
        <f>IFERROR(#REF!/#REF!,"")</f>
        <v/>
      </c>
      <c r="AC153" s="596" t="str">
        <f>IFERROR(#REF!/#REF!,"")</f>
        <v/>
      </c>
      <c r="AD153" s="596" t="str">
        <f>IFERROR(#REF!/#REF!,"")</f>
        <v/>
      </c>
      <c r="AE153" s="596" t="str">
        <f>IFERROR(#REF!/#REF!,"")</f>
        <v/>
      </c>
      <c r="AF153" s="596" t="str">
        <f>IFERROR(#REF!/#REF!,"")</f>
        <v/>
      </c>
      <c r="AG153" s="596" t="str">
        <f>IFERROR(#REF!/#REF!,"")</f>
        <v/>
      </c>
      <c r="AH153" s="596" t="str">
        <f>IFERROR(#REF!/#REF!,"")</f>
        <v/>
      </c>
      <c r="AI153" s="596" t="str">
        <f>IFERROR(#REF!/#REF!,"")</f>
        <v/>
      </c>
      <c r="AJ153" s="596" t="str">
        <f>IFERROR(#REF!/#REF!,"")</f>
        <v/>
      </c>
      <c r="AK153" s="596" t="str">
        <f>IFERROR(#REF!/#REF!,"")</f>
        <v/>
      </c>
      <c r="AL153" s="596" t="str">
        <f>IFERROR(#REF!/#REF!,"")</f>
        <v/>
      </c>
      <c r="AM153" s="596" t="str">
        <f>IFERROR(#REF!/#REF!,"")</f>
        <v/>
      </c>
      <c r="AN153" s="596" t="str">
        <f>IFERROR(#REF!/#REF!,"")</f>
        <v/>
      </c>
      <c r="AO153" s="596" t="str">
        <f>IFERROR(#REF!/#REF!,"")</f>
        <v/>
      </c>
      <c r="AP153" s="596" t="str">
        <f>IFERROR(#REF!/#REF!,"")</f>
        <v/>
      </c>
      <c r="AQ153" s="596" t="str">
        <f>IFERROR(#REF!/#REF!,"")</f>
        <v/>
      </c>
      <c r="AR153" s="596" t="str">
        <f>IFERROR(#REF!/#REF!,"")</f>
        <v/>
      </c>
    </row>
    <row r="154" spans="1:44" x14ac:dyDescent="0.25">
      <c r="C154" s="596"/>
      <c r="D154" s="596"/>
      <c r="E154" s="596"/>
      <c r="F154" s="596"/>
      <c r="G154" s="596"/>
      <c r="H154" s="596"/>
      <c r="I154" s="596"/>
      <c r="J154" s="596"/>
      <c r="K154" s="596"/>
      <c r="L154" s="596"/>
      <c r="M154" s="596"/>
      <c r="N154" s="543"/>
      <c r="O154" s="596"/>
      <c r="P154" s="596"/>
      <c r="Q154" s="596"/>
      <c r="R154" s="596"/>
      <c r="S154" s="596"/>
      <c r="T154" s="596"/>
      <c r="U154" s="596"/>
      <c r="V154" s="596"/>
      <c r="W154" s="596"/>
      <c r="X154" s="596"/>
      <c r="Y154" s="596"/>
      <c r="Z154" s="596"/>
      <c r="AA154" s="596"/>
      <c r="AB154" s="596"/>
      <c r="AC154" s="596"/>
      <c r="AD154" s="596"/>
      <c r="AE154" s="596"/>
      <c r="AF154" s="596"/>
      <c r="AG154" s="596"/>
      <c r="AH154" s="596"/>
      <c r="AI154" s="596"/>
      <c r="AJ154" s="596"/>
      <c r="AK154" s="596"/>
      <c r="AL154" s="596"/>
      <c r="AM154" s="596"/>
      <c r="AN154" s="596"/>
      <c r="AO154" s="596"/>
      <c r="AP154" s="596"/>
      <c r="AQ154" s="596"/>
      <c r="AR154" s="596"/>
    </row>
    <row r="155" spans="1:44" x14ac:dyDescent="0.25">
      <c r="C155" s="543"/>
      <c r="D155" s="543"/>
      <c r="E155" s="543"/>
      <c r="F155" s="543"/>
      <c r="G155" s="543"/>
      <c r="H155" s="543"/>
      <c r="I155" s="543"/>
      <c r="J155" s="543"/>
      <c r="K155" s="543"/>
      <c r="L155" s="543"/>
      <c r="M155" s="543"/>
      <c r="N155" s="543"/>
      <c r="O155" s="543"/>
      <c r="P155" s="543"/>
      <c r="Q155" s="543"/>
      <c r="R155" s="543"/>
      <c r="S155" s="543"/>
      <c r="T155" s="543"/>
      <c r="U155" s="543"/>
      <c r="V155" s="543"/>
      <c r="W155" s="543"/>
      <c r="X155" s="543"/>
      <c r="Y155" s="543"/>
      <c r="Z155" s="543"/>
      <c r="AA155" s="543"/>
      <c r="AB155" s="543"/>
      <c r="AC155" s="543"/>
      <c r="AD155" s="543"/>
      <c r="AE155" s="543"/>
      <c r="AF155" s="543"/>
      <c r="AG155" s="543"/>
      <c r="AH155" s="543"/>
      <c r="AI155" s="543"/>
      <c r="AJ155" s="543"/>
      <c r="AK155" s="543"/>
      <c r="AL155" s="543"/>
      <c r="AM155" s="543"/>
      <c r="AN155" s="543"/>
      <c r="AO155" s="543"/>
      <c r="AP155" s="543"/>
      <c r="AQ155" s="543"/>
      <c r="AR155" s="543"/>
    </row>
    <row r="156" spans="1:44" s="536" customFormat="1" x14ac:dyDescent="0.25">
      <c r="A156" s="539" t="s">
        <v>691</v>
      </c>
      <c r="B156" s="540"/>
      <c r="C156" s="541" t="str">
        <f t="shared" ref="C156:H156" si="888">C$2</f>
        <v>FY 2024</v>
      </c>
      <c r="D156" s="541" t="str">
        <f t="shared" si="888"/>
        <v>FY 2023</v>
      </c>
      <c r="E156" s="541" t="str">
        <f t="shared" si="888"/>
        <v>FY 2022</v>
      </c>
      <c r="F156" s="541" t="str">
        <f t="shared" si="888"/>
        <v>FY 2021</v>
      </c>
      <c r="G156" s="541" t="str">
        <f t="shared" si="888"/>
        <v>FY 2020</v>
      </c>
      <c r="H156" s="541" t="str">
        <f t="shared" si="888"/>
        <v>FY 2019</v>
      </c>
      <c r="I156" s="541" t="str">
        <f t="shared" ref="I156:AR156" si="889">I$2</f>
        <v>FY 2018</v>
      </c>
      <c r="J156" s="541" t="str">
        <f t="shared" si="889"/>
        <v>FY 2017</v>
      </c>
      <c r="K156" s="541" t="str">
        <f t="shared" si="889"/>
        <v>FY 2016</v>
      </c>
      <c r="L156" s="541" t="str">
        <f t="shared" si="889"/>
        <v>FY 2015</v>
      </c>
      <c r="M156" s="541" t="str">
        <f t="shared" si="889"/>
        <v>FY 2014</v>
      </c>
      <c r="O156" s="541" t="str">
        <f t="shared" si="889"/>
        <v>Q2 2025</v>
      </c>
      <c r="P156" s="541" t="str">
        <f t="shared" si="889"/>
        <v>Q1 2025</v>
      </c>
      <c r="Q156" s="541" t="str">
        <f t="shared" si="889"/>
        <v>Q4 2024</v>
      </c>
      <c r="R156" s="541" t="str">
        <f t="shared" si="889"/>
        <v>Q3 2024</v>
      </c>
      <c r="S156" s="541" t="str">
        <f t="shared" si="889"/>
        <v>Q2 2024</v>
      </c>
      <c r="T156" s="541" t="str">
        <f t="shared" si="889"/>
        <v>Q1 2024</v>
      </c>
      <c r="U156" s="541" t="str">
        <f t="shared" si="889"/>
        <v>Q4 2023</v>
      </c>
      <c r="V156" s="541" t="str">
        <f t="shared" si="889"/>
        <v>Q3 2023</v>
      </c>
      <c r="W156" s="541" t="str">
        <f t="shared" si="889"/>
        <v>Q2 2023</v>
      </c>
      <c r="X156" s="541" t="str">
        <f t="shared" si="889"/>
        <v>Q1 2023</v>
      </c>
      <c r="Y156" s="541" t="str">
        <f t="shared" si="889"/>
        <v>Q4 2022</v>
      </c>
      <c r="Z156" s="541" t="str">
        <f t="shared" si="889"/>
        <v>Q3 2022</v>
      </c>
      <c r="AA156" s="541" t="str">
        <f t="shared" si="889"/>
        <v>Q2 2022</v>
      </c>
      <c r="AB156" s="541" t="str">
        <f t="shared" si="889"/>
        <v>Q1 2022</v>
      </c>
      <c r="AC156" s="541" t="str">
        <f t="shared" si="889"/>
        <v>Q4 2021</v>
      </c>
      <c r="AD156" s="541" t="str">
        <f t="shared" si="889"/>
        <v>Q3 2021</v>
      </c>
      <c r="AE156" s="541" t="str">
        <f t="shared" si="889"/>
        <v>Q2 2021</v>
      </c>
      <c r="AF156" s="541" t="str">
        <f t="shared" si="889"/>
        <v>Q1 2021</v>
      </c>
      <c r="AG156" s="541" t="str">
        <f t="shared" si="889"/>
        <v>Q4 2020</v>
      </c>
      <c r="AH156" s="541" t="str">
        <f t="shared" si="889"/>
        <v>Q3 2020</v>
      </c>
      <c r="AI156" s="541" t="str">
        <f t="shared" si="889"/>
        <v>Q2 2020</v>
      </c>
      <c r="AJ156" s="541" t="str">
        <f t="shared" si="889"/>
        <v>Q1 2020</v>
      </c>
      <c r="AK156" s="541" t="str">
        <f t="shared" si="889"/>
        <v>Q4 2019</v>
      </c>
      <c r="AL156" s="541" t="str">
        <f t="shared" si="889"/>
        <v>Q3 2019</v>
      </c>
      <c r="AM156" s="541" t="str">
        <f t="shared" si="889"/>
        <v>Q2 2019</v>
      </c>
      <c r="AN156" s="541" t="str">
        <f t="shared" si="889"/>
        <v>Q1 2019</v>
      </c>
      <c r="AO156" s="541" t="str">
        <f t="shared" si="889"/>
        <v>Q4 2018</v>
      </c>
      <c r="AP156" s="541" t="str">
        <f t="shared" si="889"/>
        <v>Q3 2018</v>
      </c>
      <c r="AQ156" s="541" t="str">
        <f t="shared" si="889"/>
        <v>Q2 2018</v>
      </c>
      <c r="AR156" s="541" t="str">
        <f t="shared" si="889"/>
        <v>Q1 2018</v>
      </c>
    </row>
    <row r="158" spans="1:44" x14ac:dyDescent="0.25">
      <c r="B158" s="547" t="s">
        <v>692</v>
      </c>
      <c r="C158" s="543"/>
      <c r="D158" s="543"/>
      <c r="E158" s="543"/>
      <c r="F158" s="543"/>
      <c r="G158" s="543"/>
      <c r="H158" s="543"/>
      <c r="I158" s="543"/>
      <c r="J158" s="543"/>
      <c r="K158" s="543"/>
      <c r="L158" s="543"/>
      <c r="M158" s="543"/>
    </row>
    <row r="159" spans="1:44" x14ac:dyDescent="0.25">
      <c r="B159" s="536" t="s">
        <v>693</v>
      </c>
      <c r="C159" s="543">
        <v>2342000</v>
      </c>
      <c r="D159" s="543">
        <v>2342000</v>
      </c>
      <c r="E159" s="543">
        <v>2342000</v>
      </c>
      <c r="F159" s="543">
        <v>2342000</v>
      </c>
      <c r="G159" s="543">
        <v>1127040</v>
      </c>
      <c r="H159" s="543">
        <v>1127040</v>
      </c>
      <c r="I159" s="543">
        <v>1004648</v>
      </c>
      <c r="J159" s="543">
        <v>927078</v>
      </c>
      <c r="K159" s="543"/>
      <c r="L159" s="543"/>
      <c r="M159" s="543"/>
    </row>
    <row r="160" spans="1:44" x14ac:dyDescent="0.25">
      <c r="B160" s="536" t="s">
        <v>694</v>
      </c>
      <c r="C160" s="543">
        <v>906000</v>
      </c>
      <c r="D160" s="543">
        <v>906000</v>
      </c>
      <c r="E160" s="543">
        <v>906000</v>
      </c>
      <c r="F160" s="543">
        <v>906000</v>
      </c>
      <c r="G160" s="543">
        <v>235594</v>
      </c>
      <c r="H160" s="543">
        <v>235594</v>
      </c>
      <c r="I160" s="543">
        <v>223916</v>
      </c>
      <c r="J160" s="543">
        <v>205683</v>
      </c>
      <c r="K160" s="543"/>
      <c r="L160" s="543"/>
      <c r="M160" s="543"/>
    </row>
    <row r="161" spans="2:31" x14ac:dyDescent="0.25">
      <c r="B161" s="536" t="s">
        <v>695</v>
      </c>
      <c r="C161" s="543">
        <v>24794</v>
      </c>
      <c r="D161" s="543">
        <v>24794</v>
      </c>
      <c r="E161" s="543">
        <v>24794</v>
      </c>
      <c r="F161" s="543">
        <v>24794</v>
      </c>
      <c r="G161" s="543">
        <v>24794</v>
      </c>
      <c r="H161" s="543">
        <v>24794</v>
      </c>
      <c r="I161" s="543">
        <v>42860</v>
      </c>
      <c r="J161" s="543">
        <v>38848</v>
      </c>
      <c r="K161" s="543"/>
      <c r="L161" s="543"/>
      <c r="M161" s="543"/>
    </row>
    <row r="162" spans="2:31" x14ac:dyDescent="0.25">
      <c r="B162" s="536" t="s">
        <v>696</v>
      </c>
      <c r="C162" s="543">
        <v>33806</v>
      </c>
      <c r="D162" s="543">
        <v>33806</v>
      </c>
      <c r="E162" s="543">
        <v>33806</v>
      </c>
      <c r="F162" s="543">
        <v>33806</v>
      </c>
      <c r="G162" s="543">
        <v>33806</v>
      </c>
      <c r="H162" s="543">
        <v>33806</v>
      </c>
      <c r="I162" s="543">
        <v>32010</v>
      </c>
      <c r="J162" s="543">
        <v>32208</v>
      </c>
      <c r="K162" s="543"/>
      <c r="L162" s="543"/>
      <c r="M162" s="543"/>
    </row>
    <row r="163" spans="2:31" x14ac:dyDescent="0.25">
      <c r="B163" s="544" t="s">
        <v>102</v>
      </c>
      <c r="C163" s="545">
        <v>34810</v>
      </c>
      <c r="D163" s="545">
        <v>34810</v>
      </c>
      <c r="E163" s="545">
        <v>34810</v>
      </c>
      <c r="F163" s="545">
        <v>34810</v>
      </c>
      <c r="G163" s="545">
        <v>34810</v>
      </c>
      <c r="H163" s="545">
        <v>34810</v>
      </c>
      <c r="I163" s="545">
        <v>16081</v>
      </c>
      <c r="J163" s="545">
        <v>12486</v>
      </c>
      <c r="K163" s="545"/>
      <c r="L163" s="545"/>
      <c r="M163" s="545"/>
    </row>
    <row r="164" spans="2:31" x14ac:dyDescent="0.25">
      <c r="B164" s="547" t="s">
        <v>697</v>
      </c>
      <c r="C164" s="548">
        <f t="shared" ref="C164" si="890">SUM(C159:C163)</f>
        <v>3341410</v>
      </c>
      <c r="D164" s="548">
        <f t="shared" ref="D164:E164" si="891">SUM(D159:D163)</f>
        <v>3341410</v>
      </c>
      <c r="E164" s="548">
        <f t="shared" si="891"/>
        <v>3341410</v>
      </c>
      <c r="F164" s="548">
        <f t="shared" ref="F164:K164" si="892">SUM(F159:F163)</f>
        <v>3341410</v>
      </c>
      <c r="G164" s="548">
        <f t="shared" si="892"/>
        <v>1456044</v>
      </c>
      <c r="H164" s="548">
        <f t="shared" si="892"/>
        <v>1456044</v>
      </c>
      <c r="I164" s="548">
        <f t="shared" si="892"/>
        <v>1319515</v>
      </c>
      <c r="J164" s="548">
        <f t="shared" si="892"/>
        <v>1216303</v>
      </c>
      <c r="K164" s="548">
        <f t="shared" si="892"/>
        <v>0</v>
      </c>
      <c r="L164" s="548"/>
      <c r="M164" s="548"/>
    </row>
    <row r="165" spans="2:31" x14ac:dyDescent="0.25">
      <c r="B165" s="544" t="s">
        <v>698</v>
      </c>
      <c r="C165" s="545">
        <v>88435</v>
      </c>
      <c r="D165" s="545">
        <v>88435</v>
      </c>
      <c r="E165" s="545">
        <v>88435</v>
      </c>
      <c r="F165" s="545">
        <v>88435</v>
      </c>
      <c r="G165" s="545">
        <v>88435</v>
      </c>
      <c r="H165" s="545">
        <v>88435</v>
      </c>
      <c r="I165" s="545">
        <v>81946</v>
      </c>
      <c r="J165" s="545">
        <v>81991</v>
      </c>
      <c r="K165" s="545" t="str">
        <f>IF(L154=0,"",K154-L154)</f>
        <v/>
      </c>
      <c r="L165" s="545"/>
      <c r="M165" s="545"/>
    </row>
    <row r="166" spans="2:31" x14ac:dyDescent="0.25">
      <c r="B166" s="547" t="s">
        <v>697</v>
      </c>
      <c r="C166" s="548">
        <f t="shared" ref="C166" si="893">SUM(C164:C165)</f>
        <v>3429845</v>
      </c>
      <c r="D166" s="548">
        <f t="shared" ref="D166:E166" si="894">SUM(D164:D165)</f>
        <v>3429845</v>
      </c>
      <c r="E166" s="548">
        <f t="shared" si="894"/>
        <v>3429845</v>
      </c>
      <c r="F166" s="548">
        <f t="shared" ref="F166:G166" si="895">SUM(F164:F165)</f>
        <v>3429845</v>
      </c>
      <c r="G166" s="548">
        <f t="shared" si="895"/>
        <v>1544479</v>
      </c>
      <c r="H166" s="548">
        <f t="shared" ref="H166:M166" si="896">SUM(H164:H165)</f>
        <v>1544479</v>
      </c>
      <c r="I166" s="548">
        <f t="shared" si="896"/>
        <v>1401461</v>
      </c>
      <c r="J166" s="548">
        <f t="shared" si="896"/>
        <v>1298294</v>
      </c>
      <c r="K166" s="548">
        <f t="shared" si="896"/>
        <v>0</v>
      </c>
      <c r="L166" s="548">
        <f t="shared" si="896"/>
        <v>0</v>
      </c>
      <c r="M166" s="548">
        <f t="shared" si="896"/>
        <v>0</v>
      </c>
      <c r="AA166" s="615">
        <f>4800*1.17</f>
        <v>5616</v>
      </c>
      <c r="AE166" s="615">
        <f>4800*1.17</f>
        <v>5616</v>
      </c>
    </row>
    <row r="167" spans="2:31" x14ac:dyDescent="0.25">
      <c r="B167" s="588" t="s">
        <v>113</v>
      </c>
      <c r="C167" s="589">
        <f t="shared" ref="C167:D167" si="897">C4+C166</f>
        <v>3425260</v>
      </c>
      <c r="D167" s="589">
        <f t="shared" si="897"/>
        <v>3424980</v>
      </c>
      <c r="E167" s="589">
        <f t="shared" ref="E167:J167" si="898">E4+E166</f>
        <v>3424862</v>
      </c>
      <c r="F167" s="589">
        <f t="shared" si="898"/>
        <v>3425501</v>
      </c>
      <c r="G167" s="589">
        <f t="shared" si="898"/>
        <v>1540926</v>
      </c>
      <c r="H167" s="589">
        <f t="shared" si="898"/>
        <v>1541025</v>
      </c>
      <c r="I167" s="589">
        <f t="shared" si="898"/>
        <v>1397759</v>
      </c>
      <c r="J167" s="589">
        <f t="shared" si="898"/>
        <v>1294548</v>
      </c>
      <c r="K167" s="589"/>
      <c r="L167" s="589"/>
      <c r="M167" s="589"/>
    </row>
    <row r="169" spans="2:31" x14ac:dyDescent="0.25">
      <c r="B169" s="547" t="s">
        <v>699</v>
      </c>
      <c r="C169" s="543"/>
      <c r="D169" s="543"/>
      <c r="E169" s="543"/>
      <c r="F169" s="543"/>
      <c r="G169" s="543"/>
      <c r="H169" s="543"/>
      <c r="I169" s="543"/>
      <c r="J169" s="543"/>
      <c r="K169" s="543"/>
      <c r="L169" s="543"/>
      <c r="M169" s="543"/>
    </row>
    <row r="170" spans="2:31" x14ac:dyDescent="0.25">
      <c r="B170" s="536" t="s">
        <v>693</v>
      </c>
      <c r="C170" s="596">
        <f t="shared" ref="C170:D170" si="899">C159/C$3</f>
        <v>342.34760999853825</v>
      </c>
      <c r="D170" s="596">
        <f t="shared" si="899"/>
        <v>310.77494692144376</v>
      </c>
      <c r="E170" s="596">
        <f t="shared" ref="E170:J170" si="900">E159/E$3</f>
        <v>233.84922616075886</v>
      </c>
      <c r="F170" s="596">
        <f t="shared" si="900"/>
        <v>336.73616103522647</v>
      </c>
      <c r="G170" s="596">
        <f t="shared" si="900"/>
        <v>223.48602022605593</v>
      </c>
      <c r="H170" s="596">
        <f t="shared" si="900"/>
        <v>213.81900967558337</v>
      </c>
      <c r="I170" s="596">
        <f t="shared" si="900"/>
        <v>180.82217422606192</v>
      </c>
      <c r="J170" s="596">
        <f t="shared" si="900"/>
        <v>171.11074197120709</v>
      </c>
      <c r="K170" s="543"/>
      <c r="L170" s="543"/>
      <c r="M170" s="543"/>
    </row>
    <row r="171" spans="2:31" x14ac:dyDescent="0.25">
      <c r="B171" s="536" t="s">
        <v>694</v>
      </c>
      <c r="C171" s="596">
        <f t="shared" ref="C171" si="901">C160/C$3</f>
        <v>132.43677824879404</v>
      </c>
      <c r="D171" s="596">
        <f t="shared" ref="D171:E171" si="902">D160/D$3</f>
        <v>120.22292993630573</v>
      </c>
      <c r="E171" s="596">
        <f t="shared" si="902"/>
        <v>90.464303544682977</v>
      </c>
      <c r="F171" s="596">
        <f t="shared" ref="F171:G171" si="903">F160/F$3</f>
        <v>130.26599568655644</v>
      </c>
      <c r="G171" s="596">
        <f t="shared" si="903"/>
        <v>46.717033511798533</v>
      </c>
      <c r="H171" s="596">
        <f t="shared" ref="H171:J177" si="904">H160/H$3</f>
        <v>44.696262568772532</v>
      </c>
      <c r="I171" s="596">
        <f t="shared" si="904"/>
        <v>40.301655867530599</v>
      </c>
      <c r="J171" s="596">
        <f t="shared" si="904"/>
        <v>37.962901439645627</v>
      </c>
      <c r="K171" s="543"/>
      <c r="L171" s="543"/>
      <c r="M171" s="543"/>
    </row>
    <row r="172" spans="2:31" x14ac:dyDescent="0.25">
      <c r="B172" s="536" t="s">
        <v>695</v>
      </c>
      <c r="C172" s="596">
        <f t="shared" ref="C172" si="905">C161/C$3</f>
        <v>3.6243239292501097</v>
      </c>
      <c r="D172" s="596">
        <f t="shared" ref="D172:E172" si="906">D161/D$3</f>
        <v>3.2900743099787686</v>
      </c>
      <c r="E172" s="596">
        <f t="shared" si="906"/>
        <v>2.475686470294558</v>
      </c>
      <c r="F172" s="596">
        <f t="shared" ref="F172:G172" si="907">F161/F$3</f>
        <v>3.5649173256649891</v>
      </c>
      <c r="G172" s="596">
        <f t="shared" si="907"/>
        <v>4.9165179456672616</v>
      </c>
      <c r="H172" s="596">
        <f t="shared" si="904"/>
        <v>4.7038512616201862</v>
      </c>
      <c r="I172" s="596">
        <f t="shared" si="904"/>
        <v>7.7141828653707707</v>
      </c>
      <c r="J172" s="596">
        <f t="shared" si="904"/>
        <v>7.1701734957548915</v>
      </c>
      <c r="K172" s="543"/>
      <c r="L172" s="543"/>
      <c r="M172" s="543"/>
    </row>
    <row r="173" spans="2:31" x14ac:dyDescent="0.25">
      <c r="B173" s="536" t="s">
        <v>696</v>
      </c>
      <c r="C173" s="596">
        <f t="shared" ref="C173" si="908">C162/C$3</f>
        <v>4.9416751936851337</v>
      </c>
      <c r="D173" s="596">
        <f t="shared" ref="D173:E173" si="909">D162/D$3</f>
        <v>4.4859341825902339</v>
      </c>
      <c r="E173" s="596">
        <f t="shared" si="909"/>
        <v>3.3755366949575638</v>
      </c>
      <c r="F173" s="596">
        <f t="shared" ref="F173:G173" si="910">F162/F$3</f>
        <v>4.8606757728253056</v>
      </c>
      <c r="G173" s="596">
        <f t="shared" si="910"/>
        <v>6.7035494745191357</v>
      </c>
      <c r="H173" s="596">
        <f t="shared" si="904"/>
        <v>6.413583760197306</v>
      </c>
      <c r="I173" s="596">
        <f t="shared" si="904"/>
        <v>5.7613390928725705</v>
      </c>
      <c r="J173" s="596">
        <f t="shared" si="904"/>
        <v>5.9446290143964564</v>
      </c>
      <c r="K173" s="543"/>
      <c r="L173" s="543"/>
      <c r="M173" s="543"/>
    </row>
    <row r="174" spans="2:31" x14ac:dyDescent="0.25">
      <c r="B174" s="544" t="s">
        <v>102</v>
      </c>
      <c r="C174" s="559">
        <f t="shared" ref="C174" si="911">C163/C$3</f>
        <v>5.0884373629586319</v>
      </c>
      <c r="D174" s="559">
        <f t="shared" ref="D174:E174" si="912">D163/D$3</f>
        <v>4.6191613588110405</v>
      </c>
      <c r="E174" s="559">
        <f t="shared" si="912"/>
        <v>3.4757863205192212</v>
      </c>
      <c r="F174" s="559">
        <f t="shared" ref="F174:G174" si="913">F163/F$3</f>
        <v>5.0050323508267436</v>
      </c>
      <c r="G174" s="559">
        <f t="shared" si="913"/>
        <v>6.902637319056117</v>
      </c>
      <c r="H174" s="559">
        <f t="shared" si="904"/>
        <v>6.6040599506734967</v>
      </c>
      <c r="I174" s="559">
        <f t="shared" si="904"/>
        <v>2.8943484521238303</v>
      </c>
      <c r="J174" s="559">
        <f t="shared" si="904"/>
        <v>2.3045404208194906</v>
      </c>
      <c r="K174" s="545"/>
      <c r="L174" s="545"/>
      <c r="M174" s="545"/>
    </row>
    <row r="175" spans="2:31" x14ac:dyDescent="0.25">
      <c r="B175" s="547" t="s">
        <v>697</v>
      </c>
      <c r="C175" s="553">
        <f t="shared" ref="C175" si="914">C164/C$3</f>
        <v>488.43882473322611</v>
      </c>
      <c r="D175" s="553">
        <f t="shared" ref="D175:E175" si="915">D164/D$3</f>
        <v>443.39304670912952</v>
      </c>
      <c r="E175" s="553">
        <f t="shared" si="915"/>
        <v>333.64053919121318</v>
      </c>
      <c r="F175" s="553">
        <f t="shared" ref="F175:G175" si="916">F164/F$3</f>
        <v>480.43278217109992</v>
      </c>
      <c r="G175" s="553">
        <f t="shared" si="916"/>
        <v>288.72575847709697</v>
      </c>
      <c r="H175" s="553">
        <f t="shared" si="904"/>
        <v>276.23676721684689</v>
      </c>
      <c r="I175" s="553">
        <f t="shared" si="904"/>
        <v>237.49370050395967</v>
      </c>
      <c r="J175" s="553">
        <f t="shared" si="904"/>
        <v>224.49298634182355</v>
      </c>
      <c r="K175" s="548">
        <f>SUM(K170:K174)</f>
        <v>0</v>
      </c>
      <c r="L175" s="548"/>
      <c r="M175" s="548"/>
    </row>
    <row r="176" spans="2:31" x14ac:dyDescent="0.25">
      <c r="B176" s="544" t="s">
        <v>698</v>
      </c>
      <c r="C176" s="559">
        <f t="shared" ref="C176" si="917">C165/C$3</f>
        <v>12.927203625200994</v>
      </c>
      <c r="D176" s="559">
        <f t="shared" ref="D176:E176" si="918">D165/D$3</f>
        <v>11.735005307855626</v>
      </c>
      <c r="E176" s="559">
        <f t="shared" si="918"/>
        <v>8.8302546180728907</v>
      </c>
      <c r="F176" s="559">
        <f t="shared" ref="F176:G176" si="919">F165/F$3</f>
        <v>12.715312724658519</v>
      </c>
      <c r="G176" s="559">
        <f t="shared" si="919"/>
        <v>17.536188776521911</v>
      </c>
      <c r="H176" s="559">
        <f t="shared" si="904"/>
        <v>16.777651299563651</v>
      </c>
      <c r="I176" s="559">
        <f t="shared" si="904"/>
        <v>14.74910007199424</v>
      </c>
      <c r="J176" s="559">
        <f t="shared" si="904"/>
        <v>15.133074935400517</v>
      </c>
      <c r="K176" s="545" t="str">
        <f>IF(L165=0,"",K165-L165)</f>
        <v/>
      </c>
      <c r="L176" s="545"/>
      <c r="M176" s="545"/>
    </row>
    <row r="177" spans="2:13" x14ac:dyDescent="0.25">
      <c r="B177" s="547" t="s">
        <v>697</v>
      </c>
      <c r="C177" s="553">
        <f t="shared" ref="C177" si="920">C166/C$3</f>
        <v>501.36602835842712</v>
      </c>
      <c r="D177" s="553">
        <f t="shared" ref="D177:E177" si="921">D166/D$3</f>
        <v>455.12805201698512</v>
      </c>
      <c r="E177" s="553">
        <f t="shared" si="921"/>
        <v>342.47079380928608</v>
      </c>
      <c r="F177" s="553">
        <f t="shared" ref="F177:G177" si="922">F166/F$3</f>
        <v>493.14809489575845</v>
      </c>
      <c r="G177" s="553">
        <f t="shared" si="922"/>
        <v>306.26194725361887</v>
      </c>
      <c r="H177" s="553">
        <f t="shared" si="904"/>
        <v>293.01441851641056</v>
      </c>
      <c r="I177" s="553">
        <f t="shared" si="904"/>
        <v>252.24280057595394</v>
      </c>
      <c r="J177" s="553">
        <f t="shared" si="904"/>
        <v>239.62606127722407</v>
      </c>
      <c r="K177" s="548">
        <f>SUM(K175:K176)</f>
        <v>0</v>
      </c>
      <c r="L177" s="548">
        <f>SUM(L175:L176)</f>
        <v>0</v>
      </c>
      <c r="M177" s="548">
        <f>SUM(M175:M176)</f>
        <v>0</v>
      </c>
    </row>
    <row r="178" spans="2:13" x14ac:dyDescent="0.25">
      <c r="B178" s="547"/>
      <c r="C178" s="548"/>
      <c r="D178" s="548"/>
      <c r="E178" s="548"/>
      <c r="F178" s="548"/>
      <c r="G178" s="548"/>
      <c r="H178" s="548"/>
      <c r="I178" s="548"/>
      <c r="J178" s="548"/>
      <c r="K178" s="548"/>
      <c r="L178" s="548"/>
      <c r="M178" s="548"/>
    </row>
    <row r="179" spans="2:13" x14ac:dyDescent="0.25">
      <c r="B179" s="536" t="s">
        <v>700</v>
      </c>
      <c r="C179" s="543">
        <v>1089216</v>
      </c>
      <c r="D179" s="543">
        <v>1089216</v>
      </c>
      <c r="E179" s="543">
        <v>1089216</v>
      </c>
      <c r="F179" s="543">
        <v>1089216</v>
      </c>
      <c r="G179" s="543">
        <v>1089216</v>
      </c>
      <c r="H179" s="543">
        <v>1089216</v>
      </c>
      <c r="I179" s="543">
        <v>1015120</v>
      </c>
      <c r="J179" s="543">
        <v>957964</v>
      </c>
      <c r="K179" s="543"/>
      <c r="L179" s="543"/>
      <c r="M179" s="543"/>
    </row>
    <row r="180" spans="2:13" x14ac:dyDescent="0.25">
      <c r="B180" s="536" t="s">
        <v>701</v>
      </c>
      <c r="C180" s="543">
        <v>333165</v>
      </c>
      <c r="D180" s="543">
        <v>333165</v>
      </c>
      <c r="E180" s="543">
        <v>333165</v>
      </c>
      <c r="F180" s="543">
        <v>333165</v>
      </c>
      <c r="G180" s="543">
        <v>333165</v>
      </c>
      <c r="H180" s="543">
        <v>333165</v>
      </c>
      <c r="I180" s="543">
        <v>261003</v>
      </c>
      <c r="J180" s="543">
        <v>224390</v>
      </c>
      <c r="K180" s="543"/>
      <c r="L180" s="543"/>
      <c r="M180" s="543"/>
    </row>
    <row r="181" spans="2:13" x14ac:dyDescent="0.25">
      <c r="B181" s="536" t="s">
        <v>702</v>
      </c>
      <c r="C181" s="543">
        <v>96380</v>
      </c>
      <c r="D181" s="543">
        <v>96380</v>
      </c>
      <c r="E181" s="543">
        <v>96380</v>
      </c>
      <c r="F181" s="543">
        <v>96380</v>
      </c>
      <c r="G181" s="543">
        <v>96380</v>
      </c>
      <c r="H181" s="543">
        <v>96380</v>
      </c>
      <c r="I181" s="543">
        <v>89596</v>
      </c>
      <c r="J181" s="543">
        <v>81878</v>
      </c>
      <c r="K181" s="543"/>
      <c r="L181" s="543"/>
      <c r="M181" s="543"/>
    </row>
    <row r="182" spans="2:13" x14ac:dyDescent="0.25">
      <c r="B182" s="536" t="s">
        <v>703</v>
      </c>
      <c r="C182" s="543">
        <v>89073</v>
      </c>
      <c r="D182" s="543">
        <v>89073</v>
      </c>
      <c r="E182" s="543">
        <v>89073</v>
      </c>
      <c r="F182" s="543">
        <v>89073</v>
      </c>
      <c r="G182" s="543">
        <v>89073</v>
      </c>
      <c r="H182" s="543">
        <v>89073</v>
      </c>
      <c r="I182" s="543">
        <v>68793</v>
      </c>
      <c r="J182" s="543">
        <v>95854</v>
      </c>
      <c r="K182" s="543"/>
      <c r="L182" s="543"/>
      <c r="M182" s="543"/>
    </row>
    <row r="183" spans="2:13" x14ac:dyDescent="0.25">
      <c r="B183" s="536" t="s">
        <v>83</v>
      </c>
      <c r="C183" s="543">
        <v>4345</v>
      </c>
      <c r="D183" s="543">
        <v>4345</v>
      </c>
      <c r="E183" s="543">
        <v>4345</v>
      </c>
      <c r="F183" s="543">
        <v>4345</v>
      </c>
      <c r="G183" s="543">
        <v>4345</v>
      </c>
      <c r="H183" s="543">
        <v>4345</v>
      </c>
      <c r="I183" s="543">
        <v>5564</v>
      </c>
      <c r="J183" s="543">
        <v>8045</v>
      </c>
      <c r="K183" s="543"/>
      <c r="L183" s="543"/>
      <c r="M183" s="543"/>
    </row>
    <row r="184" spans="2:13" x14ac:dyDescent="0.25">
      <c r="B184" s="544" t="s">
        <v>704</v>
      </c>
      <c r="C184" s="545">
        <v>-67700</v>
      </c>
      <c r="D184" s="545">
        <v>-67700</v>
      </c>
      <c r="E184" s="545">
        <v>-67700</v>
      </c>
      <c r="F184" s="545">
        <v>-67700</v>
      </c>
      <c r="G184" s="545">
        <v>-67700</v>
      </c>
      <c r="H184" s="545">
        <v>-67700</v>
      </c>
      <c r="I184" s="545">
        <v>-38615</v>
      </c>
      <c r="J184" s="545">
        <v>-69837</v>
      </c>
      <c r="K184" s="545"/>
      <c r="L184" s="545"/>
      <c r="M184" s="545"/>
    </row>
    <row r="185" spans="2:13" x14ac:dyDescent="0.25">
      <c r="B185" s="547" t="s">
        <v>697</v>
      </c>
      <c r="C185" s="548">
        <f t="shared" ref="C185" si="923">SUM(C179:C184)</f>
        <v>1544479</v>
      </c>
      <c r="D185" s="548">
        <f t="shared" ref="D185:E185" si="924">SUM(D179:D184)</f>
        <v>1544479</v>
      </c>
      <c r="E185" s="548">
        <f t="shared" si="924"/>
        <v>1544479</v>
      </c>
      <c r="F185" s="548">
        <f t="shared" ref="F185:G185" si="925">SUM(F179:F184)</f>
        <v>1544479</v>
      </c>
      <c r="G185" s="548">
        <f t="shared" si="925"/>
        <v>1544479</v>
      </c>
      <c r="H185" s="548">
        <f t="shared" ref="H185:M185" si="926">SUM(H179:H184)</f>
        <v>1544479</v>
      </c>
      <c r="I185" s="548">
        <f t="shared" si="926"/>
        <v>1401461</v>
      </c>
      <c r="J185" s="548">
        <f t="shared" si="926"/>
        <v>1298294</v>
      </c>
      <c r="K185" s="548">
        <f t="shared" si="926"/>
        <v>0</v>
      </c>
      <c r="L185" s="548">
        <f t="shared" si="926"/>
        <v>0</v>
      </c>
      <c r="M185" s="548">
        <f t="shared" si="926"/>
        <v>0</v>
      </c>
    </row>
    <row r="186" spans="2:13" x14ac:dyDescent="0.25">
      <c r="B186" s="588" t="s">
        <v>113</v>
      </c>
      <c r="C186" s="589">
        <f t="shared" ref="C186:D186" si="927">C4+C185</f>
        <v>1539894</v>
      </c>
      <c r="D186" s="589">
        <f t="shared" si="927"/>
        <v>1539614</v>
      </c>
      <c r="E186" s="589">
        <f t="shared" ref="E186:J186" si="928">E4+E185</f>
        <v>1539496</v>
      </c>
      <c r="F186" s="589">
        <f t="shared" si="928"/>
        <v>1540135</v>
      </c>
      <c r="G186" s="589">
        <f t="shared" si="928"/>
        <v>1540926</v>
      </c>
      <c r="H186" s="589">
        <f t="shared" si="928"/>
        <v>1541025</v>
      </c>
      <c r="I186" s="589">
        <f t="shared" si="928"/>
        <v>1397759</v>
      </c>
      <c r="J186" s="589">
        <f t="shared" si="928"/>
        <v>1294548</v>
      </c>
      <c r="K186" s="589"/>
      <c r="L186" s="589"/>
      <c r="M186" s="589"/>
    </row>
    <row r="187" spans="2:13" x14ac:dyDescent="0.25">
      <c r="B187" s="588"/>
      <c r="C187" s="589"/>
      <c r="D187" s="589"/>
      <c r="E187" s="589"/>
      <c r="F187" s="589"/>
      <c r="G187" s="589"/>
      <c r="H187" s="589"/>
      <c r="I187" s="589"/>
      <c r="J187" s="589"/>
      <c r="K187" s="589"/>
      <c r="L187" s="589"/>
      <c r="M187" s="589"/>
    </row>
    <row r="188" spans="2:13" x14ac:dyDescent="0.25">
      <c r="B188" s="536" t="s">
        <v>700</v>
      </c>
      <c r="C188" s="567">
        <f t="shared" ref="C188" si="929">C179/C$3</f>
        <v>159.21882765677532</v>
      </c>
      <c r="D188" s="567">
        <f t="shared" ref="D188:E188" si="930">D179/D$3</f>
        <v>144.53503184713375</v>
      </c>
      <c r="E188" s="567">
        <f t="shared" si="930"/>
        <v>108.7584623065402</v>
      </c>
      <c r="F188" s="567">
        <f t="shared" ref="F188:G188" si="931">F179/F$3</f>
        <v>156.60905823148815</v>
      </c>
      <c r="G188" s="567">
        <f t="shared" si="931"/>
        <v>215.98572278405712</v>
      </c>
      <c r="H188" s="567">
        <f t="shared" ref="H188:M188" si="932">H179/H$3</f>
        <v>206.64314171883893</v>
      </c>
      <c r="I188" s="567">
        <f t="shared" si="932"/>
        <v>182.7069834413247</v>
      </c>
      <c r="J188" s="567">
        <f t="shared" si="932"/>
        <v>176.81136950904391</v>
      </c>
      <c r="K188" s="567">
        <f t="shared" si="932"/>
        <v>0</v>
      </c>
      <c r="L188" s="567">
        <f t="shared" si="932"/>
        <v>0</v>
      </c>
      <c r="M188" s="567">
        <f t="shared" si="932"/>
        <v>0</v>
      </c>
    </row>
    <row r="189" spans="2:13" x14ac:dyDescent="0.25">
      <c r="B189" s="536" t="s">
        <v>701</v>
      </c>
      <c r="C189" s="567">
        <f t="shared" ref="C189" si="933">C180/C$3</f>
        <v>48.701213272913314</v>
      </c>
      <c r="D189" s="567">
        <f t="shared" ref="D189:E189" si="934">D180/D$3</f>
        <v>44.209792993630572</v>
      </c>
      <c r="E189" s="567">
        <f t="shared" si="934"/>
        <v>33.266600099850223</v>
      </c>
      <c r="F189" s="567">
        <f t="shared" ref="F189:G189" si="935">F180/F$3</f>
        <v>47.902947519769953</v>
      </c>
      <c r="G189" s="567">
        <f t="shared" si="935"/>
        <v>66.064842355740637</v>
      </c>
      <c r="H189" s="567">
        <f t="shared" ref="H189:M194" si="936">H180/H$3</f>
        <v>63.207171314741039</v>
      </c>
      <c r="I189" s="567">
        <f t="shared" si="936"/>
        <v>46.976781857451407</v>
      </c>
      <c r="J189" s="567">
        <f t="shared" si="936"/>
        <v>41.4156515319306</v>
      </c>
      <c r="K189" s="567">
        <f t="shared" si="936"/>
        <v>0</v>
      </c>
      <c r="L189" s="567">
        <f t="shared" si="936"/>
        <v>0</v>
      </c>
      <c r="M189" s="567">
        <f t="shared" si="936"/>
        <v>0</v>
      </c>
    </row>
    <row r="190" spans="2:13" x14ac:dyDescent="0.25">
      <c r="B190" s="536" t="s">
        <v>702</v>
      </c>
      <c r="C190" s="567">
        <f t="shared" ref="C190" si="937">C181/C$3</f>
        <v>14.088583540418067</v>
      </c>
      <c r="D190" s="567">
        <f t="shared" ref="D190:E190" si="938">D181/D$3</f>
        <v>12.78927813163482</v>
      </c>
      <c r="E190" s="567">
        <f t="shared" si="938"/>
        <v>9.6235646530204697</v>
      </c>
      <c r="F190" s="567">
        <f t="shared" ref="F190:G190" si="939">F181/F$3</f>
        <v>13.85765636232926</v>
      </c>
      <c r="G190" s="567">
        <f t="shared" si="939"/>
        <v>19.111639896886775</v>
      </c>
      <c r="H190" s="567">
        <f t="shared" si="936"/>
        <v>18.284955416429518</v>
      </c>
      <c r="I190" s="567">
        <f t="shared" si="936"/>
        <v>16.125989920806337</v>
      </c>
      <c r="J190" s="567">
        <f t="shared" si="936"/>
        <v>15.112218530823181</v>
      </c>
      <c r="K190" s="567">
        <f t="shared" si="936"/>
        <v>0</v>
      </c>
      <c r="L190" s="567">
        <f t="shared" si="936"/>
        <v>0</v>
      </c>
      <c r="M190" s="567">
        <f t="shared" si="936"/>
        <v>0</v>
      </c>
    </row>
    <row r="191" spans="2:13" x14ac:dyDescent="0.25">
      <c r="B191" s="536" t="s">
        <v>703</v>
      </c>
      <c r="C191" s="567">
        <f t="shared" ref="C191" si="940">C182/C$3</f>
        <v>13.020464844321006</v>
      </c>
      <c r="D191" s="567">
        <f t="shared" ref="D191:E191" si="941">D182/D$3</f>
        <v>11.819665605095542</v>
      </c>
      <c r="E191" s="567">
        <f t="shared" si="941"/>
        <v>8.8939590614078874</v>
      </c>
      <c r="F191" s="567">
        <f t="shared" ref="F191:G191" si="942">F182/F$3</f>
        <v>12.80704529115744</v>
      </c>
      <c r="G191" s="567">
        <f t="shared" si="942"/>
        <v>17.662700773349197</v>
      </c>
      <c r="H191" s="567">
        <f t="shared" si="936"/>
        <v>16.898690950483779</v>
      </c>
      <c r="I191" s="567">
        <f t="shared" si="936"/>
        <v>12.381749460043197</v>
      </c>
      <c r="J191" s="567">
        <f t="shared" si="936"/>
        <v>17.691768180140272</v>
      </c>
      <c r="K191" s="567">
        <f t="shared" si="936"/>
        <v>0</v>
      </c>
      <c r="L191" s="567">
        <f t="shared" si="936"/>
        <v>0</v>
      </c>
      <c r="M191" s="567">
        <f t="shared" si="936"/>
        <v>0</v>
      </c>
    </row>
    <row r="192" spans="2:13" x14ac:dyDescent="0.25">
      <c r="B192" s="536" t="s">
        <v>83</v>
      </c>
      <c r="C192" s="567">
        <f t="shared" ref="C192" si="943">C183/C$3</f>
        <v>0.63514106124835545</v>
      </c>
      <c r="D192" s="567">
        <f t="shared" ref="D192:E192" si="944">D183/D$3</f>
        <v>0.57656581740976642</v>
      </c>
      <c r="E192" s="567">
        <f t="shared" si="944"/>
        <v>0.43384922616075888</v>
      </c>
      <c r="F192" s="567">
        <f t="shared" ref="F192:G192" si="945">F183/F$3</f>
        <v>0.62473040977713878</v>
      </c>
      <c r="G192" s="567">
        <f t="shared" si="945"/>
        <v>0.86159032322030538</v>
      </c>
      <c r="H192" s="567">
        <f t="shared" si="936"/>
        <v>0.82432176057674067</v>
      </c>
      <c r="I192" s="567">
        <f t="shared" si="936"/>
        <v>1.0014398848092152</v>
      </c>
      <c r="J192" s="567">
        <f t="shared" si="936"/>
        <v>1.4848652639350315</v>
      </c>
      <c r="K192" s="567">
        <f t="shared" si="936"/>
        <v>0</v>
      </c>
      <c r="L192" s="567">
        <f t="shared" si="936"/>
        <v>0</v>
      </c>
      <c r="M192" s="567">
        <f t="shared" si="936"/>
        <v>0</v>
      </c>
    </row>
    <row r="193" spans="1:48" x14ac:dyDescent="0.25">
      <c r="B193" s="544" t="s">
        <v>704</v>
      </c>
      <c r="C193" s="559">
        <f t="shared" ref="C193" si="946">C184/C$3</f>
        <v>-9.8962140038006137</v>
      </c>
      <c r="D193" s="559">
        <f t="shared" ref="D193:E193" si="947">D184/D$3</f>
        <v>-8.9835456475583868</v>
      </c>
      <c r="E193" s="559">
        <f t="shared" si="947"/>
        <v>-6.7598602096854714</v>
      </c>
      <c r="F193" s="559">
        <f t="shared" ref="F193:G193" si="948">F184/F$3</f>
        <v>-9.734004313443565</v>
      </c>
      <c r="G193" s="559">
        <f t="shared" si="948"/>
        <v>-13.424548879635138</v>
      </c>
      <c r="H193" s="559">
        <f t="shared" si="936"/>
        <v>-12.843862644659458</v>
      </c>
      <c r="I193" s="559">
        <f t="shared" si="936"/>
        <v>-6.9501439884809217</v>
      </c>
      <c r="J193" s="559">
        <f t="shared" si="936"/>
        <v>-12.889811738648948</v>
      </c>
      <c r="K193" s="559">
        <f t="shared" si="936"/>
        <v>0</v>
      </c>
      <c r="L193" s="559">
        <f t="shared" si="936"/>
        <v>0</v>
      </c>
      <c r="M193" s="559">
        <f t="shared" si="936"/>
        <v>0</v>
      </c>
    </row>
    <row r="194" spans="1:48" x14ac:dyDescent="0.25">
      <c r="B194" s="547" t="s">
        <v>697</v>
      </c>
      <c r="C194" s="553">
        <f t="shared" ref="C194" si="949">C185/C$3</f>
        <v>225.76801637187546</v>
      </c>
      <c r="D194" s="553">
        <f t="shared" ref="D194:E194" si="950">D185/D$3</f>
        <v>204.94678874734606</v>
      </c>
      <c r="E194" s="553">
        <f t="shared" si="950"/>
        <v>154.21657513729406</v>
      </c>
      <c r="F194" s="553">
        <f t="shared" ref="F194:G194" si="951">F185/F$3</f>
        <v>222.06743350107837</v>
      </c>
      <c r="G194" s="553">
        <f t="shared" si="951"/>
        <v>306.26194725361887</v>
      </c>
      <c r="H194" s="553">
        <f t="shared" si="936"/>
        <v>293.01441851641056</v>
      </c>
      <c r="I194" s="553">
        <f t="shared" si="936"/>
        <v>252.24280057595394</v>
      </c>
      <c r="J194" s="553">
        <f t="shared" si="936"/>
        <v>239.62606127722407</v>
      </c>
      <c r="K194" s="553">
        <f t="shared" si="936"/>
        <v>0</v>
      </c>
      <c r="L194" s="553">
        <f t="shared" si="936"/>
        <v>0</v>
      </c>
      <c r="M194" s="553">
        <f t="shared" si="936"/>
        <v>0</v>
      </c>
    </row>
    <row r="195" spans="1:48" x14ac:dyDescent="0.25">
      <c r="B195" s="588"/>
      <c r="C195" s="589"/>
      <c r="D195" s="589"/>
      <c r="E195" s="589"/>
      <c r="F195" s="589"/>
      <c r="G195" s="589"/>
      <c r="H195" s="589"/>
      <c r="I195" s="589"/>
      <c r="J195" s="589"/>
      <c r="K195" s="589"/>
      <c r="L195" s="589"/>
      <c r="M195" s="589"/>
    </row>
    <row r="196" spans="1:48" x14ac:dyDescent="0.25">
      <c r="B196" s="547" t="s">
        <v>705</v>
      </c>
      <c r="C196" s="543"/>
      <c r="D196" s="543"/>
      <c r="E196" s="543"/>
      <c r="F196" s="543"/>
      <c r="G196" s="543"/>
      <c r="H196" s="543"/>
      <c r="I196" s="543"/>
      <c r="J196" s="543"/>
      <c r="K196" s="543"/>
      <c r="L196" s="543"/>
      <c r="M196" s="543"/>
      <c r="N196" s="543"/>
      <c r="O196" s="543"/>
      <c r="P196" s="543"/>
      <c r="Q196" s="543"/>
      <c r="R196" s="543"/>
      <c r="S196" s="543"/>
      <c r="T196" s="543"/>
      <c r="U196" s="543"/>
      <c r="V196" s="543"/>
      <c r="W196" s="543"/>
      <c r="X196" s="543"/>
      <c r="Y196" s="543"/>
      <c r="Z196" s="543"/>
      <c r="AA196" s="543"/>
      <c r="AB196" s="543"/>
      <c r="AC196" s="543"/>
      <c r="AD196" s="543"/>
      <c r="AE196" s="543"/>
      <c r="AF196" s="543"/>
      <c r="AG196" s="543"/>
      <c r="AH196" s="543"/>
      <c r="AI196" s="543"/>
      <c r="AJ196" s="543"/>
      <c r="AK196" s="543"/>
      <c r="AL196" s="543"/>
      <c r="AM196" s="543"/>
      <c r="AN196" s="543"/>
      <c r="AO196" s="543"/>
      <c r="AP196" s="543"/>
      <c r="AQ196" s="543"/>
      <c r="AR196" s="543"/>
      <c r="AS196" s="543"/>
    </row>
    <row r="197" spans="1:48" x14ac:dyDescent="0.25">
      <c r="B197" s="536" t="s">
        <v>706</v>
      </c>
      <c r="C197" s="543">
        <v>244005</v>
      </c>
      <c r="D197" s="543">
        <v>244005</v>
      </c>
      <c r="E197" s="543">
        <v>244005</v>
      </c>
      <c r="F197" s="543">
        <v>244005</v>
      </c>
      <c r="G197" s="543">
        <v>244005</v>
      </c>
      <c r="H197" s="543">
        <v>244005</v>
      </c>
      <c r="I197" s="543">
        <v>245000</v>
      </c>
      <c r="J197" s="543"/>
      <c r="K197" s="543"/>
      <c r="L197" s="543"/>
      <c r="M197" s="543"/>
      <c r="N197" s="543"/>
      <c r="O197" s="543"/>
      <c r="P197" s="543"/>
      <c r="Q197" s="543"/>
      <c r="R197" s="543"/>
      <c r="S197" s="543"/>
      <c r="T197" s="543"/>
      <c r="U197" s="543"/>
      <c r="V197" s="543"/>
      <c r="W197" s="543"/>
      <c r="X197" s="543"/>
      <c r="Y197" s="543"/>
      <c r="Z197" s="543"/>
      <c r="AA197" s="543"/>
      <c r="AB197" s="543"/>
      <c r="AC197" s="543"/>
      <c r="AD197" s="543"/>
      <c r="AE197" s="543"/>
      <c r="AF197" s="543"/>
      <c r="AG197" s="543"/>
      <c r="AH197" s="543"/>
      <c r="AI197" s="543"/>
      <c r="AJ197" s="543"/>
      <c r="AK197" s="543"/>
      <c r="AL197" s="543"/>
      <c r="AM197" s="543"/>
      <c r="AN197" s="543"/>
      <c r="AO197" s="543"/>
      <c r="AP197" s="543"/>
      <c r="AQ197" s="543"/>
      <c r="AR197" s="543"/>
      <c r="AS197" s="543"/>
    </row>
    <row r="198" spans="1:48" x14ac:dyDescent="0.25">
      <c r="B198" s="536" t="s">
        <v>707</v>
      </c>
      <c r="C198" s="543">
        <v>32280</v>
      </c>
      <c r="D198" s="543">
        <v>32280</v>
      </c>
      <c r="E198" s="543">
        <v>32280</v>
      </c>
      <c r="F198" s="543">
        <v>32280</v>
      </c>
      <c r="G198" s="543">
        <v>32280</v>
      </c>
      <c r="H198" s="543">
        <v>32280</v>
      </c>
      <c r="I198" s="543">
        <v>26250</v>
      </c>
      <c r="J198" s="543"/>
      <c r="K198" s="543"/>
      <c r="L198" s="543"/>
      <c r="M198" s="543"/>
      <c r="N198" s="543"/>
      <c r="O198" s="543"/>
      <c r="P198" s="543"/>
      <c r="Q198" s="543"/>
      <c r="R198" s="543"/>
      <c r="S198" s="543"/>
      <c r="T198" s="543"/>
      <c r="U198" s="543"/>
      <c r="V198" s="543"/>
      <c r="W198" s="543"/>
      <c r="X198" s="543"/>
      <c r="Y198" s="543"/>
      <c r="Z198" s="543"/>
      <c r="AA198" s="543"/>
      <c r="AB198" s="543"/>
      <c r="AC198" s="543"/>
      <c r="AD198" s="543"/>
      <c r="AE198" s="543"/>
      <c r="AF198" s="543"/>
      <c r="AG198" s="543"/>
      <c r="AH198" s="543"/>
      <c r="AI198" s="543"/>
      <c r="AJ198" s="543"/>
      <c r="AK198" s="543"/>
      <c r="AL198" s="543"/>
      <c r="AM198" s="543"/>
      <c r="AN198" s="543"/>
      <c r="AO198" s="543"/>
      <c r="AP198" s="543"/>
      <c r="AQ198" s="543"/>
      <c r="AR198" s="543"/>
      <c r="AS198" s="543"/>
    </row>
    <row r="199" spans="1:48" x14ac:dyDescent="0.25">
      <c r="B199" s="536" t="s">
        <v>708</v>
      </c>
      <c r="C199" s="543">
        <v>423564</v>
      </c>
      <c r="D199" s="543">
        <v>423564</v>
      </c>
      <c r="E199" s="543">
        <v>423564</v>
      </c>
      <c r="F199" s="543">
        <v>423564</v>
      </c>
      <c r="G199" s="543">
        <v>423564</v>
      </c>
      <c r="H199" s="543">
        <v>423564</v>
      </c>
      <c r="I199" s="543">
        <v>465579</v>
      </c>
      <c r="J199" s="543"/>
      <c r="K199" s="543"/>
      <c r="L199" s="543"/>
      <c r="M199" s="543"/>
      <c r="N199" s="543"/>
      <c r="O199" s="543"/>
      <c r="P199" s="543"/>
      <c r="Q199" s="543"/>
      <c r="R199" s="543"/>
      <c r="S199" s="543"/>
      <c r="T199" s="543"/>
      <c r="U199" s="543"/>
      <c r="V199" s="543"/>
      <c r="W199" s="543"/>
      <c r="X199" s="543"/>
      <c r="Y199" s="543"/>
      <c r="Z199" s="543"/>
      <c r="AA199" s="543"/>
      <c r="AB199" s="543"/>
      <c r="AC199" s="543"/>
      <c r="AD199" s="543"/>
      <c r="AE199" s="543"/>
      <c r="AF199" s="543"/>
      <c r="AG199" s="543"/>
      <c r="AH199" s="543"/>
      <c r="AI199" s="543"/>
      <c r="AJ199" s="543"/>
      <c r="AK199" s="543"/>
      <c r="AL199" s="543"/>
      <c r="AM199" s="543"/>
      <c r="AN199" s="543"/>
      <c r="AO199" s="543"/>
      <c r="AP199" s="543"/>
      <c r="AQ199" s="543"/>
      <c r="AR199" s="543"/>
      <c r="AS199" s="543"/>
    </row>
    <row r="200" spans="1:48" x14ac:dyDescent="0.25">
      <c r="B200" s="544" t="s">
        <v>709</v>
      </c>
      <c r="C200" s="545">
        <v>3427</v>
      </c>
      <c r="D200" s="545">
        <v>3427</v>
      </c>
      <c r="E200" s="545">
        <v>3427</v>
      </c>
      <c r="F200" s="545">
        <v>3427</v>
      </c>
      <c r="G200" s="545">
        <v>3427</v>
      </c>
      <c r="H200" s="545">
        <v>3427</v>
      </c>
      <c r="I200" s="545">
        <v>3123</v>
      </c>
      <c r="J200" s="545"/>
      <c r="K200" s="545"/>
      <c r="L200" s="545"/>
      <c r="M200" s="545"/>
      <c r="N200" s="543"/>
      <c r="O200" s="543"/>
      <c r="P200" s="543"/>
      <c r="Q200" s="543"/>
      <c r="R200" s="543"/>
      <c r="S200" s="543"/>
      <c r="T200" s="543"/>
      <c r="U200" s="543"/>
      <c r="V200" s="543"/>
      <c r="W200" s="543"/>
      <c r="X200" s="543"/>
      <c r="Y200" s="543"/>
      <c r="Z200" s="543"/>
      <c r="AA200" s="543"/>
      <c r="AB200" s="543"/>
      <c r="AC200" s="543"/>
      <c r="AD200" s="543"/>
      <c r="AE200" s="543"/>
      <c r="AF200" s="543"/>
      <c r="AG200" s="543"/>
      <c r="AH200" s="543"/>
      <c r="AI200" s="543"/>
      <c r="AJ200" s="543"/>
      <c r="AK200" s="543"/>
      <c r="AL200" s="543"/>
      <c r="AM200" s="543"/>
      <c r="AN200" s="543"/>
      <c r="AO200" s="543"/>
      <c r="AP200" s="543"/>
      <c r="AQ200" s="543"/>
      <c r="AR200" s="543"/>
      <c r="AS200" s="543"/>
    </row>
    <row r="201" spans="1:48" s="607" customFormat="1" x14ac:dyDescent="0.25">
      <c r="A201" s="547"/>
      <c r="B201" s="547" t="s">
        <v>710</v>
      </c>
      <c r="C201" s="548">
        <f t="shared" ref="C201" si="952">SUM(C197:C200)</f>
        <v>703276</v>
      </c>
      <c r="D201" s="548">
        <f t="shared" ref="D201:E201" si="953">SUM(D197:D200)</f>
        <v>703276</v>
      </c>
      <c r="E201" s="548">
        <f t="shared" si="953"/>
        <v>703276</v>
      </c>
      <c r="F201" s="548">
        <f t="shared" ref="F201:K201" si="954">SUM(F197:F200)</f>
        <v>703276</v>
      </c>
      <c r="G201" s="548">
        <f t="shared" si="954"/>
        <v>703276</v>
      </c>
      <c r="H201" s="548">
        <f t="shared" si="954"/>
        <v>703276</v>
      </c>
      <c r="I201" s="548">
        <f t="shared" si="954"/>
        <v>739952</v>
      </c>
      <c r="J201" s="548">
        <f t="shared" si="954"/>
        <v>0</v>
      </c>
      <c r="K201" s="548">
        <f t="shared" si="954"/>
        <v>0</v>
      </c>
      <c r="L201" s="548"/>
      <c r="M201" s="548"/>
      <c r="N201" s="548"/>
      <c r="O201" s="548"/>
      <c r="P201" s="548"/>
      <c r="Q201" s="548"/>
      <c r="R201" s="548"/>
      <c r="S201" s="548"/>
      <c r="T201" s="548"/>
      <c r="U201" s="548"/>
      <c r="V201" s="548"/>
      <c r="W201" s="548"/>
      <c r="X201" s="548"/>
      <c r="Y201" s="548"/>
      <c r="Z201" s="548"/>
      <c r="AA201" s="548"/>
      <c r="AB201" s="548"/>
      <c r="AC201" s="548"/>
      <c r="AD201" s="548"/>
      <c r="AE201" s="548"/>
      <c r="AF201" s="548"/>
      <c r="AG201" s="548"/>
      <c r="AH201" s="548"/>
      <c r="AI201" s="548"/>
      <c r="AJ201" s="548"/>
      <c r="AK201" s="548"/>
      <c r="AL201" s="548"/>
      <c r="AM201" s="548"/>
      <c r="AN201" s="548"/>
      <c r="AO201" s="548"/>
      <c r="AP201" s="548"/>
      <c r="AQ201" s="548"/>
      <c r="AR201" s="548"/>
      <c r="AS201" s="548"/>
    </row>
    <row r="202" spans="1:48" x14ac:dyDescent="0.25">
      <c r="B202" s="544" t="s">
        <v>711</v>
      </c>
      <c r="C202" s="545">
        <v>-9463</v>
      </c>
      <c r="D202" s="545">
        <v>-9463</v>
      </c>
      <c r="E202" s="545">
        <v>-9463</v>
      </c>
      <c r="F202" s="545">
        <v>-9463</v>
      </c>
      <c r="G202" s="545">
        <v>-9463</v>
      </c>
      <c r="H202" s="545">
        <v>-9463</v>
      </c>
      <c r="I202" s="545">
        <v>-9251</v>
      </c>
      <c r="J202" s="545"/>
      <c r="K202" s="545"/>
      <c r="L202" s="545"/>
      <c r="M202" s="545"/>
      <c r="N202" s="543"/>
      <c r="O202" s="543"/>
      <c r="P202" s="543"/>
      <c r="Q202" s="543"/>
      <c r="R202" s="543"/>
      <c r="S202" s="543"/>
      <c r="T202" s="543"/>
      <c r="U202" s="543"/>
      <c r="V202" s="543"/>
      <c r="W202" s="543"/>
      <c r="X202" s="543"/>
      <c r="Y202" s="543"/>
      <c r="Z202" s="543"/>
      <c r="AA202" s="543"/>
      <c r="AB202" s="543"/>
      <c r="AC202" s="543"/>
      <c r="AD202" s="543"/>
      <c r="AE202" s="543"/>
      <c r="AF202" s="543"/>
      <c r="AG202" s="543"/>
      <c r="AH202" s="543"/>
      <c r="AI202" s="543"/>
      <c r="AJ202" s="543"/>
      <c r="AK202" s="543"/>
      <c r="AL202" s="543"/>
      <c r="AM202" s="543"/>
      <c r="AN202" s="543"/>
      <c r="AO202" s="543"/>
      <c r="AP202" s="543"/>
      <c r="AQ202" s="543"/>
      <c r="AR202" s="543"/>
      <c r="AS202" s="543"/>
    </row>
    <row r="203" spans="1:48" s="607" customFormat="1" x14ac:dyDescent="0.25">
      <c r="A203" s="547"/>
      <c r="B203" s="547" t="s">
        <v>710</v>
      </c>
      <c r="C203" s="548">
        <f t="shared" ref="C203" si="955">C201+C202</f>
        <v>693813</v>
      </c>
      <c r="D203" s="548">
        <f t="shared" ref="D203:E203" si="956">D201+D202</f>
        <v>693813</v>
      </c>
      <c r="E203" s="548">
        <f t="shared" si="956"/>
        <v>693813</v>
      </c>
      <c r="F203" s="548">
        <f t="shared" ref="F203:G203" si="957">F201+F202</f>
        <v>693813</v>
      </c>
      <c r="G203" s="548">
        <f t="shared" si="957"/>
        <v>693813</v>
      </c>
      <c r="H203" s="548">
        <f t="shared" ref="H203:M203" si="958">H201+H202</f>
        <v>693813</v>
      </c>
      <c r="I203" s="548">
        <f t="shared" si="958"/>
        <v>730701</v>
      </c>
      <c r="J203" s="548">
        <f t="shared" si="958"/>
        <v>0</v>
      </c>
      <c r="K203" s="548">
        <f t="shared" si="958"/>
        <v>0</v>
      </c>
      <c r="L203" s="548">
        <f t="shared" si="958"/>
        <v>0</v>
      </c>
      <c r="M203" s="548">
        <f t="shared" si="958"/>
        <v>0</v>
      </c>
      <c r="N203" s="548"/>
      <c r="O203" s="548"/>
      <c r="P203" s="548"/>
      <c r="Q203" s="548"/>
      <c r="R203" s="548"/>
      <c r="S203" s="548"/>
      <c r="T203" s="548"/>
      <c r="U203" s="548"/>
      <c r="V203" s="548"/>
      <c r="W203" s="548"/>
      <c r="X203" s="548"/>
      <c r="Y203" s="548"/>
      <c r="Z203" s="548"/>
      <c r="AA203" s="548"/>
      <c r="AB203" s="548"/>
      <c r="AC203" s="548"/>
      <c r="AD203" s="548"/>
      <c r="AE203" s="548"/>
      <c r="AF203" s="548"/>
      <c r="AG203" s="548"/>
      <c r="AH203" s="548"/>
      <c r="AI203" s="548"/>
      <c r="AJ203" s="548"/>
      <c r="AK203" s="548"/>
      <c r="AL203" s="548"/>
      <c r="AM203" s="548"/>
      <c r="AN203" s="548"/>
      <c r="AO203" s="548"/>
      <c r="AP203" s="548"/>
      <c r="AQ203" s="548"/>
      <c r="AR203" s="548"/>
      <c r="AS203" s="548"/>
    </row>
    <row r="204" spans="1:48" s="591" customFormat="1" x14ac:dyDescent="0.25">
      <c r="A204" s="588"/>
      <c r="B204" s="588" t="s">
        <v>113</v>
      </c>
      <c r="C204" s="589">
        <f t="shared" ref="C204" si="959">C104-C203</f>
        <v>-692553</v>
      </c>
      <c r="D204" s="589">
        <f t="shared" ref="D204:I204" si="960">D104-D203</f>
        <v>-692437</v>
      </c>
      <c r="E204" s="589">
        <f t="shared" si="960"/>
        <v>-692230</v>
      </c>
      <c r="F204" s="589">
        <f t="shared" si="960"/>
        <v>-692395</v>
      </c>
      <c r="G204" s="589">
        <f t="shared" si="960"/>
        <v>-692930</v>
      </c>
      <c r="H204" s="589">
        <f t="shared" si="960"/>
        <v>-693035</v>
      </c>
      <c r="I204" s="589">
        <f t="shared" si="960"/>
        <v>-729711</v>
      </c>
      <c r="J204" s="589"/>
      <c r="K204" s="589"/>
      <c r="L204" s="589"/>
      <c r="M204" s="589"/>
      <c r="N204" s="590"/>
      <c r="O204" s="589"/>
      <c r="P204" s="589"/>
      <c r="Q204" s="589"/>
      <c r="R204" s="589"/>
      <c r="S204" s="589"/>
      <c r="T204" s="589"/>
      <c r="U204" s="589"/>
      <c r="V204" s="589"/>
      <c r="W204" s="589"/>
      <c r="X204" s="589"/>
      <c r="Y204" s="589"/>
      <c r="Z204" s="589"/>
      <c r="AA204" s="589"/>
      <c r="AB204" s="589"/>
      <c r="AC204" s="589"/>
      <c r="AD204" s="589"/>
      <c r="AE204" s="589"/>
      <c r="AF204" s="589"/>
      <c r="AG204" s="589"/>
      <c r="AH204" s="589"/>
      <c r="AI204" s="589"/>
      <c r="AJ204" s="589"/>
      <c r="AK204" s="589"/>
      <c r="AL204" s="589"/>
      <c r="AM204" s="589"/>
      <c r="AN204" s="589"/>
      <c r="AO204" s="589"/>
      <c r="AP204" s="589"/>
      <c r="AQ204" s="589"/>
      <c r="AR204" s="589"/>
    </row>
    <row r="205" spans="1:48" s="591" customFormat="1" x14ac:dyDescent="0.25">
      <c r="A205" s="588"/>
      <c r="B205" s="588"/>
      <c r="C205" s="589"/>
      <c r="D205" s="589"/>
      <c r="E205" s="589"/>
      <c r="F205" s="589"/>
      <c r="G205" s="589"/>
      <c r="H205" s="589"/>
      <c r="I205" s="589"/>
      <c r="J205" s="589"/>
      <c r="K205" s="589"/>
      <c r="L205" s="589"/>
      <c r="M205" s="589"/>
      <c r="N205" s="590"/>
      <c r="O205" s="589"/>
      <c r="P205" s="589"/>
      <c r="Q205" s="589"/>
      <c r="R205" s="589"/>
      <c r="S205" s="589"/>
      <c r="T205" s="589"/>
      <c r="U205" s="589"/>
      <c r="V205" s="589"/>
      <c r="W205" s="589"/>
      <c r="X205" s="589"/>
      <c r="Y205" s="589"/>
      <c r="Z205" s="589"/>
      <c r="AA205" s="589"/>
      <c r="AB205" s="589"/>
      <c r="AC205" s="589"/>
      <c r="AD205" s="589"/>
      <c r="AE205" s="589"/>
      <c r="AF205" s="589"/>
      <c r="AG205" s="589"/>
      <c r="AH205" s="589"/>
      <c r="AI205" s="589"/>
      <c r="AJ205" s="589"/>
      <c r="AK205" s="589"/>
      <c r="AL205" s="589"/>
      <c r="AM205" s="589"/>
      <c r="AN205" s="589"/>
      <c r="AO205" s="589"/>
      <c r="AP205" s="589"/>
      <c r="AQ205" s="589"/>
      <c r="AR205" s="589"/>
    </row>
    <row r="206" spans="1:48" x14ac:dyDescent="0.25">
      <c r="B206" s="547" t="s">
        <v>712</v>
      </c>
      <c r="C206" s="543"/>
      <c r="D206" s="543"/>
      <c r="E206" s="543"/>
      <c r="F206" s="543"/>
      <c r="G206" s="543"/>
      <c r="H206" s="543"/>
      <c r="I206" s="543"/>
      <c r="J206" s="543"/>
      <c r="K206" s="543"/>
      <c r="L206" s="543"/>
      <c r="M206" s="543"/>
      <c r="N206" s="543"/>
      <c r="O206" s="543"/>
      <c r="P206" s="543"/>
      <c r="Q206" s="543"/>
      <c r="R206" s="543"/>
      <c r="S206" s="543"/>
      <c r="T206" s="543"/>
      <c r="U206" s="543"/>
      <c r="V206" s="543"/>
      <c r="W206" s="543"/>
      <c r="X206" s="543"/>
      <c r="Y206" s="543"/>
      <c r="Z206" s="543"/>
      <c r="AA206" s="543"/>
      <c r="AB206" s="543"/>
      <c r="AC206" s="543"/>
      <c r="AD206" s="543"/>
      <c r="AE206" s="543"/>
      <c r="AF206" s="543"/>
      <c r="AG206" s="543"/>
      <c r="AH206" s="543"/>
      <c r="AI206" s="543"/>
      <c r="AJ206" s="543"/>
      <c r="AK206" s="543"/>
      <c r="AL206" s="543"/>
      <c r="AM206" s="543"/>
      <c r="AN206" s="543"/>
      <c r="AO206" s="543"/>
      <c r="AP206" s="543"/>
      <c r="AQ206" s="543"/>
      <c r="AR206" s="543"/>
      <c r="AS206" s="543"/>
      <c r="AT206" s="543"/>
      <c r="AU206" s="543"/>
      <c r="AV206" s="543"/>
    </row>
    <row r="207" spans="1:48" x14ac:dyDescent="0.25">
      <c r="B207" s="536" t="s">
        <v>706</v>
      </c>
      <c r="C207" s="543">
        <v>259426</v>
      </c>
      <c r="D207" s="543">
        <v>259426</v>
      </c>
      <c r="E207" s="543">
        <v>259426</v>
      </c>
      <c r="F207" s="543">
        <v>259426</v>
      </c>
      <c r="G207" s="543">
        <v>259426</v>
      </c>
      <c r="H207" s="543">
        <v>259426</v>
      </c>
      <c r="I207" s="543">
        <v>254799</v>
      </c>
      <c r="J207" s="543" t="str">
        <f>IF(K197=0,"",J197-K197)</f>
        <v/>
      </c>
      <c r="K207" s="543" t="str">
        <f>IF(L197=0,"",K197-L197)</f>
        <v/>
      </c>
      <c r="L207" s="543"/>
      <c r="M207" s="543"/>
      <c r="N207" s="543"/>
      <c r="O207" s="543"/>
      <c r="P207" s="543"/>
      <c r="Q207" s="543"/>
      <c r="R207" s="543"/>
      <c r="S207" s="543"/>
      <c r="T207" s="543"/>
      <c r="U207" s="543"/>
      <c r="V207" s="543"/>
      <c r="W207" s="543"/>
      <c r="X207" s="543"/>
      <c r="Y207" s="543"/>
      <c r="Z207" s="543"/>
      <c r="AA207" s="543"/>
      <c r="AB207" s="543"/>
      <c r="AC207" s="543"/>
      <c r="AD207" s="543"/>
      <c r="AE207" s="543"/>
      <c r="AF207" s="543"/>
      <c r="AG207" s="543"/>
      <c r="AH207" s="543"/>
      <c r="AI207" s="543"/>
      <c r="AJ207" s="543"/>
      <c r="AK207" s="543"/>
      <c r="AL207" s="543"/>
      <c r="AM207" s="543"/>
      <c r="AN207" s="543"/>
      <c r="AO207" s="543"/>
      <c r="AP207" s="543"/>
      <c r="AQ207" s="543"/>
      <c r="AR207" s="543"/>
      <c r="AS207" s="543"/>
      <c r="AT207" s="543"/>
      <c r="AU207" s="543"/>
      <c r="AV207" s="543"/>
    </row>
    <row r="208" spans="1:48" x14ac:dyDescent="0.25">
      <c r="B208" s="536" t="s">
        <v>713</v>
      </c>
      <c r="C208" s="543">
        <v>37455</v>
      </c>
      <c r="D208" s="543">
        <v>37455</v>
      </c>
      <c r="E208" s="543">
        <v>37455</v>
      </c>
      <c r="F208" s="543">
        <v>37455</v>
      </c>
      <c r="G208" s="543">
        <v>37455</v>
      </c>
      <c r="H208" s="543">
        <v>37455</v>
      </c>
      <c r="I208" s="543">
        <v>18269</v>
      </c>
      <c r="J208" s="543" t="str">
        <f>IF(K198=0,"",J198-K198)</f>
        <v/>
      </c>
      <c r="K208" s="543" t="str">
        <f>IF(L198=0,"",K198-L198)</f>
        <v/>
      </c>
      <c r="L208" s="543"/>
      <c r="M208" s="543"/>
      <c r="N208" s="543"/>
      <c r="O208" s="543"/>
      <c r="P208" s="543"/>
      <c r="Q208" s="543"/>
      <c r="R208" s="543"/>
      <c r="S208" s="543"/>
      <c r="T208" s="543"/>
      <c r="U208" s="543"/>
      <c r="V208" s="543"/>
      <c r="W208" s="543"/>
      <c r="X208" s="543"/>
      <c r="Y208" s="543"/>
      <c r="Z208" s="543"/>
      <c r="AA208" s="543"/>
      <c r="AB208" s="543"/>
      <c r="AC208" s="543"/>
      <c r="AD208" s="543"/>
      <c r="AE208" s="543"/>
      <c r="AF208" s="543"/>
      <c r="AG208" s="543"/>
      <c r="AH208" s="543"/>
      <c r="AI208" s="543"/>
      <c r="AJ208" s="543"/>
      <c r="AK208" s="543"/>
      <c r="AL208" s="543"/>
      <c r="AM208" s="543"/>
      <c r="AN208" s="543"/>
      <c r="AO208" s="543"/>
      <c r="AP208" s="543"/>
      <c r="AQ208" s="543"/>
      <c r="AR208" s="543"/>
      <c r="AS208" s="543"/>
      <c r="AT208" s="543"/>
      <c r="AU208" s="543"/>
      <c r="AV208" s="543"/>
    </row>
    <row r="209" spans="1:48" x14ac:dyDescent="0.25">
      <c r="B209" s="544" t="s">
        <v>714</v>
      </c>
      <c r="C209" s="545">
        <v>204008</v>
      </c>
      <c r="D209" s="545">
        <v>204008</v>
      </c>
      <c r="E209" s="545">
        <v>204008</v>
      </c>
      <c r="F209" s="545">
        <v>204008</v>
      </c>
      <c r="G209" s="545">
        <v>204008</v>
      </c>
      <c r="H209" s="545">
        <v>204008</v>
      </c>
      <c r="I209" s="545">
        <v>191027</v>
      </c>
      <c r="J209" s="545" t="str">
        <f>IF(K200=0,"",J200-K200)</f>
        <v/>
      </c>
      <c r="K209" s="545" t="str">
        <f>IF(L200=0,"",K200-L200)</f>
        <v/>
      </c>
      <c r="L209" s="545"/>
      <c r="M209" s="545"/>
      <c r="N209" s="543"/>
      <c r="O209" s="543"/>
      <c r="P209" s="543"/>
      <c r="Q209" s="543"/>
      <c r="R209" s="543"/>
      <c r="S209" s="543"/>
      <c r="T209" s="543"/>
      <c r="U209" s="543"/>
      <c r="V209" s="543"/>
      <c r="W209" s="543"/>
      <c r="X209" s="543"/>
      <c r="Y209" s="543"/>
      <c r="Z209" s="543"/>
      <c r="AA209" s="543"/>
      <c r="AB209" s="543"/>
      <c r="AC209" s="543"/>
      <c r="AD209" s="543"/>
      <c r="AE209" s="543"/>
      <c r="AF209" s="543"/>
      <c r="AG209" s="543"/>
      <c r="AH209" s="543"/>
      <c r="AI209" s="543"/>
      <c r="AJ209" s="543"/>
      <c r="AK209" s="543"/>
      <c r="AL209" s="543"/>
      <c r="AM209" s="543"/>
      <c r="AN209" s="543"/>
      <c r="AO209" s="543"/>
      <c r="AP209" s="543"/>
      <c r="AQ209" s="543"/>
      <c r="AR209" s="543"/>
      <c r="AS209" s="543"/>
      <c r="AT209" s="543"/>
      <c r="AU209" s="543"/>
      <c r="AV209" s="543"/>
    </row>
    <row r="210" spans="1:48" x14ac:dyDescent="0.25">
      <c r="B210" s="547" t="s">
        <v>697</v>
      </c>
      <c r="C210" s="548">
        <f t="shared" ref="C210" si="961">SUM(C207:C209)</f>
        <v>500889</v>
      </c>
      <c r="D210" s="548">
        <f t="shared" ref="D210:E210" si="962">SUM(D207:D209)</f>
        <v>500889</v>
      </c>
      <c r="E210" s="548">
        <f t="shared" si="962"/>
        <v>500889</v>
      </c>
      <c r="F210" s="548">
        <f t="shared" ref="F210:K210" si="963">SUM(F207:F209)</f>
        <v>500889</v>
      </c>
      <c r="G210" s="548">
        <f t="shared" si="963"/>
        <v>500889</v>
      </c>
      <c r="H210" s="548">
        <f t="shared" si="963"/>
        <v>500889</v>
      </c>
      <c r="I210" s="548">
        <f t="shared" si="963"/>
        <v>464095</v>
      </c>
      <c r="J210" s="548">
        <f t="shared" si="963"/>
        <v>0</v>
      </c>
      <c r="K210" s="548">
        <f t="shared" si="963"/>
        <v>0</v>
      </c>
      <c r="L210" s="548"/>
      <c r="M210" s="548"/>
      <c r="N210" s="543"/>
      <c r="O210" s="548"/>
      <c r="P210" s="548"/>
      <c r="Q210" s="548"/>
      <c r="R210" s="548"/>
      <c r="S210" s="548"/>
      <c r="T210" s="548"/>
      <c r="U210" s="548"/>
      <c r="V210" s="548"/>
      <c r="W210" s="548"/>
      <c r="X210" s="548"/>
      <c r="Y210" s="548"/>
      <c r="Z210" s="548"/>
      <c r="AA210" s="548"/>
      <c r="AB210" s="548"/>
      <c r="AC210" s="548"/>
      <c r="AD210" s="548"/>
      <c r="AE210" s="548"/>
      <c r="AF210" s="548"/>
      <c r="AG210" s="548"/>
      <c r="AH210" s="548"/>
      <c r="AI210" s="548"/>
      <c r="AJ210" s="548"/>
      <c r="AK210" s="548"/>
      <c r="AL210" s="548"/>
      <c r="AM210" s="548"/>
      <c r="AN210" s="548"/>
      <c r="AO210" s="548"/>
      <c r="AP210" s="548"/>
      <c r="AQ210" s="548"/>
      <c r="AR210" s="548"/>
      <c r="AS210" s="543"/>
      <c r="AT210" s="543"/>
      <c r="AU210" s="543"/>
      <c r="AV210" s="543"/>
    </row>
    <row r="211" spans="1:48" s="591" customFormat="1" x14ac:dyDescent="0.25">
      <c r="A211" s="588"/>
      <c r="B211" s="588" t="s">
        <v>113</v>
      </c>
      <c r="C211" s="589" t="e">
        <f>#REF!-C210</f>
        <v>#REF!</v>
      </c>
      <c r="D211" s="589" t="e">
        <f>#REF!-D210</f>
        <v>#REF!</v>
      </c>
      <c r="E211" s="589" t="e">
        <f>#REF!-E210</f>
        <v>#REF!</v>
      </c>
      <c r="F211" s="589" t="e">
        <f>#REF!-F210</f>
        <v>#REF!</v>
      </c>
      <c r="G211" s="589" t="e">
        <f>#REF!-G210</f>
        <v>#REF!</v>
      </c>
      <c r="H211" s="589" t="e">
        <f>#REF!-H210</f>
        <v>#REF!</v>
      </c>
      <c r="I211" s="589" t="e">
        <f>#REF!-I210</f>
        <v>#REF!</v>
      </c>
      <c r="J211" s="589"/>
      <c r="K211" s="589"/>
      <c r="L211" s="589"/>
      <c r="M211" s="589"/>
      <c r="N211" s="590"/>
      <c r="O211" s="589"/>
      <c r="P211" s="589"/>
      <c r="Q211" s="589"/>
      <c r="R211" s="589"/>
      <c r="S211" s="589"/>
      <c r="T211" s="589"/>
      <c r="U211" s="589"/>
      <c r="V211" s="589"/>
      <c r="W211" s="589"/>
      <c r="X211" s="589"/>
      <c r="Y211" s="589"/>
      <c r="Z211" s="589"/>
      <c r="AA211" s="589"/>
      <c r="AB211" s="589"/>
      <c r="AC211" s="589"/>
      <c r="AD211" s="589"/>
      <c r="AE211" s="589"/>
      <c r="AF211" s="589"/>
      <c r="AG211" s="589"/>
      <c r="AH211" s="589"/>
      <c r="AI211" s="589"/>
      <c r="AJ211" s="589"/>
      <c r="AK211" s="589"/>
      <c r="AL211" s="589"/>
      <c r="AM211" s="589"/>
      <c r="AN211" s="589"/>
      <c r="AO211" s="589"/>
      <c r="AP211" s="589"/>
      <c r="AQ211" s="589"/>
      <c r="AR211" s="589"/>
    </row>
    <row r="213" spans="1:48" x14ac:dyDescent="0.25">
      <c r="B213" s="547" t="s">
        <v>49</v>
      </c>
      <c r="C213" s="543"/>
      <c r="D213" s="543"/>
      <c r="E213" s="543"/>
      <c r="F213" s="543"/>
      <c r="G213" s="543"/>
      <c r="H213" s="543"/>
      <c r="I213" s="543"/>
      <c r="J213" s="543"/>
      <c r="K213" s="543"/>
      <c r="L213" s="543"/>
      <c r="M213" s="543"/>
    </row>
    <row r="214" spans="1:48" x14ac:dyDescent="0.25">
      <c r="B214" s="536" t="s">
        <v>715</v>
      </c>
      <c r="C214" s="543">
        <v>37143</v>
      </c>
      <c r="D214" s="543">
        <v>37143</v>
      </c>
      <c r="E214" s="543">
        <v>37143</v>
      </c>
      <c r="F214" s="543">
        <v>37143</v>
      </c>
      <c r="G214" s="543">
        <v>37143</v>
      </c>
      <c r="H214" s="543">
        <v>37143</v>
      </c>
      <c r="I214" s="543">
        <v>35455</v>
      </c>
      <c r="J214" s="543"/>
      <c r="K214" s="543" t="str">
        <f>IF(L204=0,"",K204-L204)</f>
        <v/>
      </c>
      <c r="L214" s="543"/>
      <c r="M214" s="543"/>
    </row>
    <row r="215" spans="1:48" x14ac:dyDescent="0.25">
      <c r="B215" s="536" t="s">
        <v>716</v>
      </c>
      <c r="C215" s="543">
        <v>491</v>
      </c>
      <c r="D215" s="543">
        <v>491</v>
      </c>
      <c r="E215" s="543">
        <v>491</v>
      </c>
      <c r="F215" s="543">
        <v>491</v>
      </c>
      <c r="G215" s="543">
        <v>491</v>
      </c>
      <c r="H215" s="543">
        <v>491</v>
      </c>
      <c r="I215" s="543">
        <v>727</v>
      </c>
      <c r="J215" s="543"/>
      <c r="K215" s="543"/>
      <c r="L215" s="543"/>
      <c r="M215" s="543"/>
    </row>
    <row r="216" spans="1:48" x14ac:dyDescent="0.25">
      <c r="B216" s="536" t="s">
        <v>717</v>
      </c>
      <c r="C216" s="543">
        <v>13009</v>
      </c>
      <c r="D216" s="543">
        <v>13009</v>
      </c>
      <c r="E216" s="543">
        <v>13009</v>
      </c>
      <c r="F216" s="543">
        <v>13009</v>
      </c>
      <c r="G216" s="543">
        <v>13009</v>
      </c>
      <c r="H216" s="543">
        <v>13009</v>
      </c>
      <c r="I216" s="543">
        <v>14627</v>
      </c>
      <c r="J216" s="543"/>
      <c r="K216" s="543"/>
      <c r="L216" s="543"/>
      <c r="M216" s="543"/>
    </row>
    <row r="217" spans="1:48" x14ac:dyDescent="0.25">
      <c r="B217" s="536" t="s">
        <v>718</v>
      </c>
      <c r="C217" s="543">
        <v>17429</v>
      </c>
      <c r="D217" s="543">
        <v>17429</v>
      </c>
      <c r="E217" s="543">
        <v>17429</v>
      </c>
      <c r="F217" s="543">
        <v>17429</v>
      </c>
      <c r="G217" s="543">
        <v>17429</v>
      </c>
      <c r="H217" s="543">
        <v>17429</v>
      </c>
      <c r="I217" s="543">
        <v>10557</v>
      </c>
      <c r="J217" s="543"/>
      <c r="K217" s="543"/>
      <c r="L217" s="543"/>
      <c r="M217" s="543"/>
    </row>
    <row r="218" spans="1:48" x14ac:dyDescent="0.25">
      <c r="B218" s="536" t="s">
        <v>714</v>
      </c>
      <c r="C218" s="543">
        <v>11500</v>
      </c>
      <c r="D218" s="543">
        <v>11500</v>
      </c>
      <c r="E218" s="543">
        <v>11500</v>
      </c>
      <c r="F218" s="543">
        <v>11500</v>
      </c>
      <c r="G218" s="543">
        <v>11500</v>
      </c>
      <c r="H218" s="543">
        <v>11500</v>
      </c>
      <c r="I218" s="543">
        <v>16613</v>
      </c>
      <c r="J218" s="543"/>
      <c r="K218" s="543"/>
      <c r="L218" s="543"/>
      <c r="M218" s="543"/>
    </row>
    <row r="219" spans="1:48" x14ac:dyDescent="0.25">
      <c r="B219" s="536" t="s">
        <v>719</v>
      </c>
      <c r="C219" s="543">
        <v>767</v>
      </c>
      <c r="D219" s="543">
        <v>767</v>
      </c>
      <c r="E219" s="543">
        <v>767</v>
      </c>
      <c r="F219" s="543">
        <v>767</v>
      </c>
      <c r="G219" s="543">
        <v>767</v>
      </c>
      <c r="H219" s="543">
        <v>767</v>
      </c>
      <c r="I219" s="543">
        <v>5200</v>
      </c>
      <c r="J219" s="543"/>
      <c r="K219" s="543"/>
      <c r="L219" s="543"/>
      <c r="M219" s="543"/>
    </row>
    <row r="220" spans="1:48" x14ac:dyDescent="0.25">
      <c r="B220" s="536" t="s">
        <v>720</v>
      </c>
      <c r="C220" s="543">
        <v>499</v>
      </c>
      <c r="D220" s="543">
        <v>499</v>
      </c>
      <c r="E220" s="543">
        <v>499</v>
      </c>
      <c r="F220" s="543">
        <v>499</v>
      </c>
      <c r="G220" s="543">
        <v>499</v>
      </c>
      <c r="H220" s="543">
        <v>499</v>
      </c>
      <c r="I220" s="543">
        <v>448</v>
      </c>
      <c r="J220" s="543"/>
      <c r="K220" s="543"/>
      <c r="L220" s="543"/>
      <c r="M220" s="543"/>
    </row>
    <row r="221" spans="1:48" x14ac:dyDescent="0.25">
      <c r="B221" s="536" t="s">
        <v>721</v>
      </c>
      <c r="C221" s="543">
        <v>9968</v>
      </c>
      <c r="D221" s="543">
        <v>9968</v>
      </c>
      <c r="E221" s="543">
        <v>9968</v>
      </c>
      <c r="F221" s="543">
        <v>9968</v>
      </c>
      <c r="G221" s="543">
        <v>9968</v>
      </c>
      <c r="H221" s="543">
        <v>9968</v>
      </c>
      <c r="I221" s="543">
        <v>8699</v>
      </c>
      <c r="J221" s="543"/>
      <c r="K221" s="543"/>
      <c r="L221" s="543"/>
      <c r="M221" s="543"/>
    </row>
    <row r="222" spans="1:48" x14ac:dyDescent="0.25">
      <c r="B222" s="536" t="s">
        <v>722</v>
      </c>
      <c r="C222" s="543">
        <v>193</v>
      </c>
      <c r="D222" s="543">
        <v>193</v>
      </c>
      <c r="E222" s="543">
        <v>193</v>
      </c>
      <c r="F222" s="543">
        <v>193</v>
      </c>
      <c r="G222" s="543">
        <v>193</v>
      </c>
      <c r="H222" s="543">
        <v>193</v>
      </c>
      <c r="I222" s="543">
        <v>0</v>
      </c>
      <c r="J222" s="543"/>
      <c r="K222" s="543"/>
      <c r="L222" s="543"/>
      <c r="M222" s="543"/>
    </row>
    <row r="223" spans="1:48" x14ac:dyDescent="0.25">
      <c r="B223" s="536" t="s">
        <v>723</v>
      </c>
      <c r="C223" s="543">
        <v>1148</v>
      </c>
      <c r="D223" s="543">
        <v>1148</v>
      </c>
      <c r="E223" s="543">
        <v>1148</v>
      </c>
      <c r="F223" s="543">
        <v>1148</v>
      </c>
      <c r="G223" s="543">
        <v>1148</v>
      </c>
      <c r="H223" s="543">
        <v>1148</v>
      </c>
      <c r="I223" s="543">
        <v>0</v>
      </c>
      <c r="J223" s="543"/>
      <c r="K223" s="543"/>
      <c r="L223" s="543"/>
      <c r="M223" s="543"/>
    </row>
    <row r="224" spans="1:48" x14ac:dyDescent="0.25">
      <c r="B224" s="536" t="s">
        <v>724</v>
      </c>
      <c r="C224" s="543">
        <v>895</v>
      </c>
      <c r="D224" s="543">
        <v>895</v>
      </c>
      <c r="E224" s="543">
        <v>895</v>
      </c>
      <c r="F224" s="543">
        <v>895</v>
      </c>
      <c r="G224" s="543">
        <v>895</v>
      </c>
      <c r="H224" s="543">
        <v>895</v>
      </c>
      <c r="I224" s="543">
        <v>0</v>
      </c>
      <c r="J224" s="543"/>
      <c r="K224" s="543"/>
      <c r="L224" s="543"/>
      <c r="M224" s="543"/>
    </row>
    <row r="225" spans="1:44" x14ac:dyDescent="0.25">
      <c r="B225" s="536" t="s">
        <v>725</v>
      </c>
      <c r="C225" s="543">
        <v>184</v>
      </c>
      <c r="D225" s="543">
        <v>184</v>
      </c>
      <c r="E225" s="543">
        <v>184</v>
      </c>
      <c r="F225" s="543">
        <v>184</v>
      </c>
      <c r="G225" s="543">
        <v>184</v>
      </c>
      <c r="H225" s="543">
        <v>184</v>
      </c>
      <c r="I225" s="543">
        <v>2491</v>
      </c>
      <c r="J225" s="543"/>
      <c r="K225" s="543"/>
      <c r="L225" s="543"/>
      <c r="M225" s="543"/>
    </row>
    <row r="226" spans="1:44" x14ac:dyDescent="0.25">
      <c r="B226" s="536" t="s">
        <v>726</v>
      </c>
      <c r="C226" s="543">
        <v>1472</v>
      </c>
      <c r="D226" s="543">
        <v>1472</v>
      </c>
      <c r="E226" s="543">
        <v>1472</v>
      </c>
      <c r="F226" s="543">
        <v>1472</v>
      </c>
      <c r="G226" s="543">
        <v>1472</v>
      </c>
      <c r="H226" s="543">
        <v>1472</v>
      </c>
      <c r="I226" s="543">
        <v>444</v>
      </c>
      <c r="J226" s="543"/>
      <c r="K226" s="543"/>
      <c r="L226" s="543"/>
      <c r="M226" s="543"/>
    </row>
    <row r="227" spans="1:44" x14ac:dyDescent="0.25">
      <c r="B227" s="544" t="s">
        <v>86</v>
      </c>
      <c r="C227" s="545">
        <v>4106</v>
      </c>
      <c r="D227" s="545">
        <v>4106</v>
      </c>
      <c r="E227" s="545">
        <v>4106</v>
      </c>
      <c r="F227" s="545">
        <v>4106</v>
      </c>
      <c r="G227" s="545">
        <v>4106</v>
      </c>
      <c r="H227" s="545">
        <v>4106</v>
      </c>
      <c r="I227" s="545">
        <v>2398</v>
      </c>
      <c r="J227" s="545"/>
      <c r="K227" s="545" t="str">
        <f>IF(L207=0,"",K207-L207)</f>
        <v/>
      </c>
      <c r="L227" s="545"/>
      <c r="M227" s="545"/>
    </row>
    <row r="228" spans="1:44" x14ac:dyDescent="0.25">
      <c r="B228" s="547" t="s">
        <v>697</v>
      </c>
      <c r="C228" s="548">
        <f t="shared" ref="C228" si="964">SUM(C214:C227)</f>
        <v>98804</v>
      </c>
      <c r="D228" s="548">
        <f t="shared" ref="D228:E228" si="965">SUM(D214:D227)</f>
        <v>98804</v>
      </c>
      <c r="E228" s="548">
        <f t="shared" si="965"/>
        <v>98804</v>
      </c>
      <c r="F228" s="548">
        <f t="shared" ref="F228:K228" si="966">SUM(F214:F227)</f>
        <v>98804</v>
      </c>
      <c r="G228" s="548">
        <f t="shared" si="966"/>
        <v>98804</v>
      </c>
      <c r="H228" s="548">
        <f t="shared" si="966"/>
        <v>98804</v>
      </c>
      <c r="I228" s="548">
        <f t="shared" si="966"/>
        <v>97659</v>
      </c>
      <c r="J228" s="548">
        <f t="shared" si="966"/>
        <v>0</v>
      </c>
      <c r="K228" s="548">
        <f t="shared" si="966"/>
        <v>0</v>
      </c>
      <c r="L228" s="548"/>
      <c r="M228" s="548"/>
    </row>
    <row r="229" spans="1:44" x14ac:dyDescent="0.25">
      <c r="B229" s="588" t="s">
        <v>113</v>
      </c>
      <c r="C229" s="589"/>
      <c r="D229" s="589"/>
      <c r="E229" s="589"/>
      <c r="F229" s="589"/>
      <c r="G229" s="589"/>
      <c r="H229" s="589"/>
      <c r="I229" s="589"/>
      <c r="J229" s="589"/>
      <c r="K229" s="589"/>
      <c r="L229" s="589"/>
      <c r="M229" s="589"/>
    </row>
    <row r="231" spans="1:44" x14ac:dyDescent="0.25">
      <c r="B231" s="744" t="s">
        <v>831</v>
      </c>
      <c r="C231" s="541" t="s">
        <v>919</v>
      </c>
      <c r="D231" s="541" t="s">
        <v>906</v>
      </c>
      <c r="E231" s="541" t="s">
        <v>881</v>
      </c>
      <c r="F231" s="541" t="s">
        <v>823</v>
      </c>
      <c r="G231" s="541" t="s">
        <v>815</v>
      </c>
      <c r="H231" s="541" t="s">
        <v>628</v>
      </c>
      <c r="I231" s="541" t="s">
        <v>629</v>
      </c>
      <c r="J231" s="541" t="s">
        <v>630</v>
      </c>
      <c r="K231" s="541" t="s">
        <v>631</v>
      </c>
      <c r="L231" s="541" t="s">
        <v>632</v>
      </c>
      <c r="M231" s="541" t="s">
        <v>633</v>
      </c>
      <c r="O231" s="541" t="str">
        <f>O2</f>
        <v>Q2 2025</v>
      </c>
      <c r="P231" s="541" t="str">
        <f>P2</f>
        <v>Q1 2025</v>
      </c>
      <c r="Q231" s="541" t="str">
        <f t="shared" ref="Q231" si="967">Q2</f>
        <v>Q4 2024</v>
      </c>
      <c r="R231" s="541" t="str">
        <f>R2</f>
        <v>Q3 2024</v>
      </c>
      <c r="S231" s="541" t="str">
        <f>S2</f>
        <v>Q2 2024</v>
      </c>
      <c r="T231" s="541" t="str">
        <f>T2</f>
        <v>Q1 2024</v>
      </c>
      <c r="U231" s="541" t="str">
        <f t="shared" ref="U231" si="968">U2</f>
        <v>Q4 2023</v>
      </c>
      <c r="V231" s="541" t="str">
        <f>V2</f>
        <v>Q3 2023</v>
      </c>
      <c r="W231" s="541" t="str">
        <f>W2</f>
        <v>Q2 2023</v>
      </c>
      <c r="X231" s="541" t="str">
        <f>X2</f>
        <v>Q1 2023</v>
      </c>
      <c r="Y231" s="541" t="str">
        <f t="shared" ref="Y231:AR231" si="969">Y2</f>
        <v>Q4 2022</v>
      </c>
      <c r="Z231" s="541" t="str">
        <f t="shared" si="969"/>
        <v>Q3 2022</v>
      </c>
      <c r="AA231" s="541" t="str">
        <f t="shared" si="969"/>
        <v>Q2 2022</v>
      </c>
      <c r="AB231" s="541" t="str">
        <f t="shared" si="969"/>
        <v>Q1 2022</v>
      </c>
      <c r="AC231" s="541" t="str">
        <f t="shared" si="969"/>
        <v>Q4 2021</v>
      </c>
      <c r="AD231" s="541" t="str">
        <f t="shared" si="969"/>
        <v>Q3 2021</v>
      </c>
      <c r="AE231" s="541" t="str">
        <f t="shared" si="969"/>
        <v>Q2 2021</v>
      </c>
      <c r="AF231" s="541" t="str">
        <f t="shared" si="969"/>
        <v>Q1 2021</v>
      </c>
      <c r="AG231" s="541" t="str">
        <f t="shared" si="969"/>
        <v>Q4 2020</v>
      </c>
      <c r="AH231" s="541" t="str">
        <f t="shared" si="969"/>
        <v>Q3 2020</v>
      </c>
      <c r="AI231" s="541" t="str">
        <f t="shared" si="969"/>
        <v>Q2 2020</v>
      </c>
      <c r="AJ231" s="541" t="str">
        <f t="shared" si="969"/>
        <v>Q1 2020</v>
      </c>
      <c r="AK231" s="541" t="str">
        <f t="shared" si="969"/>
        <v>Q4 2019</v>
      </c>
      <c r="AL231" s="541" t="str">
        <f t="shared" si="969"/>
        <v>Q3 2019</v>
      </c>
      <c r="AM231" s="541" t="str">
        <f t="shared" si="969"/>
        <v>Q2 2019</v>
      </c>
      <c r="AN231" s="541" t="str">
        <f t="shared" si="969"/>
        <v>Q1 2019</v>
      </c>
      <c r="AO231" s="541" t="str">
        <f t="shared" si="969"/>
        <v>Q4 2018</v>
      </c>
      <c r="AP231" s="541" t="str">
        <f t="shared" si="969"/>
        <v>Q3 2018</v>
      </c>
      <c r="AQ231" s="541" t="str">
        <f t="shared" si="969"/>
        <v>Q2 2018</v>
      </c>
      <c r="AR231" s="541" t="str">
        <f t="shared" si="969"/>
        <v>Q1 2018</v>
      </c>
    </row>
    <row r="232" spans="1:44" x14ac:dyDescent="0.25">
      <c r="B232" s="743"/>
      <c r="C232" s="743"/>
      <c r="D232" s="743"/>
      <c r="E232" s="743"/>
      <c r="F232" s="743"/>
      <c r="G232" s="743"/>
      <c r="H232" s="743"/>
      <c r="I232" s="743"/>
      <c r="J232" s="743"/>
      <c r="K232" s="743"/>
      <c r="L232" s="743"/>
      <c r="M232" s="743"/>
      <c r="O232" s="743"/>
      <c r="P232" s="743"/>
      <c r="Q232" s="743"/>
      <c r="R232" s="743"/>
      <c r="S232" s="743"/>
      <c r="T232" s="743"/>
      <c r="U232" s="743"/>
      <c r="V232" s="743"/>
      <c r="W232" s="743"/>
      <c r="X232" s="743"/>
      <c r="Y232" s="743"/>
      <c r="Z232" s="743"/>
      <c r="AA232" s="743"/>
      <c r="AB232" s="743"/>
      <c r="AC232" s="743"/>
      <c r="AD232" s="743"/>
      <c r="AE232" s="743"/>
      <c r="AF232" s="743"/>
      <c r="AG232" s="743"/>
      <c r="AH232" s="743"/>
      <c r="AI232" s="743"/>
      <c r="AJ232" s="743"/>
      <c r="AK232" s="743"/>
      <c r="AL232" s="743"/>
      <c r="AM232" s="743"/>
      <c r="AN232" s="743"/>
      <c r="AO232" s="743"/>
      <c r="AP232" s="743"/>
      <c r="AQ232" s="743"/>
      <c r="AR232" s="743"/>
    </row>
    <row r="233" spans="1:44" x14ac:dyDescent="0.25">
      <c r="A233" s="536">
        <v>1</v>
      </c>
      <c r="B233" s="743" t="s">
        <v>832</v>
      </c>
      <c r="C233" s="743">
        <f>C9+C46</f>
        <v>1410</v>
      </c>
      <c r="D233" s="743">
        <f>D9+D46</f>
        <v>1783</v>
      </c>
      <c r="E233" s="743">
        <f>E9+E46</f>
        <v>3990</v>
      </c>
      <c r="F233" s="743">
        <f>F9+F46</f>
        <v>1694</v>
      </c>
      <c r="G233" s="743">
        <f t="shared" ref="G233:M233" si="970">G9+G46</f>
        <v>927</v>
      </c>
      <c r="H233" s="743">
        <f t="shared" si="970"/>
        <v>1189</v>
      </c>
      <c r="I233" s="743">
        <f t="shared" si="970"/>
        <v>1147</v>
      </c>
      <c r="J233" s="743">
        <f t="shared" si="970"/>
        <v>1000</v>
      </c>
      <c r="K233" s="743">
        <f t="shared" si="970"/>
        <v>945</v>
      </c>
      <c r="L233" s="743">
        <f t="shared" si="970"/>
        <v>1156</v>
      </c>
      <c r="M233" s="743">
        <f t="shared" si="970"/>
        <v>1391</v>
      </c>
      <c r="O233" s="743">
        <f t="shared" ref="O233" si="971">O9+O46</f>
        <v>339</v>
      </c>
      <c r="P233" s="743">
        <f t="shared" ref="P233" si="972">P9+P46</f>
        <v>348</v>
      </c>
      <c r="Q233" s="743">
        <f t="shared" ref="Q233" si="973">Q9+Q46</f>
        <v>324</v>
      </c>
      <c r="R233" s="743">
        <f t="shared" ref="R233:S233" si="974">R9+R46</f>
        <v>374</v>
      </c>
      <c r="S233" s="743">
        <f t="shared" si="974"/>
        <v>362</v>
      </c>
      <c r="T233" s="743">
        <f t="shared" ref="T233:U233" si="975">T9+T46</f>
        <v>350</v>
      </c>
      <c r="U233" s="743">
        <f t="shared" si="975"/>
        <v>384</v>
      </c>
      <c r="V233" s="743">
        <f t="shared" ref="V233" si="976">V9+V46</f>
        <v>358</v>
      </c>
      <c r="W233" s="743">
        <f t="shared" ref="W233:X233" si="977">W9+W46</f>
        <v>433</v>
      </c>
      <c r="X233" s="743">
        <f t="shared" si="977"/>
        <v>608</v>
      </c>
      <c r="Y233" s="743">
        <f t="shared" ref="Y233:AA233" si="978">Y9+Y46</f>
        <v>695</v>
      </c>
      <c r="Z233" s="743">
        <f t="shared" si="978"/>
        <v>1048</v>
      </c>
      <c r="AA233" s="743">
        <f t="shared" si="978"/>
        <v>1246</v>
      </c>
      <c r="AB233" s="743">
        <f t="shared" ref="AB233:AR233" si="979">AB9+AB46</f>
        <v>1001</v>
      </c>
      <c r="AC233" s="743">
        <f t="shared" si="979"/>
        <v>582</v>
      </c>
      <c r="AD233" s="743">
        <f t="shared" si="979"/>
        <v>439</v>
      </c>
      <c r="AE233" s="743">
        <f t="shared" si="979"/>
        <v>367</v>
      </c>
      <c r="AF233" s="743">
        <f t="shared" si="979"/>
        <v>306</v>
      </c>
      <c r="AG233" s="743">
        <f t="shared" si="979"/>
        <v>297</v>
      </c>
      <c r="AH233" s="743">
        <f t="shared" si="979"/>
        <v>188</v>
      </c>
      <c r="AI233" s="743">
        <f t="shared" si="979"/>
        <v>190</v>
      </c>
      <c r="AJ233" s="743">
        <f t="shared" si="979"/>
        <v>252</v>
      </c>
      <c r="AK233" s="743">
        <f t="shared" si="979"/>
        <v>196</v>
      </c>
      <c r="AL233" s="743">
        <f t="shared" si="979"/>
        <v>308</v>
      </c>
      <c r="AM233" s="743">
        <f t="shared" si="979"/>
        <v>344</v>
      </c>
      <c r="AN233" s="743">
        <f t="shared" si="979"/>
        <v>341</v>
      </c>
      <c r="AO233" s="743">
        <f t="shared" si="979"/>
        <v>222</v>
      </c>
      <c r="AP233" s="743">
        <f t="shared" si="979"/>
        <v>285</v>
      </c>
      <c r="AQ233" s="743">
        <f t="shared" si="979"/>
        <v>289</v>
      </c>
      <c r="AR233" s="743">
        <f t="shared" si="979"/>
        <v>244</v>
      </c>
    </row>
    <row r="234" spans="1:44" x14ac:dyDescent="0.25">
      <c r="B234" s="743" t="s">
        <v>806</v>
      </c>
      <c r="C234" s="743">
        <f>+C47</f>
        <v>14</v>
      </c>
      <c r="D234" s="743">
        <f>+D47</f>
        <v>0</v>
      </c>
      <c r="E234" s="743">
        <f>+E47</f>
        <v>0</v>
      </c>
      <c r="F234" s="743">
        <f>+F47</f>
        <v>-6</v>
      </c>
      <c r="G234" s="743">
        <f t="shared" ref="G234:M234" si="980">+G47</f>
        <v>90</v>
      </c>
      <c r="H234" s="743">
        <f t="shared" si="980"/>
        <v>-10</v>
      </c>
      <c r="I234" s="743">
        <f t="shared" si="980"/>
        <v>17</v>
      </c>
      <c r="J234" s="743">
        <f t="shared" si="980"/>
        <v>28</v>
      </c>
      <c r="K234" s="743">
        <f t="shared" si="980"/>
        <v>5</v>
      </c>
      <c r="L234" s="743">
        <f t="shared" si="980"/>
        <v>-162</v>
      </c>
      <c r="M234" s="743">
        <f t="shared" si="980"/>
        <v>-23</v>
      </c>
      <c r="O234" s="743">
        <f t="shared" ref="O234" si="981">+O47</f>
        <v>0</v>
      </c>
      <c r="P234" s="743">
        <f t="shared" ref="P234" si="982">+P47</f>
        <v>0</v>
      </c>
      <c r="Q234" s="743">
        <f t="shared" ref="Q234" si="983">+Q47</f>
        <v>7</v>
      </c>
      <c r="R234" s="743">
        <f t="shared" ref="R234:S234" si="984">+R47</f>
        <v>7</v>
      </c>
      <c r="S234" s="743">
        <f t="shared" si="984"/>
        <v>0</v>
      </c>
      <c r="T234" s="743">
        <f t="shared" ref="T234:U234" si="985">+T47</f>
        <v>0</v>
      </c>
      <c r="U234" s="743">
        <f t="shared" si="985"/>
        <v>0</v>
      </c>
      <c r="V234" s="743">
        <f t="shared" ref="V234" si="986">+V47</f>
        <v>0</v>
      </c>
      <c r="W234" s="743">
        <f t="shared" ref="W234:X234" si="987">+W47</f>
        <v>0</v>
      </c>
      <c r="X234" s="743">
        <f t="shared" si="987"/>
        <v>0</v>
      </c>
      <c r="Y234" s="743">
        <f t="shared" ref="Y234:AA234" si="988">+Y47</f>
        <v>0</v>
      </c>
      <c r="Z234" s="743">
        <f t="shared" si="988"/>
        <v>0</v>
      </c>
      <c r="AA234" s="743">
        <f t="shared" si="988"/>
        <v>0</v>
      </c>
      <c r="AB234" s="743">
        <f t="shared" ref="AB234:AR234" si="989">+AB47</f>
        <v>0</v>
      </c>
      <c r="AC234" s="743">
        <f t="shared" si="989"/>
        <v>3</v>
      </c>
      <c r="AD234" s="743">
        <f t="shared" si="989"/>
        <v>0</v>
      </c>
      <c r="AE234" s="743">
        <f t="shared" si="989"/>
        <v>-9</v>
      </c>
      <c r="AF234" s="743">
        <f t="shared" si="989"/>
        <v>0</v>
      </c>
      <c r="AG234" s="743">
        <f t="shared" si="989"/>
        <v>-41</v>
      </c>
      <c r="AH234" s="743">
        <f t="shared" si="989"/>
        <v>0</v>
      </c>
      <c r="AI234" s="743">
        <f t="shared" si="989"/>
        <v>131</v>
      </c>
      <c r="AJ234" s="743">
        <f t="shared" si="989"/>
        <v>0</v>
      </c>
      <c r="AK234" s="743">
        <f t="shared" si="989"/>
        <v>0</v>
      </c>
      <c r="AL234" s="743">
        <f t="shared" si="989"/>
        <v>0</v>
      </c>
      <c r="AM234" s="743">
        <f t="shared" si="989"/>
        <v>-10</v>
      </c>
      <c r="AN234" s="743">
        <f t="shared" si="989"/>
        <v>0</v>
      </c>
      <c r="AO234" s="743">
        <f t="shared" si="989"/>
        <v>0</v>
      </c>
      <c r="AP234" s="743">
        <f t="shared" si="989"/>
        <v>3</v>
      </c>
      <c r="AQ234" s="743">
        <f t="shared" si="989"/>
        <v>14</v>
      </c>
      <c r="AR234" s="743">
        <f t="shared" si="989"/>
        <v>0</v>
      </c>
    </row>
    <row r="235" spans="1:44" x14ac:dyDescent="0.25">
      <c r="B235" s="744" t="s">
        <v>828</v>
      </c>
      <c r="C235" s="744">
        <f>C233+C234</f>
        <v>1424</v>
      </c>
      <c r="D235" s="744">
        <f>D233+D234</f>
        <v>1783</v>
      </c>
      <c r="E235" s="744">
        <f>E233+E234</f>
        <v>3990</v>
      </c>
      <c r="F235" s="744">
        <f>F233+F234</f>
        <v>1688</v>
      </c>
      <c r="G235" s="744">
        <f t="shared" ref="G235:M235" si="990">G233+G234</f>
        <v>1017</v>
      </c>
      <c r="H235" s="744">
        <f t="shared" si="990"/>
        <v>1179</v>
      </c>
      <c r="I235" s="744">
        <f t="shared" si="990"/>
        <v>1164</v>
      </c>
      <c r="J235" s="744">
        <f t="shared" si="990"/>
        <v>1028</v>
      </c>
      <c r="K235" s="744">
        <f t="shared" si="990"/>
        <v>950</v>
      </c>
      <c r="L235" s="744">
        <f t="shared" si="990"/>
        <v>994</v>
      </c>
      <c r="M235" s="744">
        <f t="shared" si="990"/>
        <v>1368</v>
      </c>
      <c r="O235" s="744">
        <f t="shared" ref="O235" si="991">O233+O234</f>
        <v>339</v>
      </c>
      <c r="P235" s="744">
        <f t="shared" ref="P235" si="992">P233+P234</f>
        <v>348</v>
      </c>
      <c r="Q235" s="744">
        <f t="shared" ref="Q235" si="993">Q233+Q234</f>
        <v>331</v>
      </c>
      <c r="R235" s="744">
        <f t="shared" ref="R235:S235" si="994">R233+R234</f>
        <v>381</v>
      </c>
      <c r="S235" s="744">
        <f t="shared" si="994"/>
        <v>362</v>
      </c>
      <c r="T235" s="744">
        <f t="shared" ref="T235:U235" si="995">T233+T234</f>
        <v>350</v>
      </c>
      <c r="U235" s="744">
        <f t="shared" si="995"/>
        <v>384</v>
      </c>
      <c r="V235" s="744">
        <f t="shared" ref="V235" si="996">V233+V234</f>
        <v>358</v>
      </c>
      <c r="W235" s="744">
        <f t="shared" ref="W235:X235" si="997">W233+W234</f>
        <v>433</v>
      </c>
      <c r="X235" s="744">
        <f t="shared" si="997"/>
        <v>608</v>
      </c>
      <c r="Y235" s="744">
        <f t="shared" ref="Y235:AA235" si="998">Y233+Y234</f>
        <v>695</v>
      </c>
      <c r="Z235" s="744">
        <f t="shared" si="998"/>
        <v>1048</v>
      </c>
      <c r="AA235" s="744">
        <f t="shared" si="998"/>
        <v>1246</v>
      </c>
      <c r="AB235" s="744">
        <f t="shared" ref="AB235:AR235" si="999">AB233+AB234</f>
        <v>1001</v>
      </c>
      <c r="AC235" s="744">
        <f t="shared" si="999"/>
        <v>585</v>
      </c>
      <c r="AD235" s="744">
        <f t="shared" si="999"/>
        <v>439</v>
      </c>
      <c r="AE235" s="744">
        <f t="shared" si="999"/>
        <v>358</v>
      </c>
      <c r="AF235" s="744">
        <f t="shared" si="999"/>
        <v>306</v>
      </c>
      <c r="AG235" s="744">
        <f t="shared" si="999"/>
        <v>256</v>
      </c>
      <c r="AH235" s="744">
        <f t="shared" si="999"/>
        <v>188</v>
      </c>
      <c r="AI235" s="744">
        <f t="shared" si="999"/>
        <v>321</v>
      </c>
      <c r="AJ235" s="744">
        <f t="shared" si="999"/>
        <v>252</v>
      </c>
      <c r="AK235" s="744">
        <f t="shared" si="999"/>
        <v>196</v>
      </c>
      <c r="AL235" s="744">
        <f t="shared" si="999"/>
        <v>308</v>
      </c>
      <c r="AM235" s="744">
        <f t="shared" si="999"/>
        <v>334</v>
      </c>
      <c r="AN235" s="744">
        <f t="shared" si="999"/>
        <v>341</v>
      </c>
      <c r="AO235" s="744">
        <f t="shared" si="999"/>
        <v>222</v>
      </c>
      <c r="AP235" s="744">
        <f t="shared" si="999"/>
        <v>288</v>
      </c>
      <c r="AQ235" s="744">
        <f t="shared" si="999"/>
        <v>303</v>
      </c>
      <c r="AR235" s="744">
        <f t="shared" si="999"/>
        <v>244</v>
      </c>
    </row>
    <row r="236" spans="1:44" x14ac:dyDescent="0.25">
      <c r="B236" s="743"/>
      <c r="C236" s="743"/>
      <c r="D236" s="743"/>
      <c r="E236" s="743"/>
      <c r="F236" s="743"/>
      <c r="G236" s="743"/>
      <c r="H236" s="743"/>
      <c r="I236" s="743"/>
      <c r="J236" s="743"/>
      <c r="K236" s="743"/>
      <c r="L236" s="743"/>
      <c r="M236" s="743"/>
      <c r="O236" s="743"/>
      <c r="P236" s="743"/>
      <c r="Q236" s="743"/>
      <c r="R236" s="743"/>
      <c r="S236" s="743"/>
      <c r="T236" s="743"/>
      <c r="U236" s="743"/>
      <c r="V236" s="743"/>
      <c r="W236" s="743"/>
      <c r="X236" s="743"/>
      <c r="Y236" s="743"/>
      <c r="Z236" s="743"/>
      <c r="AA236" s="743"/>
      <c r="AB236" s="743"/>
      <c r="AC236" s="743"/>
      <c r="AD236" s="743"/>
      <c r="AE236" s="743"/>
      <c r="AF236" s="743"/>
      <c r="AG236" s="743"/>
      <c r="AH236" s="743"/>
      <c r="AI236" s="743"/>
      <c r="AJ236" s="743"/>
      <c r="AK236" s="743"/>
      <c r="AL236" s="743"/>
      <c r="AM236" s="743"/>
      <c r="AN236" s="743"/>
      <c r="AO236" s="743"/>
      <c r="AP236" s="743"/>
      <c r="AQ236" s="743"/>
      <c r="AR236" s="743"/>
    </row>
    <row r="237" spans="1:44" x14ac:dyDescent="0.25">
      <c r="A237" s="536">
        <v>2</v>
      </c>
      <c r="B237" s="743" t="s">
        <v>807</v>
      </c>
      <c r="C237" s="743">
        <f>+C10</f>
        <v>-39</v>
      </c>
      <c r="D237" s="743">
        <f>+D10</f>
        <v>-106</v>
      </c>
      <c r="E237" s="743">
        <f>+E10</f>
        <v>24</v>
      </c>
      <c r="F237" s="743">
        <f>+F10</f>
        <v>6</v>
      </c>
      <c r="G237" s="743">
        <f t="shared" ref="G237:M237" si="1000">+G10</f>
        <v>-236</v>
      </c>
      <c r="H237" s="743">
        <f t="shared" si="1000"/>
        <v>10</v>
      </c>
      <c r="I237" s="743">
        <f t="shared" si="1000"/>
        <v>775</v>
      </c>
      <c r="J237" s="743">
        <f t="shared" si="1000"/>
        <v>19</v>
      </c>
      <c r="K237" s="743">
        <f t="shared" si="1000"/>
        <v>-547</v>
      </c>
      <c r="L237" s="743">
        <f t="shared" si="1000"/>
        <v>39</v>
      </c>
      <c r="M237" s="743">
        <f t="shared" si="1000"/>
        <v>-206</v>
      </c>
      <c r="O237" s="743">
        <f t="shared" ref="O237" si="1001">+O10</f>
        <v>-8</v>
      </c>
      <c r="P237" s="743">
        <f t="shared" ref="P237" si="1002">+P10</f>
        <v>-12</v>
      </c>
      <c r="Q237" s="743">
        <f t="shared" ref="Q237" si="1003">+Q10</f>
        <v>-20</v>
      </c>
      <c r="R237" s="743">
        <f t="shared" ref="R237:S237" si="1004">+R10</f>
        <v>-20</v>
      </c>
      <c r="S237" s="743">
        <f t="shared" si="1004"/>
        <v>1</v>
      </c>
      <c r="T237" s="743">
        <f t="shared" ref="T237:U237" si="1005">+T10</f>
        <v>0</v>
      </c>
      <c r="U237" s="743">
        <f t="shared" si="1005"/>
        <v>-89</v>
      </c>
      <c r="V237" s="743">
        <f t="shared" ref="V237" si="1006">+V10</f>
        <v>-12</v>
      </c>
      <c r="W237" s="743">
        <f t="shared" ref="W237:X237" si="1007">+W10</f>
        <v>8</v>
      </c>
      <c r="X237" s="743">
        <f t="shared" si="1007"/>
        <v>-13</v>
      </c>
      <c r="Y237" s="743">
        <f t="shared" ref="Y237:AA237" si="1008">+Y10</f>
        <v>-19</v>
      </c>
      <c r="Z237" s="743">
        <f t="shared" si="1008"/>
        <v>8</v>
      </c>
      <c r="AA237" s="743">
        <f t="shared" si="1008"/>
        <v>12</v>
      </c>
      <c r="AB237" s="743">
        <f t="shared" ref="AB237:AR237" si="1009">+AB10</f>
        <v>23</v>
      </c>
      <c r="AC237" s="743">
        <f t="shared" si="1009"/>
        <v>5</v>
      </c>
      <c r="AD237" s="743">
        <f t="shared" si="1009"/>
        <v>5</v>
      </c>
      <c r="AE237" s="743">
        <f t="shared" si="1009"/>
        <v>0</v>
      </c>
      <c r="AF237" s="743">
        <f t="shared" si="1009"/>
        <v>-4</v>
      </c>
      <c r="AG237" s="743">
        <f t="shared" si="1009"/>
        <v>12</v>
      </c>
      <c r="AH237" s="743">
        <f t="shared" si="1009"/>
        <v>-6</v>
      </c>
      <c r="AI237" s="743">
        <f t="shared" si="1009"/>
        <v>-240</v>
      </c>
      <c r="AJ237" s="743">
        <f t="shared" si="1009"/>
        <v>-2</v>
      </c>
      <c r="AK237" s="743">
        <f t="shared" si="1009"/>
        <v>5</v>
      </c>
      <c r="AL237" s="743">
        <f t="shared" si="1009"/>
        <v>3</v>
      </c>
      <c r="AM237" s="743">
        <f t="shared" si="1009"/>
        <v>5</v>
      </c>
      <c r="AN237" s="743">
        <f t="shared" si="1009"/>
        <v>-3</v>
      </c>
      <c r="AO237" s="743">
        <f t="shared" si="1009"/>
        <v>-56</v>
      </c>
      <c r="AP237" s="743">
        <f t="shared" si="1009"/>
        <v>5</v>
      </c>
      <c r="AQ237" s="743">
        <f t="shared" si="1009"/>
        <v>-12</v>
      </c>
      <c r="AR237" s="743">
        <f t="shared" si="1009"/>
        <v>838</v>
      </c>
    </row>
    <row r="238" spans="1:44" x14ac:dyDescent="0.25">
      <c r="B238" s="743" t="s">
        <v>829</v>
      </c>
      <c r="C238" s="743">
        <f>C51+C55+C54+C52+C50+C48</f>
        <v>115</v>
      </c>
      <c r="D238" s="743">
        <f>D51+D55+D54+D52+D50+D48</f>
        <v>21</v>
      </c>
      <c r="E238" s="743">
        <f>E51+E55+E54+E52+E50+E48</f>
        <v>59</v>
      </c>
      <c r="F238" s="743">
        <f>F51+F55+F54+F52+F50+F48</f>
        <v>74</v>
      </c>
      <c r="G238" s="743">
        <f t="shared" ref="G238:M238" si="1010">G51+G55+G54+G52+G50+G48</f>
        <v>206</v>
      </c>
      <c r="H238" s="743">
        <f t="shared" si="1010"/>
        <v>87</v>
      </c>
      <c r="I238" s="743">
        <f t="shared" si="1010"/>
        <v>-787</v>
      </c>
      <c r="J238" s="743">
        <f t="shared" si="1010"/>
        <v>99</v>
      </c>
      <c r="K238" s="743">
        <f t="shared" si="1010"/>
        <v>524</v>
      </c>
      <c r="L238" s="743">
        <f t="shared" si="1010"/>
        <v>0</v>
      </c>
      <c r="M238" s="743">
        <f t="shared" si="1010"/>
        <v>0</v>
      </c>
      <c r="O238" s="743">
        <f t="shared" ref="O238" si="1011">O51+O55+O54+O52+O50+O48</f>
        <v>-69</v>
      </c>
      <c r="P238" s="743">
        <f t="shared" ref="P238" si="1012">P51+P55+P54+P52+P50+P48</f>
        <v>42</v>
      </c>
      <c r="Q238" s="743">
        <f t="shared" ref="Q238" si="1013">Q51+Q55+Q54+Q52+Q50+Q48</f>
        <v>57</v>
      </c>
      <c r="R238" s="743">
        <f t="shared" ref="R238:S238" si="1014">R51+R55+R54+R52+R50+R48</f>
        <v>11</v>
      </c>
      <c r="S238" s="743">
        <f t="shared" si="1014"/>
        <v>28</v>
      </c>
      <c r="T238" s="743">
        <f t="shared" ref="T238:U238" si="1015">T51+T55+T54+T52+T50+T48</f>
        <v>19</v>
      </c>
      <c r="U238" s="743">
        <f t="shared" si="1015"/>
        <v>-20</v>
      </c>
      <c r="V238" s="743">
        <f t="shared" ref="V238" si="1016">V51+V55+V54+V52+V50+V48</f>
        <v>15</v>
      </c>
      <c r="W238" s="743">
        <f t="shared" ref="W238:X238" si="1017">W51+W55+W54+W52+W50+W48</f>
        <v>19</v>
      </c>
      <c r="X238" s="743">
        <f t="shared" si="1017"/>
        <v>7</v>
      </c>
      <c r="Y238" s="743">
        <f t="shared" ref="Y238:AA238" si="1018">Y51+Y55+Y54+Y52+Y50+Y48</f>
        <v>-8</v>
      </c>
      <c r="Z238" s="743">
        <f t="shared" si="1018"/>
        <v>24</v>
      </c>
      <c r="AA238" s="743">
        <f t="shared" si="1018"/>
        <v>40</v>
      </c>
      <c r="AB238" s="743">
        <f t="shared" ref="AB238:AR238" si="1019">AB51+AB55+AB54+AB52+AB50+AB48</f>
        <v>3</v>
      </c>
      <c r="AC238" s="743">
        <f t="shared" si="1019"/>
        <v>7</v>
      </c>
      <c r="AD238" s="743">
        <f t="shared" si="1019"/>
        <v>13</v>
      </c>
      <c r="AE238" s="743">
        <f t="shared" si="1019"/>
        <v>20</v>
      </c>
      <c r="AF238" s="743">
        <f t="shared" si="1019"/>
        <v>34</v>
      </c>
      <c r="AG238" s="743">
        <f t="shared" si="1019"/>
        <v>138</v>
      </c>
      <c r="AH238" s="743">
        <f t="shared" si="1019"/>
        <v>-5</v>
      </c>
      <c r="AI238" s="743">
        <f t="shared" si="1019"/>
        <v>37</v>
      </c>
      <c r="AJ238" s="743">
        <f t="shared" si="1019"/>
        <v>36</v>
      </c>
      <c r="AK238" s="743">
        <f t="shared" si="1019"/>
        <v>-34</v>
      </c>
      <c r="AL238" s="743">
        <f t="shared" si="1019"/>
        <v>71</v>
      </c>
      <c r="AM238" s="743">
        <f t="shared" si="1019"/>
        <v>28</v>
      </c>
      <c r="AN238" s="743">
        <f t="shared" si="1019"/>
        <v>44</v>
      </c>
      <c r="AO238" s="743">
        <f t="shared" si="1019"/>
        <v>0</v>
      </c>
      <c r="AP238" s="743">
        <f t="shared" si="1019"/>
        <v>39</v>
      </c>
      <c r="AQ238" s="743">
        <f t="shared" si="1019"/>
        <v>43</v>
      </c>
      <c r="AR238" s="743">
        <f t="shared" si="1019"/>
        <v>-833</v>
      </c>
    </row>
    <row r="239" spans="1:44" x14ac:dyDescent="0.25">
      <c r="B239" s="744" t="s">
        <v>805</v>
      </c>
      <c r="C239" s="744">
        <f>SUM(C237:C238)</f>
        <v>76</v>
      </c>
      <c r="D239" s="744">
        <f>SUM(D237:D238)</f>
        <v>-85</v>
      </c>
      <c r="E239" s="744">
        <f>SUM(E237:E238)</f>
        <v>83</v>
      </c>
      <c r="F239" s="744">
        <f>SUM(F237:F238)</f>
        <v>80</v>
      </c>
      <c r="G239" s="744">
        <f t="shared" ref="G239:M239" si="1020">SUM(G237:G238)</f>
        <v>-30</v>
      </c>
      <c r="H239" s="744">
        <f t="shared" si="1020"/>
        <v>97</v>
      </c>
      <c r="I239" s="744">
        <f t="shared" si="1020"/>
        <v>-12</v>
      </c>
      <c r="J239" s="744">
        <f t="shared" si="1020"/>
        <v>118</v>
      </c>
      <c r="K239" s="744">
        <f t="shared" si="1020"/>
        <v>-23</v>
      </c>
      <c r="L239" s="744">
        <f t="shared" si="1020"/>
        <v>39</v>
      </c>
      <c r="M239" s="744">
        <f t="shared" si="1020"/>
        <v>-206</v>
      </c>
      <c r="O239" s="744">
        <f t="shared" ref="O239" si="1021">SUM(O237:O238)</f>
        <v>-77</v>
      </c>
      <c r="P239" s="744">
        <f t="shared" ref="P239" si="1022">SUM(P237:P238)</f>
        <v>30</v>
      </c>
      <c r="Q239" s="744">
        <f t="shared" ref="Q239" si="1023">SUM(Q237:Q238)</f>
        <v>37</v>
      </c>
      <c r="R239" s="744">
        <f t="shared" ref="R239:S239" si="1024">SUM(R237:R238)</f>
        <v>-9</v>
      </c>
      <c r="S239" s="744">
        <f t="shared" si="1024"/>
        <v>29</v>
      </c>
      <c r="T239" s="744">
        <f t="shared" ref="T239:U239" si="1025">SUM(T237:T238)</f>
        <v>19</v>
      </c>
      <c r="U239" s="744">
        <f t="shared" si="1025"/>
        <v>-109</v>
      </c>
      <c r="V239" s="744">
        <f t="shared" ref="V239" si="1026">SUM(V237:V238)</f>
        <v>3</v>
      </c>
      <c r="W239" s="744">
        <f t="shared" ref="W239:X239" si="1027">SUM(W237:W238)</f>
        <v>27</v>
      </c>
      <c r="X239" s="744">
        <f t="shared" si="1027"/>
        <v>-6</v>
      </c>
      <c r="Y239" s="744">
        <f t="shared" ref="Y239:AA239" si="1028">SUM(Y237:Y238)</f>
        <v>-27</v>
      </c>
      <c r="Z239" s="744">
        <f t="shared" si="1028"/>
        <v>32</v>
      </c>
      <c r="AA239" s="744">
        <f t="shared" si="1028"/>
        <v>52</v>
      </c>
      <c r="AB239" s="744">
        <f t="shared" ref="AB239:AR239" si="1029">SUM(AB237:AB238)</f>
        <v>26</v>
      </c>
      <c r="AC239" s="744">
        <f t="shared" si="1029"/>
        <v>12</v>
      </c>
      <c r="AD239" s="744">
        <f t="shared" si="1029"/>
        <v>18</v>
      </c>
      <c r="AE239" s="744">
        <f t="shared" si="1029"/>
        <v>20</v>
      </c>
      <c r="AF239" s="744">
        <f t="shared" si="1029"/>
        <v>30</v>
      </c>
      <c r="AG239" s="744">
        <f t="shared" si="1029"/>
        <v>150</v>
      </c>
      <c r="AH239" s="744">
        <f t="shared" si="1029"/>
        <v>-11</v>
      </c>
      <c r="AI239" s="744">
        <f t="shared" si="1029"/>
        <v>-203</v>
      </c>
      <c r="AJ239" s="744">
        <f t="shared" si="1029"/>
        <v>34</v>
      </c>
      <c r="AK239" s="744">
        <f t="shared" si="1029"/>
        <v>-29</v>
      </c>
      <c r="AL239" s="744">
        <f t="shared" si="1029"/>
        <v>74</v>
      </c>
      <c r="AM239" s="744">
        <f t="shared" si="1029"/>
        <v>33</v>
      </c>
      <c r="AN239" s="744">
        <f t="shared" si="1029"/>
        <v>41</v>
      </c>
      <c r="AO239" s="744">
        <f t="shared" si="1029"/>
        <v>-56</v>
      </c>
      <c r="AP239" s="744">
        <f t="shared" si="1029"/>
        <v>44</v>
      </c>
      <c r="AQ239" s="744">
        <f t="shared" si="1029"/>
        <v>31</v>
      </c>
      <c r="AR239" s="744">
        <f t="shared" si="1029"/>
        <v>5</v>
      </c>
    </row>
    <row r="240" spans="1:44" x14ac:dyDescent="0.25">
      <c r="B240" s="743"/>
      <c r="C240" s="743"/>
      <c r="D240" s="743"/>
      <c r="E240" s="743"/>
      <c r="F240" s="743"/>
      <c r="G240" s="743"/>
      <c r="H240" s="743"/>
      <c r="I240" s="743"/>
      <c r="J240" s="743"/>
      <c r="K240" s="743"/>
      <c r="L240" s="743"/>
      <c r="M240" s="743"/>
      <c r="O240" s="743"/>
      <c r="P240" s="743"/>
      <c r="Q240" s="743"/>
      <c r="R240" s="743"/>
      <c r="S240" s="743"/>
      <c r="T240" s="743"/>
      <c r="U240" s="743"/>
      <c r="V240" s="743"/>
      <c r="W240" s="743"/>
      <c r="X240" s="743"/>
      <c r="Y240" s="743"/>
      <c r="Z240" s="743"/>
      <c r="AA240" s="743"/>
      <c r="AB240" s="743"/>
      <c r="AC240" s="743"/>
      <c r="AD240" s="743"/>
      <c r="AE240" s="743"/>
      <c r="AF240" s="743"/>
      <c r="AG240" s="743"/>
      <c r="AH240" s="743"/>
      <c r="AI240" s="743"/>
      <c r="AJ240" s="743"/>
      <c r="AK240" s="743"/>
      <c r="AL240" s="743"/>
      <c r="AM240" s="743"/>
      <c r="AN240" s="743"/>
      <c r="AO240" s="743"/>
      <c r="AP240" s="743"/>
      <c r="AQ240" s="743"/>
      <c r="AR240" s="743"/>
    </row>
    <row r="241" spans="1:44" x14ac:dyDescent="0.25">
      <c r="A241" s="536">
        <v>3</v>
      </c>
      <c r="B241" s="743" t="s">
        <v>803</v>
      </c>
      <c r="C241" s="743">
        <f>C13</f>
        <v>-140</v>
      </c>
      <c r="D241" s="743">
        <f>D13</f>
        <v>-168</v>
      </c>
      <c r="E241" s="743">
        <f>E13</f>
        <v>-113</v>
      </c>
      <c r="F241" s="743">
        <f>F13</f>
        <v>-122</v>
      </c>
      <c r="G241" s="743">
        <f t="shared" ref="G241:M241" si="1030">G13</f>
        <v>-158</v>
      </c>
      <c r="H241" s="743">
        <f t="shared" si="1030"/>
        <v>-129</v>
      </c>
      <c r="I241" s="743">
        <f t="shared" si="1030"/>
        <v>-158</v>
      </c>
      <c r="J241" s="743">
        <f t="shared" si="1030"/>
        <v>-124</v>
      </c>
      <c r="K241" s="743">
        <f t="shared" si="1030"/>
        <v>-132</v>
      </c>
      <c r="L241" s="743">
        <f t="shared" si="1030"/>
        <v>-108</v>
      </c>
      <c r="M241" s="743">
        <f t="shared" si="1030"/>
        <v>-157</v>
      </c>
      <c r="O241" s="743">
        <f t="shared" ref="O241" si="1031">O13</f>
        <v>-13</v>
      </c>
      <c r="P241" s="743">
        <f t="shared" ref="P241" si="1032">P13</f>
        <v>-37</v>
      </c>
      <c r="Q241" s="743">
        <f t="shared" ref="Q241" si="1033">Q13</f>
        <v>-33</v>
      </c>
      <c r="R241" s="743">
        <f t="shared" ref="R241:S241" si="1034">R13</f>
        <v>-39</v>
      </c>
      <c r="S241" s="743">
        <f t="shared" si="1034"/>
        <v>-33</v>
      </c>
      <c r="T241" s="743">
        <f t="shared" ref="T241:U241" si="1035">T13</f>
        <v>-35</v>
      </c>
      <c r="U241" s="743">
        <f t="shared" si="1035"/>
        <v>-33</v>
      </c>
      <c r="V241" s="743">
        <f t="shared" ref="V241" si="1036">V13</f>
        <v>-42</v>
      </c>
      <c r="W241" s="743">
        <f t="shared" ref="W241:X241" si="1037">W13</f>
        <v>-49</v>
      </c>
      <c r="X241" s="743">
        <f t="shared" si="1037"/>
        <v>-44</v>
      </c>
      <c r="Y241" s="743">
        <f t="shared" ref="Y241:AA241" si="1038">Y13</f>
        <v>-41</v>
      </c>
      <c r="Z241" s="743">
        <f t="shared" si="1038"/>
        <v>-24</v>
      </c>
      <c r="AA241" s="743">
        <f t="shared" si="1038"/>
        <v>-14</v>
      </c>
      <c r="AB241" s="743">
        <f t="shared" ref="AB241:AR241" si="1039">AB13</f>
        <v>-34</v>
      </c>
      <c r="AC241" s="743">
        <f t="shared" si="1039"/>
        <v>-38</v>
      </c>
      <c r="AD241" s="743">
        <f t="shared" si="1039"/>
        <v>-34</v>
      </c>
      <c r="AE241" s="743">
        <f t="shared" si="1039"/>
        <v>-30</v>
      </c>
      <c r="AF241" s="743">
        <f t="shared" si="1039"/>
        <v>-20</v>
      </c>
      <c r="AG241" s="743">
        <f t="shared" si="1039"/>
        <v>-46</v>
      </c>
      <c r="AH241" s="743">
        <f t="shared" si="1039"/>
        <v>-29</v>
      </c>
      <c r="AI241" s="743">
        <f t="shared" si="1039"/>
        <v>-31</v>
      </c>
      <c r="AJ241" s="743">
        <f t="shared" si="1039"/>
        <v>-52</v>
      </c>
      <c r="AK241" s="743">
        <f t="shared" si="1039"/>
        <v>-25</v>
      </c>
      <c r="AL241" s="743">
        <f t="shared" si="1039"/>
        <v>-32</v>
      </c>
      <c r="AM241" s="743">
        <f t="shared" si="1039"/>
        <v>-37</v>
      </c>
      <c r="AN241" s="743">
        <f t="shared" si="1039"/>
        <v>-35</v>
      </c>
      <c r="AO241" s="743">
        <f t="shared" si="1039"/>
        <v>-66</v>
      </c>
      <c r="AP241" s="743">
        <f t="shared" si="1039"/>
        <v>-23</v>
      </c>
      <c r="AQ241" s="743">
        <f t="shared" si="1039"/>
        <v>-54</v>
      </c>
      <c r="AR241" s="743">
        <f t="shared" si="1039"/>
        <v>-15</v>
      </c>
    </row>
    <row r="242" spans="1:44" x14ac:dyDescent="0.25">
      <c r="B242" s="743" t="s">
        <v>800</v>
      </c>
      <c r="C242" s="743">
        <f>C56</f>
        <v>-105</v>
      </c>
      <c r="D242" s="743">
        <f>D56</f>
        <v>-115</v>
      </c>
      <c r="E242" s="743">
        <f>E56</f>
        <v>-106</v>
      </c>
      <c r="F242" s="743">
        <f>F56</f>
        <v>-89</v>
      </c>
      <c r="G242" s="743">
        <f t="shared" ref="G242:M242" si="1040">G56</f>
        <v>-107</v>
      </c>
      <c r="H242" s="743">
        <f t="shared" si="1040"/>
        <v>-114</v>
      </c>
      <c r="I242" s="743">
        <f t="shared" si="1040"/>
        <v>0</v>
      </c>
      <c r="J242" s="743">
        <f t="shared" si="1040"/>
        <v>0</v>
      </c>
      <c r="K242" s="743">
        <f t="shared" si="1040"/>
        <v>0</v>
      </c>
      <c r="L242" s="743">
        <f t="shared" si="1040"/>
        <v>-86</v>
      </c>
      <c r="M242" s="743">
        <f t="shared" si="1040"/>
        <v>-47</v>
      </c>
      <c r="O242" s="743">
        <f t="shared" ref="O242" si="1041">O56</f>
        <v>-38</v>
      </c>
      <c r="P242" s="743">
        <f t="shared" ref="P242" si="1042">P56</f>
        <v>-13</v>
      </c>
      <c r="Q242" s="743">
        <f t="shared" ref="Q242" si="1043">Q56</f>
        <v>-40</v>
      </c>
      <c r="R242" s="743">
        <f t="shared" ref="R242:S242" si="1044">R56</f>
        <v>-12</v>
      </c>
      <c r="S242" s="743">
        <f t="shared" si="1044"/>
        <v>-40</v>
      </c>
      <c r="T242" s="743">
        <f t="shared" ref="T242:U242" si="1045">T56</f>
        <v>-13</v>
      </c>
      <c r="U242" s="743">
        <f t="shared" si="1045"/>
        <v>-37</v>
      </c>
      <c r="V242" s="743">
        <f t="shared" ref="V242" si="1046">V56</f>
        <v>-19</v>
      </c>
      <c r="W242" s="743">
        <f t="shared" ref="W242:X242" si="1047">W56</f>
        <v>-42</v>
      </c>
      <c r="X242" s="743">
        <f t="shared" si="1047"/>
        <v>-17</v>
      </c>
      <c r="Y242" s="743">
        <f t="shared" ref="Y242:AA242" si="1048">Y56</f>
        <v>-38</v>
      </c>
      <c r="Z242" s="743">
        <f t="shared" si="1048"/>
        <v>-13</v>
      </c>
      <c r="AA242" s="743">
        <f t="shared" si="1048"/>
        <v>-39</v>
      </c>
      <c r="AB242" s="743">
        <f t="shared" ref="AB242:AR242" si="1049">AB56</f>
        <v>-16</v>
      </c>
      <c r="AC242" s="743">
        <f t="shared" si="1049"/>
        <v>-16</v>
      </c>
      <c r="AD242" s="743">
        <f t="shared" si="1049"/>
        <v>-18</v>
      </c>
      <c r="AE242" s="743">
        <f t="shared" si="1049"/>
        <v>-37</v>
      </c>
      <c r="AF242" s="743">
        <f t="shared" si="1049"/>
        <v>-18</v>
      </c>
      <c r="AG242" s="743">
        <f t="shared" si="1049"/>
        <v>-107</v>
      </c>
      <c r="AH242" s="743">
        <f t="shared" si="1049"/>
        <v>0</v>
      </c>
      <c r="AI242" s="743">
        <f t="shared" si="1049"/>
        <v>0</v>
      </c>
      <c r="AJ242" s="743">
        <f t="shared" si="1049"/>
        <v>0</v>
      </c>
      <c r="AK242" s="743">
        <f t="shared" si="1049"/>
        <v>0</v>
      </c>
      <c r="AL242" s="743">
        <f t="shared" si="1049"/>
        <v>0</v>
      </c>
      <c r="AM242" s="743">
        <f t="shared" si="1049"/>
        <v>0</v>
      </c>
      <c r="AN242" s="743">
        <f t="shared" si="1049"/>
        <v>0</v>
      </c>
      <c r="AO242" s="743">
        <f t="shared" si="1049"/>
        <v>0</v>
      </c>
      <c r="AP242" s="743">
        <f t="shared" si="1049"/>
        <v>0</v>
      </c>
      <c r="AQ242" s="743">
        <f t="shared" si="1049"/>
        <v>0</v>
      </c>
      <c r="AR242" s="743">
        <f t="shared" si="1049"/>
        <v>0</v>
      </c>
    </row>
    <row r="243" spans="1:44" s="607" customFormat="1" x14ac:dyDescent="0.25">
      <c r="A243" s="547"/>
      <c r="B243" s="744" t="s">
        <v>802</v>
      </c>
      <c r="C243" s="744">
        <f>C241+C242</f>
        <v>-245</v>
      </c>
      <c r="D243" s="744">
        <f>D241+D242</f>
        <v>-283</v>
      </c>
      <c r="E243" s="744">
        <f>E241+E242</f>
        <v>-219</v>
      </c>
      <c r="F243" s="744">
        <f>F241+F242</f>
        <v>-211</v>
      </c>
      <c r="G243" s="744">
        <f t="shared" ref="G243:M243" si="1050">G241+G242</f>
        <v>-265</v>
      </c>
      <c r="H243" s="744">
        <f t="shared" si="1050"/>
        <v>-243</v>
      </c>
      <c r="I243" s="744">
        <f t="shared" si="1050"/>
        <v>-158</v>
      </c>
      <c r="J243" s="744">
        <f t="shared" si="1050"/>
        <v>-124</v>
      </c>
      <c r="K243" s="744">
        <f t="shared" si="1050"/>
        <v>-132</v>
      </c>
      <c r="L243" s="744">
        <f t="shared" si="1050"/>
        <v>-194</v>
      </c>
      <c r="M243" s="744">
        <f t="shared" si="1050"/>
        <v>-204</v>
      </c>
      <c r="O243" s="744">
        <f t="shared" ref="O243" si="1051">O241+O242</f>
        <v>-51</v>
      </c>
      <c r="P243" s="744">
        <f t="shared" ref="P243" si="1052">P241+P242</f>
        <v>-50</v>
      </c>
      <c r="Q243" s="744">
        <f t="shared" ref="Q243" si="1053">Q241+Q242</f>
        <v>-73</v>
      </c>
      <c r="R243" s="744">
        <f t="shared" ref="R243:S243" si="1054">R241+R242</f>
        <v>-51</v>
      </c>
      <c r="S243" s="744">
        <f t="shared" si="1054"/>
        <v>-73</v>
      </c>
      <c r="T243" s="744">
        <f t="shared" ref="T243:U243" si="1055">T241+T242</f>
        <v>-48</v>
      </c>
      <c r="U243" s="744">
        <f t="shared" si="1055"/>
        <v>-70</v>
      </c>
      <c r="V243" s="744">
        <f t="shared" ref="V243" si="1056">V241+V242</f>
        <v>-61</v>
      </c>
      <c r="W243" s="744">
        <f t="shared" ref="W243:X243" si="1057">W241+W242</f>
        <v>-91</v>
      </c>
      <c r="X243" s="744">
        <f t="shared" si="1057"/>
        <v>-61</v>
      </c>
      <c r="Y243" s="744">
        <f t="shared" ref="Y243:AA243" si="1058">Y241+Y242</f>
        <v>-79</v>
      </c>
      <c r="Z243" s="744">
        <f t="shared" si="1058"/>
        <v>-37</v>
      </c>
      <c r="AA243" s="744">
        <f t="shared" si="1058"/>
        <v>-53</v>
      </c>
      <c r="AB243" s="744">
        <f t="shared" ref="AB243:AR243" si="1059">AB241+AB242</f>
        <v>-50</v>
      </c>
      <c r="AC243" s="744">
        <f t="shared" si="1059"/>
        <v>-54</v>
      </c>
      <c r="AD243" s="744">
        <f t="shared" si="1059"/>
        <v>-52</v>
      </c>
      <c r="AE243" s="744">
        <f t="shared" si="1059"/>
        <v>-67</v>
      </c>
      <c r="AF243" s="744">
        <f t="shared" si="1059"/>
        <v>-38</v>
      </c>
      <c r="AG243" s="744">
        <f t="shared" si="1059"/>
        <v>-153</v>
      </c>
      <c r="AH243" s="744">
        <f t="shared" si="1059"/>
        <v>-29</v>
      </c>
      <c r="AI243" s="744">
        <f t="shared" si="1059"/>
        <v>-31</v>
      </c>
      <c r="AJ243" s="744">
        <f t="shared" si="1059"/>
        <v>-52</v>
      </c>
      <c r="AK243" s="744">
        <f t="shared" si="1059"/>
        <v>-25</v>
      </c>
      <c r="AL243" s="744">
        <f t="shared" si="1059"/>
        <v>-32</v>
      </c>
      <c r="AM243" s="744">
        <f t="shared" si="1059"/>
        <v>-37</v>
      </c>
      <c r="AN243" s="744">
        <f t="shared" si="1059"/>
        <v>-35</v>
      </c>
      <c r="AO243" s="744">
        <f t="shared" si="1059"/>
        <v>-66</v>
      </c>
      <c r="AP243" s="744">
        <f t="shared" si="1059"/>
        <v>-23</v>
      </c>
      <c r="AQ243" s="744">
        <f t="shared" si="1059"/>
        <v>-54</v>
      </c>
      <c r="AR243" s="744">
        <f t="shared" si="1059"/>
        <v>-15</v>
      </c>
    </row>
    <row r="244" spans="1:44" x14ac:dyDescent="0.25">
      <c r="B244" s="743"/>
      <c r="C244" s="743"/>
      <c r="D244" s="743"/>
      <c r="E244" s="743"/>
      <c r="F244" s="743"/>
      <c r="G244" s="743"/>
      <c r="H244" s="743"/>
      <c r="I244" s="743"/>
      <c r="J244" s="743"/>
      <c r="K244" s="743"/>
      <c r="L244" s="743"/>
      <c r="M244" s="743"/>
      <c r="O244" s="743"/>
      <c r="P244" s="743"/>
      <c r="Q244" s="743"/>
      <c r="R244" s="743"/>
      <c r="S244" s="743"/>
      <c r="T244" s="743"/>
      <c r="U244" s="743"/>
      <c r="V244" s="743"/>
      <c r="W244" s="743"/>
      <c r="X244" s="743"/>
      <c r="Y244" s="743"/>
      <c r="Z244" s="743"/>
      <c r="AA244" s="743"/>
      <c r="AB244" s="743"/>
      <c r="AC244" s="743"/>
      <c r="AD244" s="743"/>
      <c r="AE244" s="743"/>
      <c r="AF244" s="743"/>
      <c r="AG244" s="743"/>
      <c r="AH244" s="743"/>
      <c r="AI244" s="743"/>
      <c r="AJ244" s="743"/>
      <c r="AK244" s="743"/>
      <c r="AL244" s="743"/>
      <c r="AM244" s="743"/>
      <c r="AN244" s="743"/>
      <c r="AO244" s="743"/>
      <c r="AP244" s="743"/>
      <c r="AQ244" s="743"/>
      <c r="AR244" s="743"/>
    </row>
    <row r="245" spans="1:44" x14ac:dyDescent="0.25">
      <c r="A245" s="536">
        <v>4</v>
      </c>
      <c r="B245" s="743" t="s">
        <v>804</v>
      </c>
      <c r="C245" s="743">
        <f>C16</f>
        <v>-172</v>
      </c>
      <c r="D245" s="743">
        <f>D16</f>
        <v>-287</v>
      </c>
      <c r="E245" s="743">
        <f>E16</f>
        <v>-1185</v>
      </c>
      <c r="F245" s="743">
        <f>F16</f>
        <v>-260</v>
      </c>
      <c r="G245" s="743">
        <f t="shared" ref="G245:M245" si="1060">G16</f>
        <v>-25</v>
      </c>
      <c r="H245" s="743">
        <f t="shared" si="1060"/>
        <v>-147</v>
      </c>
      <c r="I245" s="743">
        <f t="shared" si="1060"/>
        <v>-129</v>
      </c>
      <c r="J245" s="743">
        <f t="shared" si="1060"/>
        <v>-158</v>
      </c>
      <c r="K245" s="743">
        <f t="shared" si="1060"/>
        <v>-55</v>
      </c>
      <c r="L245" s="743">
        <f t="shared" si="1060"/>
        <v>-162</v>
      </c>
      <c r="M245" s="743">
        <f t="shared" si="1060"/>
        <v>-166</v>
      </c>
      <c r="O245" s="743">
        <f t="shared" ref="O245" si="1061">O16</f>
        <v>-60</v>
      </c>
      <c r="P245" s="743">
        <f t="shared" ref="P245" si="1062">P16</f>
        <v>-42</v>
      </c>
      <c r="Q245" s="743">
        <f t="shared" ref="Q245" si="1063">Q16</f>
        <v>-33</v>
      </c>
      <c r="R245" s="743">
        <f t="shared" ref="R245:S245" si="1064">R16</f>
        <v>-49</v>
      </c>
      <c r="S245" s="743">
        <f t="shared" si="1064"/>
        <v>-48</v>
      </c>
      <c r="T245" s="743">
        <f t="shared" ref="T245:U245" si="1065">T16</f>
        <v>-42</v>
      </c>
      <c r="U245" s="743">
        <f t="shared" si="1065"/>
        <v>-33</v>
      </c>
      <c r="V245" s="743">
        <f t="shared" ref="V245" si="1066">V16</f>
        <v>-43</v>
      </c>
      <c r="W245" s="743">
        <f t="shared" ref="W245:X245" si="1067">W16</f>
        <v>-84</v>
      </c>
      <c r="X245" s="743">
        <f t="shared" si="1067"/>
        <v>-127</v>
      </c>
      <c r="Y245" s="743">
        <f t="shared" ref="Y245:AA245" si="1068">Y16</f>
        <v>-158</v>
      </c>
      <c r="Z245" s="743">
        <f t="shared" si="1068"/>
        <v>-276</v>
      </c>
      <c r="AA245" s="743">
        <f t="shared" si="1068"/>
        <v>-540</v>
      </c>
      <c r="AB245" s="743">
        <f t="shared" ref="AB245:AR245" si="1069">AB16</f>
        <v>-211</v>
      </c>
      <c r="AC245" s="743">
        <f t="shared" si="1069"/>
        <v>-128</v>
      </c>
      <c r="AD245" s="743">
        <f t="shared" si="1069"/>
        <v>-45</v>
      </c>
      <c r="AE245" s="743">
        <f t="shared" si="1069"/>
        <v>-64</v>
      </c>
      <c r="AF245" s="743">
        <f t="shared" si="1069"/>
        <v>-23</v>
      </c>
      <c r="AG245" s="743">
        <f t="shared" si="1069"/>
        <v>-24</v>
      </c>
      <c r="AH245" s="743">
        <f t="shared" si="1069"/>
        <v>-14</v>
      </c>
      <c r="AI245" s="743">
        <f t="shared" si="1069"/>
        <v>33</v>
      </c>
      <c r="AJ245" s="743">
        <f t="shared" si="1069"/>
        <v>-20</v>
      </c>
      <c r="AK245" s="743">
        <f t="shared" si="1069"/>
        <v>-15</v>
      </c>
      <c r="AL245" s="743">
        <f t="shared" si="1069"/>
        <v>-35</v>
      </c>
      <c r="AM245" s="743">
        <f t="shared" si="1069"/>
        <v>-46</v>
      </c>
      <c r="AN245" s="743">
        <f t="shared" si="1069"/>
        <v>-51</v>
      </c>
      <c r="AO245" s="743">
        <f t="shared" si="1069"/>
        <v>-19</v>
      </c>
      <c r="AP245" s="743">
        <f t="shared" si="1069"/>
        <v>-45</v>
      </c>
      <c r="AQ245" s="743">
        <f t="shared" si="1069"/>
        <v>-20</v>
      </c>
      <c r="AR245" s="743">
        <f t="shared" si="1069"/>
        <v>-45</v>
      </c>
    </row>
    <row r="246" spans="1:44" x14ac:dyDescent="0.25">
      <c r="B246" s="743" t="s">
        <v>801</v>
      </c>
      <c r="C246" s="743">
        <f>C53+C57</f>
        <v>74</v>
      </c>
      <c r="D246" s="743">
        <f>D53+D57</f>
        <v>34</v>
      </c>
      <c r="E246" s="743">
        <f>E53+E57</f>
        <v>78</v>
      </c>
      <c r="F246" s="743">
        <f>F53+F57</f>
        <v>67</v>
      </c>
      <c r="G246" s="743">
        <f t="shared" ref="G246:M246" si="1070">G53+G57</f>
        <v>-6</v>
      </c>
      <c r="H246" s="743">
        <f t="shared" si="1070"/>
        <v>27</v>
      </c>
      <c r="I246" s="743">
        <f t="shared" si="1070"/>
        <v>76</v>
      </c>
      <c r="J246" s="743">
        <f t="shared" si="1070"/>
        <v>-46</v>
      </c>
      <c r="K246" s="743">
        <f t="shared" si="1070"/>
        <v>-2</v>
      </c>
      <c r="L246" s="743">
        <f t="shared" si="1070"/>
        <v>142</v>
      </c>
      <c r="M246" s="743">
        <f t="shared" si="1070"/>
        <v>7</v>
      </c>
      <c r="O246" s="743">
        <f t="shared" ref="O246" si="1071">O53+O57</f>
        <v>23</v>
      </c>
      <c r="P246" s="743">
        <f t="shared" ref="P246" si="1072">P53+P57</f>
        <v>6</v>
      </c>
      <c r="Q246" s="743">
        <f t="shared" ref="Q246" si="1073">Q53+Q57</f>
        <v>-8</v>
      </c>
      <c r="R246" s="743">
        <f t="shared" ref="R246:S246" si="1074">R53+R57</f>
        <v>27</v>
      </c>
      <c r="S246" s="743">
        <f t="shared" si="1074"/>
        <v>19</v>
      </c>
      <c r="T246" s="743">
        <f t="shared" ref="T246:U246" si="1075">T53+T57</f>
        <v>36</v>
      </c>
      <c r="U246" s="743">
        <f t="shared" si="1075"/>
        <v>26</v>
      </c>
      <c r="V246" s="743">
        <f t="shared" ref="V246" si="1076">V53+V57</f>
        <v>11</v>
      </c>
      <c r="W246" s="743">
        <f t="shared" ref="W246:X246" si="1077">W53+W57</f>
        <v>-21</v>
      </c>
      <c r="X246" s="743">
        <f t="shared" si="1077"/>
        <v>18</v>
      </c>
      <c r="Y246" s="743">
        <f t="shared" ref="Y246:AA246" si="1078">Y53+Y57</f>
        <v>-2</v>
      </c>
      <c r="Z246" s="743">
        <f t="shared" si="1078"/>
        <v>-144</v>
      </c>
      <c r="AA246" s="743">
        <f t="shared" si="1078"/>
        <v>145</v>
      </c>
      <c r="AB246" s="743">
        <f t="shared" ref="AB246:AR246" si="1079">AB53+AB57</f>
        <v>79</v>
      </c>
      <c r="AC246" s="743">
        <f t="shared" si="1079"/>
        <v>23</v>
      </c>
      <c r="AD246" s="743">
        <f t="shared" si="1079"/>
        <v>-22</v>
      </c>
      <c r="AE246" s="743">
        <f t="shared" si="1079"/>
        <v>36</v>
      </c>
      <c r="AF246" s="743">
        <f t="shared" si="1079"/>
        <v>30</v>
      </c>
      <c r="AG246" s="743">
        <f t="shared" si="1079"/>
        <v>36</v>
      </c>
      <c r="AH246" s="743">
        <f t="shared" si="1079"/>
        <v>0</v>
      </c>
      <c r="AI246" s="743">
        <f t="shared" si="1079"/>
        <v>-48</v>
      </c>
      <c r="AJ246" s="743">
        <f t="shared" si="1079"/>
        <v>6</v>
      </c>
      <c r="AK246" s="743">
        <f t="shared" si="1079"/>
        <v>57</v>
      </c>
      <c r="AL246" s="743">
        <f t="shared" si="1079"/>
        <v>14</v>
      </c>
      <c r="AM246" s="743">
        <f t="shared" si="1079"/>
        <v>35</v>
      </c>
      <c r="AN246" s="743">
        <f t="shared" si="1079"/>
        <v>41</v>
      </c>
      <c r="AO246" s="743">
        <f t="shared" si="1079"/>
        <v>0</v>
      </c>
      <c r="AP246" s="743">
        <f t="shared" si="1079"/>
        <v>37</v>
      </c>
      <c r="AQ246" s="743">
        <f t="shared" si="1079"/>
        <v>-1</v>
      </c>
      <c r="AR246" s="743">
        <f t="shared" si="1079"/>
        <v>28</v>
      </c>
    </row>
    <row r="247" spans="1:44" s="607" customFormat="1" x14ac:dyDescent="0.25">
      <c r="A247" s="547"/>
      <c r="B247" s="744" t="s">
        <v>587</v>
      </c>
      <c r="C247" s="744">
        <f>C245+C246</f>
        <v>-98</v>
      </c>
      <c r="D247" s="744">
        <f>D245+D246</f>
        <v>-253</v>
      </c>
      <c r="E247" s="744">
        <f>E245+E246</f>
        <v>-1107</v>
      </c>
      <c r="F247" s="744">
        <f>F245+F246</f>
        <v>-193</v>
      </c>
      <c r="G247" s="744">
        <f t="shared" ref="G247:M247" si="1080">G245+G246</f>
        <v>-31</v>
      </c>
      <c r="H247" s="744">
        <f t="shared" si="1080"/>
        <v>-120</v>
      </c>
      <c r="I247" s="744">
        <f t="shared" si="1080"/>
        <v>-53</v>
      </c>
      <c r="J247" s="744">
        <f t="shared" si="1080"/>
        <v>-204</v>
      </c>
      <c r="K247" s="744">
        <f t="shared" si="1080"/>
        <v>-57</v>
      </c>
      <c r="L247" s="744">
        <f t="shared" si="1080"/>
        <v>-20</v>
      </c>
      <c r="M247" s="744">
        <f t="shared" si="1080"/>
        <v>-159</v>
      </c>
      <c r="O247" s="744">
        <f t="shared" ref="O247" si="1081">O245+O246</f>
        <v>-37</v>
      </c>
      <c r="P247" s="744">
        <f t="shared" ref="P247" si="1082">P245+P246</f>
        <v>-36</v>
      </c>
      <c r="Q247" s="744">
        <f t="shared" ref="Q247" si="1083">Q245+Q246</f>
        <v>-41</v>
      </c>
      <c r="R247" s="744">
        <f t="shared" ref="R247:S247" si="1084">R245+R246</f>
        <v>-22</v>
      </c>
      <c r="S247" s="744">
        <f t="shared" si="1084"/>
        <v>-29</v>
      </c>
      <c r="T247" s="744">
        <f t="shared" ref="T247:U247" si="1085">T245+T246</f>
        <v>-6</v>
      </c>
      <c r="U247" s="744">
        <f t="shared" si="1085"/>
        <v>-7</v>
      </c>
      <c r="V247" s="744">
        <f t="shared" ref="V247" si="1086">V245+V246</f>
        <v>-32</v>
      </c>
      <c r="W247" s="744">
        <f t="shared" ref="W247:X247" si="1087">W245+W246</f>
        <v>-105</v>
      </c>
      <c r="X247" s="744">
        <f t="shared" si="1087"/>
        <v>-109</v>
      </c>
      <c r="Y247" s="744">
        <f t="shared" ref="Y247:AA247" si="1088">Y245+Y246</f>
        <v>-160</v>
      </c>
      <c r="Z247" s="744">
        <f t="shared" si="1088"/>
        <v>-420</v>
      </c>
      <c r="AA247" s="744">
        <f t="shared" si="1088"/>
        <v>-395</v>
      </c>
      <c r="AB247" s="744">
        <f t="shared" ref="AB247:AR247" si="1089">AB245+AB246</f>
        <v>-132</v>
      </c>
      <c r="AC247" s="744">
        <f t="shared" si="1089"/>
        <v>-105</v>
      </c>
      <c r="AD247" s="744">
        <f t="shared" si="1089"/>
        <v>-67</v>
      </c>
      <c r="AE247" s="744">
        <f t="shared" si="1089"/>
        <v>-28</v>
      </c>
      <c r="AF247" s="744">
        <f t="shared" si="1089"/>
        <v>7</v>
      </c>
      <c r="AG247" s="744">
        <f t="shared" si="1089"/>
        <v>12</v>
      </c>
      <c r="AH247" s="744">
        <f t="shared" si="1089"/>
        <v>-14</v>
      </c>
      <c r="AI247" s="744">
        <f t="shared" si="1089"/>
        <v>-15</v>
      </c>
      <c r="AJ247" s="744">
        <f t="shared" si="1089"/>
        <v>-14</v>
      </c>
      <c r="AK247" s="744">
        <f t="shared" si="1089"/>
        <v>42</v>
      </c>
      <c r="AL247" s="744">
        <f t="shared" si="1089"/>
        <v>-21</v>
      </c>
      <c r="AM247" s="744">
        <f t="shared" si="1089"/>
        <v>-11</v>
      </c>
      <c r="AN247" s="744">
        <f t="shared" si="1089"/>
        <v>-10</v>
      </c>
      <c r="AO247" s="744">
        <f t="shared" si="1089"/>
        <v>-19</v>
      </c>
      <c r="AP247" s="744">
        <f t="shared" si="1089"/>
        <v>-8</v>
      </c>
      <c r="AQ247" s="744">
        <f t="shared" si="1089"/>
        <v>-21</v>
      </c>
      <c r="AR247" s="744">
        <f t="shared" si="1089"/>
        <v>-17</v>
      </c>
    </row>
    <row r="248" spans="1:44" s="607" customFormat="1" x14ac:dyDescent="0.25">
      <c r="A248" s="547"/>
      <c r="B248" s="743"/>
      <c r="C248" s="805">
        <f>C247/(C235+C239+C243)</f>
        <v>-7.8087649402390436E-2</v>
      </c>
      <c r="D248" s="805">
        <f>D247/(D235+D239+D243)</f>
        <v>-0.17879858657243816</v>
      </c>
      <c r="E248" s="805">
        <f>E247/(E235+E239+E243)</f>
        <v>-0.28723404255319152</v>
      </c>
      <c r="F248" s="805">
        <f>F247/(F235+F239+F243)</f>
        <v>-0.12395632626846499</v>
      </c>
      <c r="G248" s="805">
        <f t="shared" ref="G248:L248" si="1090">G247/(G235+G239+G243)</f>
        <v>-4.2936288088642659E-2</v>
      </c>
      <c r="H248" s="805">
        <f t="shared" si="1090"/>
        <v>-0.11616650532429816</v>
      </c>
      <c r="I248" s="805">
        <f t="shared" si="1090"/>
        <v>-5.3319919517102618E-2</v>
      </c>
      <c r="J248" s="805">
        <f t="shared" si="1090"/>
        <v>-0.19960861056751467</v>
      </c>
      <c r="K248" s="805">
        <f t="shared" si="1090"/>
        <v>-7.1698113207547168E-2</v>
      </c>
      <c r="L248" s="805">
        <f t="shared" si="1090"/>
        <v>-2.3837902264600714E-2</v>
      </c>
      <c r="M248" s="805">
        <f>M247/(M235+M239+M243)</f>
        <v>-0.16597077244258873</v>
      </c>
      <c r="O248" s="805">
        <f>O247/(O235+O239+O243)</f>
        <v>-0.17535545023696683</v>
      </c>
      <c r="P248" s="805">
        <f>P247/(P235+P239+P243)</f>
        <v>-0.10975609756097561</v>
      </c>
      <c r="Q248" s="805"/>
      <c r="R248" s="805">
        <f>R247/(R235+R239+R243)</f>
        <v>-6.8535825545171333E-2</v>
      </c>
      <c r="S248" s="805">
        <f>S247/(S235+S239+S243)</f>
        <v>-9.1194968553459113E-2</v>
      </c>
      <c r="T248" s="805">
        <f>T247/(T235+T239+T243)</f>
        <v>-1.8691588785046728E-2</v>
      </c>
      <c r="U248" s="805"/>
      <c r="V248" s="805">
        <f>V247/(V235+V239+V243)</f>
        <v>-0.10666666666666667</v>
      </c>
      <c r="W248" s="805">
        <f>W247/(W235+W239+W243)</f>
        <v>-0.28455284552845528</v>
      </c>
      <c r="X248" s="805">
        <f>X247/(X235+X239+X243)</f>
        <v>-0.20147874306839186</v>
      </c>
      <c r="Y248" s="743"/>
      <c r="Z248" s="743"/>
      <c r="AA248" s="743"/>
      <c r="AB248" s="805">
        <f>AB247/(AB235+AB239+AB243)</f>
        <v>-0.13510747185261002</v>
      </c>
      <c r="AC248" s="743"/>
      <c r="AD248" s="743"/>
      <c r="AE248" s="743"/>
      <c r="AF248" s="743"/>
      <c r="AG248" s="743"/>
      <c r="AH248" s="743"/>
      <c r="AI248" s="743"/>
      <c r="AJ248" s="743"/>
      <c r="AK248" s="743"/>
      <c r="AL248" s="743"/>
      <c r="AM248" s="743"/>
      <c r="AN248" s="743"/>
      <c r="AO248" s="743"/>
      <c r="AP248" s="743"/>
      <c r="AQ248" s="743"/>
      <c r="AR248" s="743"/>
    </row>
    <row r="249" spans="1:44" s="607" customFormat="1" x14ac:dyDescent="0.25">
      <c r="A249" s="547">
        <v>5</v>
      </c>
      <c r="B249" s="743" t="s">
        <v>825</v>
      </c>
      <c r="C249" s="743">
        <f>C14</f>
        <v>1</v>
      </c>
      <c r="D249" s="743">
        <f>D14</f>
        <v>1</v>
      </c>
      <c r="E249" s="743">
        <f>E14</f>
        <v>1</v>
      </c>
      <c r="F249" s="743">
        <f>F14</f>
        <v>4</v>
      </c>
      <c r="G249" s="743">
        <f t="shared" ref="G249:M249" si="1091">G14</f>
        <v>5</v>
      </c>
      <c r="H249" s="743">
        <f t="shared" si="1091"/>
        <v>1</v>
      </c>
      <c r="I249" s="743">
        <f t="shared" si="1091"/>
        <v>3</v>
      </c>
      <c r="J249" s="743">
        <f t="shared" si="1091"/>
        <v>0</v>
      </c>
      <c r="K249" s="743">
        <f t="shared" si="1091"/>
        <v>18</v>
      </c>
      <c r="L249" s="743">
        <f t="shared" si="1091"/>
        <v>11</v>
      </c>
      <c r="M249" s="743">
        <f t="shared" si="1091"/>
        <v>31</v>
      </c>
      <c r="O249" s="743">
        <f t="shared" ref="O249" si="1092">O14</f>
        <v>0</v>
      </c>
      <c r="P249" s="743">
        <f t="shared" ref="P249" si="1093">P14</f>
        <v>0</v>
      </c>
      <c r="Q249" s="743">
        <f t="shared" ref="Q249" si="1094">Q14</f>
        <v>0</v>
      </c>
      <c r="R249" s="743">
        <f t="shared" ref="R249:S249" si="1095">R14</f>
        <v>1</v>
      </c>
      <c r="S249" s="743">
        <f t="shared" si="1095"/>
        <v>0</v>
      </c>
      <c r="T249" s="743">
        <f t="shared" ref="T249:U249" si="1096">T14</f>
        <v>0</v>
      </c>
      <c r="U249" s="743">
        <f t="shared" si="1096"/>
        <v>1</v>
      </c>
      <c r="V249" s="743">
        <f t="shared" ref="V249" si="1097">V14</f>
        <v>0</v>
      </c>
      <c r="W249" s="743">
        <f t="shared" ref="W249:X249" si="1098">W14</f>
        <v>0</v>
      </c>
      <c r="X249" s="743">
        <f t="shared" si="1098"/>
        <v>0</v>
      </c>
      <c r="Y249" s="743">
        <f t="shared" ref="Y249:AA249" si="1099">Y14</f>
        <v>1</v>
      </c>
      <c r="Z249" s="743">
        <f t="shared" si="1099"/>
        <v>0</v>
      </c>
      <c r="AA249" s="743">
        <f t="shared" si="1099"/>
        <v>0</v>
      </c>
      <c r="AB249" s="743">
        <f t="shared" ref="AB249:AR249" si="1100">AB14</f>
        <v>0</v>
      </c>
      <c r="AC249" s="743">
        <f t="shared" si="1100"/>
        <v>3</v>
      </c>
      <c r="AD249" s="743">
        <f t="shared" si="1100"/>
        <v>0</v>
      </c>
      <c r="AE249" s="743">
        <f t="shared" si="1100"/>
        <v>1</v>
      </c>
      <c r="AF249" s="743">
        <f t="shared" si="1100"/>
        <v>0</v>
      </c>
      <c r="AG249" s="743">
        <f t="shared" si="1100"/>
        <v>1</v>
      </c>
      <c r="AH249" s="743">
        <f t="shared" si="1100"/>
        <v>2</v>
      </c>
      <c r="AI249" s="743">
        <f t="shared" si="1100"/>
        <v>1</v>
      </c>
      <c r="AJ249" s="743">
        <f t="shared" si="1100"/>
        <v>1</v>
      </c>
      <c r="AK249" s="743">
        <f t="shared" si="1100"/>
        <v>0</v>
      </c>
      <c r="AL249" s="743">
        <f t="shared" si="1100"/>
        <v>0</v>
      </c>
      <c r="AM249" s="743">
        <f t="shared" si="1100"/>
        <v>1</v>
      </c>
      <c r="AN249" s="743">
        <f t="shared" si="1100"/>
        <v>0</v>
      </c>
      <c r="AO249" s="743">
        <f t="shared" si="1100"/>
        <v>0</v>
      </c>
      <c r="AP249" s="743">
        <f t="shared" si="1100"/>
        <v>-1</v>
      </c>
      <c r="AQ249" s="743">
        <f t="shared" si="1100"/>
        <v>0</v>
      </c>
      <c r="AR249" s="743">
        <f t="shared" si="1100"/>
        <v>1</v>
      </c>
    </row>
    <row r="250" spans="1:44" s="607" customFormat="1" x14ac:dyDescent="0.25">
      <c r="A250" s="547"/>
      <c r="B250" s="743" t="s">
        <v>826</v>
      </c>
      <c r="C250" s="743">
        <f>C49</f>
        <v>0</v>
      </c>
      <c r="D250" s="743">
        <f>D49</f>
        <v>0</v>
      </c>
      <c r="E250" s="743">
        <f>E49</f>
        <v>0</v>
      </c>
      <c r="F250" s="743">
        <f>F49</f>
        <v>0</v>
      </c>
      <c r="G250" s="743">
        <f t="shared" ref="G250:M250" si="1101">G49</f>
        <v>0</v>
      </c>
      <c r="H250" s="743">
        <f t="shared" si="1101"/>
        <v>0</v>
      </c>
      <c r="I250" s="743">
        <f t="shared" si="1101"/>
        <v>-3</v>
      </c>
      <c r="J250" s="743">
        <f t="shared" si="1101"/>
        <v>0</v>
      </c>
      <c r="K250" s="743">
        <f t="shared" si="1101"/>
        <v>-18</v>
      </c>
      <c r="L250" s="743">
        <f t="shared" si="1101"/>
        <v>0</v>
      </c>
      <c r="M250" s="743">
        <f t="shared" si="1101"/>
        <v>0</v>
      </c>
      <c r="O250" s="743">
        <f t="shared" ref="O250" si="1102">O49</f>
        <v>0</v>
      </c>
      <c r="P250" s="743">
        <f t="shared" ref="P250" si="1103">P49</f>
        <v>0</v>
      </c>
      <c r="Q250" s="743">
        <f t="shared" ref="Q250" si="1104">Q49</f>
        <v>0</v>
      </c>
      <c r="R250" s="743">
        <f t="shared" ref="R250:S250" si="1105">R49</f>
        <v>0</v>
      </c>
      <c r="S250" s="743">
        <f t="shared" si="1105"/>
        <v>0</v>
      </c>
      <c r="T250" s="743">
        <f t="shared" ref="T250:U250" si="1106">T49</f>
        <v>0</v>
      </c>
      <c r="U250" s="743">
        <f t="shared" si="1106"/>
        <v>0</v>
      </c>
      <c r="V250" s="743">
        <f t="shared" ref="V250" si="1107">V49</f>
        <v>0</v>
      </c>
      <c r="W250" s="743">
        <f t="shared" ref="W250:X250" si="1108">W49</f>
        <v>0</v>
      </c>
      <c r="X250" s="743">
        <f t="shared" si="1108"/>
        <v>0</v>
      </c>
      <c r="Y250" s="743">
        <f t="shared" ref="Y250:AA250" si="1109">Y49</f>
        <v>0</v>
      </c>
      <c r="Z250" s="743">
        <f t="shared" si="1109"/>
        <v>0</v>
      </c>
      <c r="AA250" s="743">
        <f t="shared" si="1109"/>
        <v>0</v>
      </c>
      <c r="AB250" s="743">
        <f t="shared" ref="AB250:AR250" si="1110">AB49</f>
        <v>0</v>
      </c>
      <c r="AC250" s="743">
        <f t="shared" si="1110"/>
        <v>0</v>
      </c>
      <c r="AD250" s="743">
        <f t="shared" si="1110"/>
        <v>0</v>
      </c>
      <c r="AE250" s="743">
        <f t="shared" si="1110"/>
        <v>0</v>
      </c>
      <c r="AF250" s="743">
        <f t="shared" si="1110"/>
        <v>0</v>
      </c>
      <c r="AG250" s="743">
        <f t="shared" si="1110"/>
        <v>4</v>
      </c>
      <c r="AH250" s="743">
        <f t="shared" si="1110"/>
        <v>-2</v>
      </c>
      <c r="AI250" s="743">
        <f t="shared" si="1110"/>
        <v>-1</v>
      </c>
      <c r="AJ250" s="743">
        <f t="shared" si="1110"/>
        <v>-1</v>
      </c>
      <c r="AK250" s="743">
        <f t="shared" si="1110"/>
        <v>1</v>
      </c>
      <c r="AL250" s="743">
        <f t="shared" si="1110"/>
        <v>0</v>
      </c>
      <c r="AM250" s="743">
        <f t="shared" si="1110"/>
        <v>-1</v>
      </c>
      <c r="AN250" s="743">
        <f t="shared" si="1110"/>
        <v>0</v>
      </c>
      <c r="AO250" s="743">
        <f t="shared" si="1110"/>
        <v>0</v>
      </c>
      <c r="AP250" s="743">
        <f t="shared" si="1110"/>
        <v>1</v>
      </c>
      <c r="AQ250" s="743">
        <f t="shared" si="1110"/>
        <v>0</v>
      </c>
      <c r="AR250" s="743">
        <f t="shared" si="1110"/>
        <v>-1</v>
      </c>
    </row>
    <row r="251" spans="1:44" s="607" customFormat="1" x14ac:dyDescent="0.25">
      <c r="A251" s="547"/>
      <c r="B251" s="744" t="s">
        <v>827</v>
      </c>
      <c r="C251" s="744">
        <f>C249+C250</f>
        <v>1</v>
      </c>
      <c r="D251" s="744">
        <f>D249+D250</f>
        <v>1</v>
      </c>
      <c r="E251" s="744">
        <f>E249+E250</f>
        <v>1</v>
      </c>
      <c r="F251" s="744">
        <f>F249+F250</f>
        <v>4</v>
      </c>
      <c r="G251" s="744">
        <f t="shared" ref="G251:M251" si="1111">G249+G250</f>
        <v>5</v>
      </c>
      <c r="H251" s="744">
        <f t="shared" si="1111"/>
        <v>1</v>
      </c>
      <c r="I251" s="744">
        <f t="shared" si="1111"/>
        <v>0</v>
      </c>
      <c r="J251" s="744">
        <f t="shared" si="1111"/>
        <v>0</v>
      </c>
      <c r="K251" s="744">
        <f t="shared" si="1111"/>
        <v>0</v>
      </c>
      <c r="L251" s="744">
        <f t="shared" si="1111"/>
        <v>11</v>
      </c>
      <c r="M251" s="744">
        <f t="shared" si="1111"/>
        <v>31</v>
      </c>
      <c r="O251" s="744">
        <f t="shared" ref="O251" si="1112">O249+O250</f>
        <v>0</v>
      </c>
      <c r="P251" s="744">
        <f t="shared" ref="P251" si="1113">P249+P250</f>
        <v>0</v>
      </c>
      <c r="Q251" s="744">
        <f t="shared" ref="Q251" si="1114">Q249+Q250</f>
        <v>0</v>
      </c>
      <c r="R251" s="744">
        <f t="shared" ref="R251:S251" si="1115">R249+R250</f>
        <v>1</v>
      </c>
      <c r="S251" s="744">
        <f t="shared" si="1115"/>
        <v>0</v>
      </c>
      <c r="T251" s="744">
        <f t="shared" ref="T251:U251" si="1116">T249+T250</f>
        <v>0</v>
      </c>
      <c r="U251" s="744">
        <f t="shared" si="1116"/>
        <v>1</v>
      </c>
      <c r="V251" s="744">
        <f t="shared" ref="V251" si="1117">V249+V250</f>
        <v>0</v>
      </c>
      <c r="W251" s="744">
        <f t="shared" ref="W251:X251" si="1118">W249+W250</f>
        <v>0</v>
      </c>
      <c r="X251" s="744">
        <f t="shared" si="1118"/>
        <v>0</v>
      </c>
      <c r="Y251" s="744">
        <f t="shared" ref="Y251:AA251" si="1119">Y249+Y250</f>
        <v>1</v>
      </c>
      <c r="Z251" s="744">
        <f t="shared" si="1119"/>
        <v>0</v>
      </c>
      <c r="AA251" s="744">
        <f t="shared" si="1119"/>
        <v>0</v>
      </c>
      <c r="AB251" s="744">
        <f t="shared" ref="AB251:AR251" si="1120">AB249+AB250</f>
        <v>0</v>
      </c>
      <c r="AC251" s="744">
        <f t="shared" si="1120"/>
        <v>3</v>
      </c>
      <c r="AD251" s="744">
        <f t="shared" si="1120"/>
        <v>0</v>
      </c>
      <c r="AE251" s="744">
        <f t="shared" si="1120"/>
        <v>1</v>
      </c>
      <c r="AF251" s="744">
        <f t="shared" si="1120"/>
        <v>0</v>
      </c>
      <c r="AG251" s="744">
        <f t="shared" si="1120"/>
        <v>5</v>
      </c>
      <c r="AH251" s="744">
        <f t="shared" si="1120"/>
        <v>0</v>
      </c>
      <c r="AI251" s="744">
        <f t="shared" si="1120"/>
        <v>0</v>
      </c>
      <c r="AJ251" s="744">
        <f t="shared" si="1120"/>
        <v>0</v>
      </c>
      <c r="AK251" s="744">
        <f t="shared" si="1120"/>
        <v>1</v>
      </c>
      <c r="AL251" s="744">
        <f t="shared" si="1120"/>
        <v>0</v>
      </c>
      <c r="AM251" s="744">
        <f t="shared" si="1120"/>
        <v>0</v>
      </c>
      <c r="AN251" s="744">
        <f t="shared" si="1120"/>
        <v>0</v>
      </c>
      <c r="AO251" s="744">
        <f t="shared" si="1120"/>
        <v>0</v>
      </c>
      <c r="AP251" s="744">
        <f t="shared" si="1120"/>
        <v>0</v>
      </c>
      <c r="AQ251" s="744">
        <f t="shared" si="1120"/>
        <v>0</v>
      </c>
      <c r="AR251" s="744">
        <f t="shared" si="1120"/>
        <v>0</v>
      </c>
    </row>
    <row r="252" spans="1:44" x14ac:dyDescent="0.25">
      <c r="B252" s="743"/>
      <c r="C252" s="743"/>
      <c r="D252" s="743"/>
      <c r="E252" s="743"/>
      <c r="F252" s="743"/>
      <c r="G252" s="743"/>
      <c r="H252" s="743"/>
      <c r="I252" s="743"/>
      <c r="J252" s="743"/>
      <c r="K252" s="743"/>
      <c r="L252" s="743"/>
      <c r="M252" s="743"/>
      <c r="O252" s="743"/>
      <c r="P252" s="743"/>
      <c r="Q252" s="743"/>
      <c r="R252" s="743"/>
      <c r="S252" s="743"/>
      <c r="T252" s="743"/>
      <c r="U252" s="743"/>
      <c r="V252" s="743"/>
      <c r="W252" s="743"/>
      <c r="X252" s="743"/>
      <c r="Y252" s="743"/>
      <c r="Z252" s="743"/>
      <c r="AA252" s="743"/>
      <c r="AB252" s="743"/>
      <c r="AC252" s="743"/>
      <c r="AD252" s="743"/>
      <c r="AE252" s="743"/>
      <c r="AF252" s="743"/>
      <c r="AG252" s="743"/>
      <c r="AH252" s="743"/>
      <c r="AI252" s="743"/>
      <c r="AJ252" s="743"/>
      <c r="AK252" s="743"/>
      <c r="AL252" s="743"/>
      <c r="AM252" s="743"/>
      <c r="AN252" s="743"/>
      <c r="AO252" s="743"/>
      <c r="AP252" s="743"/>
      <c r="AQ252" s="743"/>
      <c r="AR252" s="743"/>
    </row>
    <row r="253" spans="1:44" s="686" customFormat="1" x14ac:dyDescent="0.25">
      <c r="A253" s="617">
        <v>6</v>
      </c>
      <c r="B253" s="744" t="s">
        <v>582</v>
      </c>
      <c r="C253" s="744">
        <f>C235+C239+C243+C247+C251</f>
        <v>1158</v>
      </c>
      <c r="D253" s="744">
        <f>D235+D239+D243+D247+D251</f>
        <v>1163</v>
      </c>
      <c r="E253" s="744">
        <f>E235+E239+E243+E247+E251</f>
        <v>2748</v>
      </c>
      <c r="F253" s="744">
        <f>F235+F239+F243+F247+F251</f>
        <v>1368</v>
      </c>
      <c r="G253" s="744">
        <f t="shared" ref="G253:M253" si="1121">G235+G239+G243+G247+G251</f>
        <v>696</v>
      </c>
      <c r="H253" s="744">
        <f t="shared" si="1121"/>
        <v>914</v>
      </c>
      <c r="I253" s="744">
        <f t="shared" si="1121"/>
        <v>941</v>
      </c>
      <c r="J253" s="744">
        <f t="shared" si="1121"/>
        <v>818</v>
      </c>
      <c r="K253" s="744">
        <f t="shared" si="1121"/>
        <v>738</v>
      </c>
      <c r="L253" s="744">
        <f t="shared" si="1121"/>
        <v>830</v>
      </c>
      <c r="M253" s="744">
        <f t="shared" si="1121"/>
        <v>830</v>
      </c>
      <c r="O253" s="744">
        <f t="shared" ref="O253" si="1122">O235+O239+O243+O247+O251</f>
        <v>174</v>
      </c>
      <c r="P253" s="744">
        <f t="shared" ref="P253" si="1123">P235+P239+P243+P247+P251</f>
        <v>292</v>
      </c>
      <c r="Q253" s="744">
        <f t="shared" ref="Q253" si="1124">Q235+Q239+Q243+Q247+Q251</f>
        <v>254</v>
      </c>
      <c r="R253" s="744">
        <f t="shared" ref="R253:S253" si="1125">R235+R239+R243+R247+R251</f>
        <v>300</v>
      </c>
      <c r="S253" s="744">
        <f t="shared" si="1125"/>
        <v>289</v>
      </c>
      <c r="T253" s="744">
        <f t="shared" ref="T253:U253" si="1126">T235+T239+T243+T247+T251</f>
        <v>315</v>
      </c>
      <c r="U253" s="744">
        <f t="shared" si="1126"/>
        <v>199</v>
      </c>
      <c r="V253" s="744">
        <f t="shared" ref="V253" si="1127">V235+V239+V243+V247+V251</f>
        <v>268</v>
      </c>
      <c r="W253" s="744">
        <f t="shared" ref="W253:X253" si="1128">W235+W239+W243+W247+W251</f>
        <v>264</v>
      </c>
      <c r="X253" s="744">
        <f t="shared" si="1128"/>
        <v>432</v>
      </c>
      <c r="Y253" s="744">
        <f t="shared" ref="Y253:AA253" si="1129">Y235+Y239+Y243+Y247+Y251</f>
        <v>430</v>
      </c>
      <c r="Z253" s="744">
        <f t="shared" si="1129"/>
        <v>623</v>
      </c>
      <c r="AA253" s="744">
        <f t="shared" si="1129"/>
        <v>850</v>
      </c>
      <c r="AB253" s="744">
        <f t="shared" ref="AB253:AR253" si="1130">AB235+AB239+AB243+AB247+AB251</f>
        <v>845</v>
      </c>
      <c r="AC253" s="744">
        <f t="shared" si="1130"/>
        <v>441</v>
      </c>
      <c r="AD253" s="744">
        <f t="shared" si="1130"/>
        <v>338</v>
      </c>
      <c r="AE253" s="744">
        <f t="shared" si="1130"/>
        <v>284</v>
      </c>
      <c r="AF253" s="744">
        <f t="shared" si="1130"/>
        <v>305</v>
      </c>
      <c r="AG253" s="744">
        <f t="shared" si="1130"/>
        <v>270</v>
      </c>
      <c r="AH253" s="744">
        <f t="shared" si="1130"/>
        <v>134</v>
      </c>
      <c r="AI253" s="744">
        <f t="shared" si="1130"/>
        <v>72</v>
      </c>
      <c r="AJ253" s="744">
        <f t="shared" si="1130"/>
        <v>220</v>
      </c>
      <c r="AK253" s="744">
        <f t="shared" si="1130"/>
        <v>185</v>
      </c>
      <c r="AL253" s="744">
        <f t="shared" si="1130"/>
        <v>329</v>
      </c>
      <c r="AM253" s="744">
        <f t="shared" si="1130"/>
        <v>319</v>
      </c>
      <c r="AN253" s="744">
        <f t="shared" si="1130"/>
        <v>337</v>
      </c>
      <c r="AO253" s="744">
        <f t="shared" si="1130"/>
        <v>81</v>
      </c>
      <c r="AP253" s="744">
        <f t="shared" si="1130"/>
        <v>301</v>
      </c>
      <c r="AQ253" s="744">
        <f t="shared" si="1130"/>
        <v>259</v>
      </c>
      <c r="AR253" s="744">
        <f t="shared" si="1130"/>
        <v>217</v>
      </c>
    </row>
    <row r="254" spans="1:44" x14ac:dyDescent="0.25">
      <c r="B254" s="695" t="s">
        <v>113</v>
      </c>
      <c r="C254" s="589">
        <f t="shared" ref="C254" si="1131">C71-C69-C253</f>
        <v>0</v>
      </c>
      <c r="D254" s="589">
        <f t="shared" ref="D254:E254" si="1132">D71-D69-D253</f>
        <v>0</v>
      </c>
      <c r="E254" s="589">
        <f t="shared" si="1132"/>
        <v>0</v>
      </c>
      <c r="F254" s="589">
        <f t="shared" ref="F254:M254" si="1133">F71-F69-F253</f>
        <v>0</v>
      </c>
      <c r="G254" s="589">
        <f t="shared" si="1133"/>
        <v>0</v>
      </c>
      <c r="H254" s="589">
        <f t="shared" si="1133"/>
        <v>0</v>
      </c>
      <c r="I254" s="589">
        <f t="shared" si="1133"/>
        <v>0</v>
      </c>
      <c r="J254" s="589">
        <f t="shared" si="1133"/>
        <v>0</v>
      </c>
      <c r="K254" s="589">
        <f t="shared" si="1133"/>
        <v>0</v>
      </c>
      <c r="L254" s="589">
        <f t="shared" si="1133"/>
        <v>0</v>
      </c>
      <c r="M254" s="589">
        <f t="shared" si="1133"/>
        <v>0</v>
      </c>
      <c r="O254" s="589">
        <f>O71-O69-O253</f>
        <v>0</v>
      </c>
      <c r="P254" s="589">
        <f>P71-P69-P253</f>
        <v>0</v>
      </c>
      <c r="Q254" s="589">
        <f t="shared" ref="Q254" si="1134">Q71-Q69-Q253</f>
        <v>0</v>
      </c>
      <c r="R254" s="589">
        <f>R71-R69-R253</f>
        <v>0</v>
      </c>
      <c r="S254" s="589">
        <f>S71-S69-S253</f>
        <v>0</v>
      </c>
      <c r="T254" s="589">
        <f>T71-T69-T253</f>
        <v>0</v>
      </c>
      <c r="U254" s="589">
        <f t="shared" ref="U254" si="1135">U71-U69-U253</f>
        <v>0</v>
      </c>
      <c r="V254" s="589">
        <f>V71-V69-V253</f>
        <v>0</v>
      </c>
      <c r="W254" s="589">
        <f>W71-W69-W253</f>
        <v>0</v>
      </c>
      <c r="X254" s="589">
        <f>X71-X69-X253</f>
        <v>0</v>
      </c>
      <c r="Y254" s="589">
        <f t="shared" ref="Y254:AA254" si="1136">Y71-Y69-Y253</f>
        <v>0</v>
      </c>
      <c r="Z254" s="589">
        <f t="shared" si="1136"/>
        <v>0</v>
      </c>
      <c r="AA254" s="589">
        <f t="shared" si="1136"/>
        <v>0</v>
      </c>
      <c r="AB254" s="589">
        <f>AB71-AB69-AB253</f>
        <v>0</v>
      </c>
      <c r="AC254" s="589">
        <f t="shared" ref="AC254:AR254" si="1137">AC71-AC69-AC253</f>
        <v>0</v>
      </c>
      <c r="AD254" s="589">
        <f t="shared" si="1137"/>
        <v>0</v>
      </c>
      <c r="AE254" s="589">
        <f t="shared" si="1137"/>
        <v>0</v>
      </c>
      <c r="AF254" s="589">
        <f t="shared" si="1137"/>
        <v>0</v>
      </c>
      <c r="AG254" s="589">
        <f t="shared" si="1137"/>
        <v>0</v>
      </c>
      <c r="AH254" s="589">
        <f t="shared" si="1137"/>
        <v>0</v>
      </c>
      <c r="AI254" s="589">
        <f t="shared" si="1137"/>
        <v>0</v>
      </c>
      <c r="AJ254" s="589">
        <f t="shared" si="1137"/>
        <v>0</v>
      </c>
      <c r="AK254" s="589">
        <f t="shared" si="1137"/>
        <v>0</v>
      </c>
      <c r="AL254" s="589">
        <f t="shared" si="1137"/>
        <v>0</v>
      </c>
      <c r="AM254" s="589">
        <f t="shared" si="1137"/>
        <v>0</v>
      </c>
      <c r="AN254" s="589">
        <f t="shared" si="1137"/>
        <v>0</v>
      </c>
      <c r="AO254" s="589">
        <f t="shared" si="1137"/>
        <v>0</v>
      </c>
      <c r="AP254" s="589">
        <f t="shared" si="1137"/>
        <v>0</v>
      </c>
      <c r="AQ254" s="589">
        <f t="shared" si="1137"/>
        <v>0</v>
      </c>
      <c r="AR254" s="589">
        <f t="shared" si="1137"/>
        <v>0</v>
      </c>
    </row>
    <row r="255" spans="1:44" x14ac:dyDescent="0.25">
      <c r="B255" s="692"/>
      <c r="C255" s="694"/>
      <c r="D255" s="694"/>
      <c r="E255" s="694"/>
      <c r="F255" s="694"/>
      <c r="G255" s="694"/>
      <c r="H255" s="694"/>
      <c r="I255" s="694"/>
      <c r="J255" s="694"/>
      <c r="K255" s="694"/>
      <c r="L255" s="694"/>
      <c r="M255" s="694"/>
      <c r="N255" s="593">
        <f>X243*4</f>
        <v>-244</v>
      </c>
    </row>
    <row r="256" spans="1:44" x14ac:dyDescent="0.25">
      <c r="B256" s="692"/>
      <c r="C256" s="746"/>
      <c r="D256" s="746"/>
      <c r="E256" s="746"/>
      <c r="F256" s="746"/>
      <c r="G256" s="746"/>
      <c r="H256" s="746"/>
      <c r="I256" s="746"/>
      <c r="J256" s="746"/>
      <c r="K256" s="746"/>
      <c r="L256" s="746"/>
      <c r="M256" s="746"/>
      <c r="N256" s="593">
        <f>X145-X140</f>
        <v>3424</v>
      </c>
    </row>
    <row r="257" spans="2:36" x14ac:dyDescent="0.25">
      <c r="B257" s="684" t="s">
        <v>808</v>
      </c>
      <c r="C257" s="615">
        <f t="shared" ref="C257:H257" si="1138">C69</f>
        <v>205</v>
      </c>
      <c r="D257" s="615">
        <f t="shared" si="1138"/>
        <v>432</v>
      </c>
      <c r="E257" s="615">
        <f t="shared" si="1138"/>
        <v>-723</v>
      </c>
      <c r="F257" s="615">
        <f t="shared" si="1138"/>
        <v>-303</v>
      </c>
      <c r="G257" s="615">
        <f t="shared" si="1138"/>
        <v>108</v>
      </c>
      <c r="H257" s="615">
        <f t="shared" si="1138"/>
        <v>78</v>
      </c>
      <c r="N257" s="865">
        <f>N255/N256</f>
        <v>-7.1261682242990648E-2</v>
      </c>
      <c r="O257" s="615">
        <f>O69</f>
        <v>57</v>
      </c>
      <c r="P257" s="615">
        <f>P69</f>
        <v>-140</v>
      </c>
      <c r="R257" s="615">
        <f>R69</f>
        <v>96</v>
      </c>
      <c r="S257" s="615">
        <f>S69</f>
        <v>-13</v>
      </c>
      <c r="T257" s="615">
        <f>T69</f>
        <v>-36</v>
      </c>
      <c r="V257" s="615">
        <f>V69</f>
        <v>139</v>
      </c>
      <c r="W257" s="615">
        <f>W69</f>
        <v>127</v>
      </c>
      <c r="X257" s="615">
        <f>X69</f>
        <v>-50</v>
      </c>
      <c r="Z257" s="615">
        <f>Z69</f>
        <v>-17</v>
      </c>
      <c r="AA257" s="615">
        <f>AA69</f>
        <v>-223</v>
      </c>
      <c r="AB257" s="615">
        <f>AB69</f>
        <v>-520</v>
      </c>
      <c r="AD257" s="615">
        <f>AD69</f>
        <v>-65</v>
      </c>
      <c r="AE257" s="615">
        <f>AE69</f>
        <v>-42</v>
      </c>
      <c r="AF257" s="615">
        <f>AF69</f>
        <v>-99</v>
      </c>
    </row>
    <row r="258" spans="2:36" x14ac:dyDescent="0.25">
      <c r="J258" s="697"/>
      <c r="K258" s="697">
        <f>47547</f>
        <v>47547</v>
      </c>
      <c r="L258" s="697"/>
      <c r="M258" s="697"/>
      <c r="N258" s="698"/>
      <c r="Y258" s="697"/>
      <c r="Z258" s="697"/>
      <c r="AA258" s="697"/>
      <c r="AC258" s="697"/>
      <c r="AD258" s="697"/>
      <c r="AE258" s="697"/>
    </row>
    <row r="259" spans="2:36" x14ac:dyDescent="0.25">
      <c r="B259" s="684" t="s">
        <v>809</v>
      </c>
      <c r="H259" s="699"/>
      <c r="I259" s="699"/>
      <c r="J259" s="699"/>
      <c r="K259" s="699">
        <f>3.34</f>
        <v>3.34</v>
      </c>
      <c r="L259" s="699"/>
      <c r="M259" s="699"/>
      <c r="N259" s="700"/>
      <c r="O259" s="699"/>
      <c r="P259" s="699"/>
      <c r="Q259" s="699"/>
      <c r="R259" s="699"/>
      <c r="S259" s="699"/>
      <c r="T259" s="699"/>
      <c r="U259" s="699"/>
      <c r="V259" s="699"/>
      <c r="W259" s="699"/>
      <c r="X259" s="699"/>
      <c r="Y259" s="699"/>
      <c r="Z259" s="699"/>
      <c r="AA259" s="699"/>
      <c r="AB259" s="699"/>
      <c r="AC259" s="699"/>
      <c r="AD259" s="699"/>
      <c r="AE259" s="699"/>
      <c r="AF259" s="699"/>
      <c r="AG259" s="699"/>
    </row>
    <row r="260" spans="2:36" x14ac:dyDescent="0.25">
      <c r="B260" s="684" t="s">
        <v>810</v>
      </c>
      <c r="H260" s="699"/>
      <c r="I260" s="699"/>
      <c r="J260" s="699"/>
      <c r="K260" s="699">
        <f>K258/K259</f>
        <v>14235.628742514971</v>
      </c>
      <c r="L260" s="699"/>
      <c r="M260" s="699"/>
      <c r="N260" s="700"/>
      <c r="O260" s="699"/>
      <c r="P260" s="699"/>
      <c r="Q260" s="699"/>
      <c r="R260" s="699"/>
      <c r="S260" s="699"/>
      <c r="T260" s="699"/>
      <c r="U260" s="699"/>
      <c r="V260" s="699"/>
      <c r="W260" s="699"/>
      <c r="X260" s="699"/>
      <c r="Y260" s="699"/>
      <c r="Z260" s="699"/>
      <c r="AA260" s="699"/>
      <c r="AB260" s="699"/>
      <c r="AC260" s="699"/>
      <c r="AD260" s="699"/>
      <c r="AE260" s="699"/>
      <c r="AF260" s="699"/>
      <c r="AG260" s="699"/>
    </row>
    <row r="261" spans="2:36" x14ac:dyDescent="0.25">
      <c r="H261" s="699"/>
      <c r="I261" s="699"/>
      <c r="J261" s="699"/>
      <c r="K261" s="740">
        <v>2022</v>
      </c>
      <c r="L261" s="740">
        <v>2023</v>
      </c>
      <c r="M261" s="740">
        <v>2024</v>
      </c>
      <c r="N261" s="741">
        <v>2025</v>
      </c>
      <c r="O261" s="699"/>
      <c r="P261" s="699"/>
      <c r="Q261" s="699"/>
      <c r="R261" s="699"/>
      <c r="S261" s="699"/>
      <c r="T261" s="699"/>
      <c r="U261" s="699"/>
      <c r="V261" s="699"/>
      <c r="W261" s="699"/>
      <c r="X261" s="699"/>
      <c r="Y261" s="699"/>
      <c r="Z261" s="699"/>
      <c r="AA261" s="699"/>
      <c r="AB261" s="699"/>
      <c r="AC261" s="699"/>
      <c r="AD261" s="699"/>
      <c r="AE261" s="699"/>
      <c r="AF261" s="699"/>
      <c r="AG261" s="699"/>
    </row>
    <row r="262" spans="2:36" x14ac:dyDescent="0.25">
      <c r="B262" s="684" t="s">
        <v>37</v>
      </c>
      <c r="H262" s="699"/>
      <c r="I262" s="699"/>
      <c r="J262" s="699"/>
      <c r="K262" s="806">
        <v>0.25</v>
      </c>
      <c r="L262" s="806">
        <f>1+K262</f>
        <v>1.25</v>
      </c>
      <c r="M262" s="806">
        <f t="shared" ref="M262:N262" si="1139">1+L262</f>
        <v>2.25</v>
      </c>
      <c r="N262" s="806">
        <f t="shared" si="1139"/>
        <v>3.25</v>
      </c>
      <c r="O262" s="699"/>
      <c r="P262" s="699"/>
      <c r="Q262" s="699">
        <v>4.5</v>
      </c>
      <c r="R262" s="699"/>
      <c r="S262" s="699"/>
      <c r="T262" s="699"/>
      <c r="U262" s="699">
        <v>4.5</v>
      </c>
      <c r="V262" s="699"/>
      <c r="W262" s="699"/>
      <c r="X262" s="699"/>
      <c r="Y262" s="699">
        <v>4.5</v>
      </c>
      <c r="Z262" s="699"/>
      <c r="AA262" s="699"/>
      <c r="AB262" s="699"/>
      <c r="AC262" s="701">
        <v>4.5</v>
      </c>
      <c r="AD262" s="699"/>
      <c r="AE262" s="699"/>
      <c r="AF262" s="699"/>
      <c r="AG262" s="699"/>
    </row>
    <row r="263" spans="2:36" x14ac:dyDescent="0.25">
      <c r="B263" s="684" t="s">
        <v>269</v>
      </c>
      <c r="H263" s="699"/>
      <c r="I263" s="699"/>
      <c r="J263" s="699" t="s">
        <v>582</v>
      </c>
      <c r="K263" s="593">
        <f>845*4*1.1</f>
        <v>3718.0000000000005</v>
      </c>
      <c r="L263" s="593">
        <v>2400</v>
      </c>
      <c r="M263" s="593">
        <v>1400</v>
      </c>
      <c r="N263" s="593">
        <v>1300</v>
      </c>
      <c r="O263" s="699"/>
      <c r="P263" s="699"/>
      <c r="Q263" s="699">
        <v>1250</v>
      </c>
      <c r="R263" s="699"/>
      <c r="S263" s="699"/>
      <c r="T263" s="699"/>
      <c r="U263" s="699">
        <v>1250</v>
      </c>
      <c r="V263" s="699"/>
      <c r="W263" s="699"/>
      <c r="X263" s="699"/>
      <c r="Y263" s="699">
        <v>1250</v>
      </c>
      <c r="Z263" s="699"/>
      <c r="AA263" s="699"/>
      <c r="AB263" s="699"/>
      <c r="AC263" s="593">
        <v>1250</v>
      </c>
      <c r="AD263" s="699"/>
      <c r="AE263" s="699"/>
      <c r="AF263" s="699"/>
      <c r="AG263" s="699"/>
    </row>
    <row r="264" spans="2:36" x14ac:dyDescent="0.25">
      <c r="H264" s="699"/>
      <c r="I264" s="34" t="s">
        <v>864</v>
      </c>
      <c r="J264" s="34"/>
      <c r="K264" s="699">
        <f>K263-$K$268</f>
        <v>3268.0000000000005</v>
      </c>
      <c r="L264" s="699">
        <f t="shared" ref="L264:AC264" si="1140">L263-$K$268</f>
        <v>1950</v>
      </c>
      <c r="M264" s="699">
        <f t="shared" si="1140"/>
        <v>950</v>
      </c>
      <c r="N264" s="699">
        <f t="shared" si="1140"/>
        <v>850</v>
      </c>
      <c r="O264" s="699"/>
      <c r="P264" s="699"/>
      <c r="Q264" s="699">
        <f t="shared" si="1140"/>
        <v>800</v>
      </c>
      <c r="R264" s="699"/>
      <c r="S264" s="699"/>
      <c r="T264" s="699"/>
      <c r="U264" s="699">
        <f t="shared" ref="U264" si="1141">U263-$K$268</f>
        <v>800</v>
      </c>
      <c r="V264" s="699"/>
      <c r="W264" s="699"/>
      <c r="X264" s="699"/>
      <c r="Y264" s="699">
        <f t="shared" ref="Y264" si="1142">Y263-$K$268</f>
        <v>800</v>
      </c>
      <c r="Z264" s="699"/>
      <c r="AA264" s="699"/>
      <c r="AB264" s="699"/>
      <c r="AC264" s="699">
        <f t="shared" si="1140"/>
        <v>800</v>
      </c>
      <c r="AD264" s="699"/>
      <c r="AE264" s="699"/>
      <c r="AF264" s="699"/>
      <c r="AG264" s="699"/>
      <c r="AJ264" s="696"/>
    </row>
    <row r="265" spans="2:36" x14ac:dyDescent="0.25">
      <c r="B265" s="684" t="s">
        <v>811</v>
      </c>
      <c r="H265" s="699">
        <f>AB253</f>
        <v>845</v>
      </c>
      <c r="I265" s="699"/>
      <c r="J265" s="702">
        <v>8.5000000000000006E-2</v>
      </c>
      <c r="K265" s="699">
        <f>K264/(1+$J$265)^K262</f>
        <v>3202.0242253834003</v>
      </c>
      <c r="L265" s="699">
        <f>L264/(1+$J$265)^L262</f>
        <v>1760.9516776273852</v>
      </c>
      <c r="M265" s="699">
        <f>M264/(1+$J$265)^M262</f>
        <v>790.6908159026425</v>
      </c>
      <c r="N265" s="699">
        <f>N264/(1+$J$265)^N262</f>
        <v>652.03705410356167</v>
      </c>
      <c r="O265" s="699"/>
      <c r="P265" s="699"/>
      <c r="Q265" s="699" t="e">
        <f>Q264/(#REF!-#REF!)/(1+#REF!)^3.75</f>
        <v>#REF!</v>
      </c>
      <c r="R265" s="699"/>
      <c r="S265" s="699"/>
      <c r="T265" s="699"/>
      <c r="U265" s="699" t="e">
        <f>U264/(A265-A266)/(1+A265)^3.75</f>
        <v>#DIV/0!</v>
      </c>
      <c r="V265" s="699"/>
      <c r="W265" s="699"/>
      <c r="X265" s="699"/>
      <c r="Y265" s="699" t="e">
        <f>Y264/(F265-F266)/(1+F265)^3.75</f>
        <v>#DIV/0!</v>
      </c>
      <c r="Z265" s="699" t="e">
        <f>SUM(G265:Y265)-A265</f>
        <v>#REF!</v>
      </c>
      <c r="AA265" s="699"/>
      <c r="AB265" s="699"/>
      <c r="AC265" s="699">
        <f>AC264/(J265-J266)/(1+J265)^3.75</f>
        <v>9063.9001408758777</v>
      </c>
      <c r="AD265" s="699" t="e">
        <f>SUM(K265:AC265)-H265</f>
        <v>#REF!</v>
      </c>
      <c r="AE265" s="699"/>
      <c r="AF265" s="699"/>
      <c r="AG265" s="699"/>
      <c r="AJ265" s="705"/>
    </row>
    <row r="266" spans="2:36" x14ac:dyDescent="0.25">
      <c r="H266" s="699"/>
      <c r="I266" s="699"/>
      <c r="J266" s="702">
        <v>0.02</v>
      </c>
      <c r="K266" s="699"/>
      <c r="L266" s="699"/>
      <c r="M266" s="699"/>
      <c r="N266" s="700"/>
      <c r="O266" s="699"/>
      <c r="P266" s="699"/>
      <c r="Q266" s="699"/>
      <c r="R266" s="699"/>
      <c r="S266" s="699"/>
      <c r="T266" s="699"/>
      <c r="U266" s="699"/>
      <c r="V266" s="699"/>
      <c r="W266" s="699"/>
      <c r="X266" s="699"/>
      <c r="Y266" s="703"/>
      <c r="Z266" s="703">
        <v>3.36</v>
      </c>
      <c r="AA266" s="699"/>
      <c r="AB266" s="699"/>
      <c r="AC266" s="699"/>
      <c r="AD266" s="703">
        <v>3.36</v>
      </c>
      <c r="AE266" s="699"/>
      <c r="AF266" s="699"/>
      <c r="AG266" s="699"/>
    </row>
    <row r="267" spans="2:36" x14ac:dyDescent="0.25">
      <c r="H267" s="699"/>
      <c r="I267" s="699"/>
      <c r="J267" s="699"/>
      <c r="K267" s="699"/>
      <c r="L267" s="699"/>
      <c r="M267" s="699"/>
      <c r="N267" s="700"/>
      <c r="O267" s="699"/>
      <c r="P267" s="699"/>
      <c r="Q267" s="699"/>
      <c r="R267" s="699"/>
      <c r="S267" s="699"/>
      <c r="T267" s="699"/>
      <c r="U267" s="699"/>
      <c r="V267" s="699"/>
      <c r="W267" s="699"/>
      <c r="X267" s="699"/>
      <c r="Y267" s="699"/>
      <c r="Z267" s="699" t="e">
        <f>Z265*Z266+G269</f>
        <v>#REF!</v>
      </c>
      <c r="AA267" s="699"/>
      <c r="AB267" s="699"/>
      <c r="AC267" s="699"/>
      <c r="AD267" s="699" t="e">
        <f>AD265*AD266+K269</f>
        <v>#REF!</v>
      </c>
      <c r="AE267" s="699"/>
      <c r="AF267" s="699"/>
      <c r="AG267" s="699"/>
    </row>
    <row r="268" spans="2:36" x14ac:dyDescent="0.25">
      <c r="H268" s="704" t="s">
        <v>833</v>
      </c>
      <c r="I268" s="699"/>
      <c r="J268" s="699"/>
      <c r="K268" s="699">
        <v>450</v>
      </c>
      <c r="L268" s="699"/>
      <c r="M268" s="699"/>
      <c r="N268" s="700"/>
      <c r="O268" s="699"/>
      <c r="P268" s="699"/>
      <c r="Q268" s="699"/>
      <c r="R268" s="699"/>
      <c r="S268" s="699"/>
      <c r="T268" s="699"/>
      <c r="U268" s="699"/>
      <c r="V268" s="699"/>
      <c r="W268" s="699"/>
      <c r="X268" s="699"/>
      <c r="Y268" s="806"/>
      <c r="Z268" s="806">
        <f>Z266</f>
        <v>3.36</v>
      </c>
      <c r="AA268" s="699"/>
      <c r="AB268" s="699"/>
      <c r="AC268" s="699"/>
      <c r="AD268" s="806">
        <f>AD266</f>
        <v>3.36</v>
      </c>
      <c r="AE268" s="699"/>
      <c r="AF268" s="699"/>
      <c r="AG268" s="699"/>
    </row>
    <row r="269" spans="2:36" x14ac:dyDescent="0.25">
      <c r="H269" s="699" t="s">
        <v>586</v>
      </c>
      <c r="I269" s="699"/>
      <c r="J269" s="699"/>
      <c r="K269" s="699">
        <v>500</v>
      </c>
      <c r="L269" s="699"/>
      <c r="M269" s="699"/>
      <c r="N269" s="700"/>
      <c r="O269" s="699"/>
      <c r="P269" s="699"/>
      <c r="Q269" s="699"/>
      <c r="R269" s="699"/>
      <c r="S269" s="699"/>
      <c r="T269" s="699"/>
      <c r="U269" s="699"/>
      <c r="V269" s="699"/>
      <c r="W269" s="699"/>
      <c r="X269" s="699"/>
      <c r="Y269" s="699"/>
      <c r="Z269" s="699" t="e">
        <f>Z267/Z268</f>
        <v>#REF!</v>
      </c>
      <c r="AA269" s="699"/>
      <c r="AB269" s="699"/>
      <c r="AC269" s="699"/>
      <c r="AD269" s="699" t="e">
        <f>AD267/AD268</f>
        <v>#REF!</v>
      </c>
      <c r="AE269" s="699"/>
      <c r="AF269" s="699"/>
      <c r="AG269" s="699"/>
    </row>
    <row r="270" spans="2:36" ht="15.75" thickBot="1" x14ac:dyDescent="0.3">
      <c r="H270" s="699"/>
      <c r="I270" s="699"/>
      <c r="J270" s="699"/>
      <c r="K270" s="699"/>
      <c r="L270" s="699"/>
      <c r="M270" s="699"/>
      <c r="N270" s="700"/>
      <c r="O270" s="699"/>
      <c r="P270" s="699"/>
      <c r="Q270" s="699"/>
      <c r="R270" s="699"/>
      <c r="S270" s="699"/>
      <c r="T270" s="699"/>
      <c r="U270" s="699"/>
      <c r="V270" s="699"/>
      <c r="W270" s="699"/>
      <c r="X270" s="699"/>
      <c r="Y270" s="699"/>
      <c r="Z270" s="699"/>
      <c r="AA270" s="699"/>
      <c r="AB270" s="699"/>
      <c r="AC270" s="699"/>
      <c r="AD270" s="699"/>
      <c r="AE270" s="699"/>
      <c r="AF270" s="699"/>
      <c r="AG270" s="699"/>
    </row>
    <row r="271" spans="2:36" ht="15.75" thickTop="1" x14ac:dyDescent="0.25">
      <c r="H271" s="27" t="s">
        <v>876</v>
      </c>
      <c r="I271" s="27"/>
      <c r="J271" s="27"/>
      <c r="K271" s="27"/>
      <c r="L271" s="27"/>
      <c r="M271" s="27"/>
      <c r="N271" s="700"/>
      <c r="O271" s="699"/>
      <c r="P271" s="699"/>
      <c r="Q271" s="699"/>
      <c r="R271" s="699"/>
      <c r="S271" s="699"/>
      <c r="T271" s="699"/>
      <c r="U271" s="699"/>
      <c r="V271" s="699"/>
      <c r="W271" s="699"/>
      <c r="X271" s="699"/>
      <c r="Y271" s="699"/>
      <c r="Z271" s="699"/>
      <c r="AA271" s="699"/>
      <c r="AB271" s="699"/>
      <c r="AC271" s="699"/>
      <c r="AD271" s="699"/>
      <c r="AE271" s="699"/>
      <c r="AF271" s="699"/>
      <c r="AG271" s="699"/>
    </row>
    <row r="272" spans="2:36" x14ac:dyDescent="0.25">
      <c r="H272" s="807" t="s">
        <v>293</v>
      </c>
      <c r="I272" s="807" t="s">
        <v>609</v>
      </c>
      <c r="J272" s="807" t="s">
        <v>610</v>
      </c>
      <c r="K272" s="807" t="s">
        <v>891</v>
      </c>
      <c r="L272" s="807" t="s">
        <v>612</v>
      </c>
      <c r="M272" s="807" t="s">
        <v>613</v>
      </c>
      <c r="N272" s="700"/>
      <c r="O272" s="699"/>
      <c r="P272" s="699"/>
      <c r="Q272" s="699"/>
      <c r="R272" s="699"/>
      <c r="S272" s="699"/>
      <c r="T272" s="699"/>
      <c r="U272" s="699"/>
      <c r="V272" s="699"/>
      <c r="W272" s="699"/>
      <c r="X272" s="699"/>
      <c r="AA272" s="699"/>
      <c r="AB272" s="699"/>
      <c r="AC272" s="699"/>
      <c r="AE272" s="699"/>
      <c r="AF272" s="699"/>
      <c r="AG272" s="699"/>
    </row>
    <row r="273" spans="3:33" x14ac:dyDescent="0.25">
      <c r="H273" s="744" t="s">
        <v>24</v>
      </c>
      <c r="I273" s="699">
        <v>300</v>
      </c>
      <c r="J273" s="699">
        <v>1600</v>
      </c>
      <c r="K273" s="699">
        <v>1625</v>
      </c>
      <c r="L273" s="699">
        <v>1630</v>
      </c>
      <c r="M273" s="699">
        <v>1642.9</v>
      </c>
      <c r="N273" s="700"/>
      <c r="O273" s="699"/>
      <c r="P273" s="699"/>
      <c r="Q273" s="699"/>
      <c r="R273" s="699"/>
      <c r="S273" s="699"/>
      <c r="T273" s="699"/>
      <c r="U273" s="699"/>
      <c r="V273" s="699"/>
      <c r="W273" s="699"/>
      <c r="X273" s="699"/>
      <c r="AA273" s="699"/>
      <c r="AB273" s="699"/>
      <c r="AC273" s="699"/>
      <c r="AE273" s="699"/>
      <c r="AF273" s="699"/>
      <c r="AG273" s="699"/>
    </row>
    <row r="274" spans="3:33" x14ac:dyDescent="0.25">
      <c r="H274" s="744" t="s">
        <v>802</v>
      </c>
      <c r="I274" s="699">
        <f>-50</f>
        <v>-50</v>
      </c>
      <c r="J274" s="699">
        <f>I274*1.03</f>
        <v>-51.5</v>
      </c>
      <c r="K274" s="699">
        <f>-209</f>
        <v>-209</v>
      </c>
      <c r="L274" s="699">
        <f>-215</f>
        <v>-215</v>
      </c>
      <c r="M274" s="699">
        <f>L274</f>
        <v>-215</v>
      </c>
      <c r="N274" s="700"/>
      <c r="O274" s="699"/>
      <c r="P274" s="699"/>
      <c r="Q274" s="699"/>
      <c r="R274" s="699"/>
      <c r="S274" s="699"/>
      <c r="T274" s="699"/>
      <c r="U274" s="699"/>
      <c r="V274" s="699"/>
      <c r="W274" s="699"/>
      <c r="X274" s="699"/>
      <c r="Y274" s="699"/>
      <c r="Z274" s="699"/>
      <c r="AA274" s="699"/>
      <c r="AB274" s="699"/>
      <c r="AC274" s="699"/>
      <c r="AD274" s="699"/>
      <c r="AE274" s="699"/>
      <c r="AF274" s="699"/>
      <c r="AG274" s="699"/>
    </row>
    <row r="275" spans="3:33" x14ac:dyDescent="0.25">
      <c r="C275" s="615" t="e">
        <f>F275/(F273+F274)</f>
        <v>#DIV/0!</v>
      </c>
      <c r="D275" s="615" t="e">
        <f>G275/(G273+G274)</f>
        <v>#DIV/0!</v>
      </c>
      <c r="E275" s="615" t="e">
        <f>H275/(H273+H274)</f>
        <v>#VALUE!</v>
      </c>
      <c r="F275" s="615">
        <v>-0.13</v>
      </c>
      <c r="H275" s="809" t="s">
        <v>587</v>
      </c>
      <c r="I275" s="810">
        <f>J275/4</f>
        <v>-50.326250000000002</v>
      </c>
      <c r="J275" s="810">
        <f>(J273+J274)*$F$275</f>
        <v>-201.30500000000001</v>
      </c>
      <c r="K275" s="810">
        <f>(K273+K274)*$F$275</f>
        <v>-184.08</v>
      </c>
      <c r="L275" s="810">
        <f>(L273+L274)*$F$275</f>
        <v>-183.95000000000002</v>
      </c>
      <c r="M275" s="810">
        <f>-(M273+M274)*15%</f>
        <v>-214.185</v>
      </c>
      <c r="N275" s="700"/>
      <c r="O275" s="699"/>
      <c r="P275" s="699"/>
      <c r="Q275" s="699"/>
      <c r="R275" s="699"/>
      <c r="S275" s="699"/>
      <c r="T275" s="699"/>
      <c r="U275" s="699"/>
      <c r="V275" s="699"/>
      <c r="W275" s="699"/>
      <c r="X275" s="699"/>
      <c r="Y275" s="699"/>
      <c r="Z275" s="699"/>
      <c r="AA275" s="699"/>
      <c r="AB275" s="699"/>
      <c r="AC275" s="699"/>
      <c r="AD275" s="699"/>
      <c r="AE275" s="699"/>
      <c r="AF275" s="699"/>
      <c r="AG275" s="699"/>
    </row>
    <row r="276" spans="3:33" x14ac:dyDescent="0.25">
      <c r="H276" s="811" t="s">
        <v>875</v>
      </c>
      <c r="I276" s="812">
        <f>I273+I274+I275</f>
        <v>199.67374999999998</v>
      </c>
      <c r="J276" s="812">
        <f>J273+J274+J275</f>
        <v>1347.1949999999999</v>
      </c>
      <c r="K276" s="812">
        <f>K273+K274+K275</f>
        <v>1231.92</v>
      </c>
      <c r="L276" s="812">
        <f>L273+L274+L275</f>
        <v>1231.05</v>
      </c>
      <c r="M276" s="812">
        <f>M273+M274+M275</f>
        <v>1213.7150000000001</v>
      </c>
      <c r="N276" s="700"/>
      <c r="O276" s="699"/>
      <c r="P276" s="699"/>
      <c r="Q276" s="699"/>
      <c r="R276" s="699"/>
      <c r="S276" s="699"/>
      <c r="T276" s="699"/>
      <c r="U276" s="699"/>
      <c r="V276" s="699"/>
      <c r="W276" s="699"/>
      <c r="X276" s="699"/>
      <c r="Y276" s="699"/>
      <c r="Z276" s="699"/>
      <c r="AA276" s="699"/>
      <c r="AB276" s="699"/>
      <c r="AC276" s="699"/>
      <c r="AD276" s="699"/>
      <c r="AE276" s="699"/>
      <c r="AF276" s="699"/>
      <c r="AG276" s="699"/>
    </row>
    <row r="277" spans="3:33" x14ac:dyDescent="0.25">
      <c r="H277" s="809" t="s">
        <v>271</v>
      </c>
      <c r="I277" s="810">
        <f>'DCF 1.6.2025'!AO40/4</f>
        <v>-186.75</v>
      </c>
      <c r="J277" s="810">
        <f>'DCF 1.6.2025'!AT40</f>
        <v>-780</v>
      </c>
      <c r="K277" s="810">
        <v>-525</v>
      </c>
      <c r="L277" s="810">
        <f>'DCF 1.6.2025'!BC40</f>
        <v>-710</v>
      </c>
      <c r="M277" s="810">
        <f t="shared" ref="M277" si="1143">L277</f>
        <v>-710</v>
      </c>
      <c r="N277" s="700"/>
      <c r="O277" s="699"/>
      <c r="P277" s="699"/>
      <c r="Q277" s="699"/>
      <c r="R277" s="699"/>
      <c r="S277" s="699"/>
      <c r="T277" s="699"/>
      <c r="U277" s="699"/>
      <c r="V277" s="699"/>
      <c r="W277" s="699"/>
      <c r="X277" s="699"/>
      <c r="Y277" s="699"/>
      <c r="Z277" s="699"/>
      <c r="AA277" s="699"/>
      <c r="AB277" s="699"/>
      <c r="AC277" s="699"/>
      <c r="AD277" s="699"/>
      <c r="AE277" s="699"/>
      <c r="AF277" s="699"/>
      <c r="AG277" s="699"/>
    </row>
    <row r="278" spans="3:33" ht="13.5" customHeight="1" x14ac:dyDescent="0.25">
      <c r="H278" s="811" t="s">
        <v>864</v>
      </c>
      <c r="I278" s="814">
        <f>I276+I277</f>
        <v>12.923749999999984</v>
      </c>
      <c r="J278" s="814">
        <f t="shared" ref="J278:M278" si="1144">J276+J277</f>
        <v>567.19499999999994</v>
      </c>
      <c r="K278" s="814">
        <f t="shared" si="1144"/>
        <v>706.92000000000007</v>
      </c>
      <c r="L278" s="814">
        <f t="shared" si="1144"/>
        <v>521.04999999999995</v>
      </c>
      <c r="M278" s="814">
        <f t="shared" si="1144"/>
        <v>503.71500000000015</v>
      </c>
      <c r="N278" s="700"/>
      <c r="O278" s="699"/>
      <c r="P278" s="699"/>
      <c r="Q278" s="699"/>
      <c r="R278" s="699"/>
      <c r="S278" s="699"/>
      <c r="T278" s="699"/>
      <c r="U278" s="699"/>
      <c r="V278" s="699"/>
      <c r="W278" s="699"/>
      <c r="X278" s="699"/>
      <c r="Y278" s="699"/>
      <c r="Z278" s="699"/>
      <c r="AA278" s="699"/>
      <c r="AB278" s="699"/>
      <c r="AC278" s="699"/>
      <c r="AD278" s="699"/>
      <c r="AE278" s="699"/>
      <c r="AF278" s="699"/>
      <c r="AG278" s="699"/>
    </row>
    <row r="279" spans="3:33" x14ac:dyDescent="0.25">
      <c r="H279" s="699"/>
      <c r="I279" s="806">
        <v>0.125</v>
      </c>
      <c r="J279" s="806">
        <v>0.75</v>
      </c>
      <c r="K279" s="806">
        <f t="shared" ref="K279:M279" si="1145">1+J279</f>
        <v>1.75</v>
      </c>
      <c r="L279" s="806">
        <f t="shared" si="1145"/>
        <v>2.75</v>
      </c>
      <c r="M279" s="806">
        <f t="shared" si="1145"/>
        <v>3.75</v>
      </c>
      <c r="N279" s="700"/>
      <c r="O279" s="699"/>
      <c r="P279" s="699"/>
      <c r="Q279" s="699"/>
      <c r="R279" s="699"/>
      <c r="S279" s="699"/>
      <c r="T279" s="699"/>
      <c r="U279" s="699"/>
      <c r="V279" s="699"/>
      <c r="W279" s="699"/>
      <c r="X279" s="699"/>
      <c r="Y279" s="699"/>
      <c r="Z279" s="699"/>
      <c r="AA279" s="699"/>
      <c r="AB279" s="699"/>
      <c r="AC279" s="699"/>
      <c r="AD279" s="699"/>
      <c r="AE279" s="699"/>
      <c r="AF279" s="699"/>
      <c r="AG279" s="699"/>
    </row>
    <row r="280" spans="3:33" x14ac:dyDescent="0.25">
      <c r="H280" s="699"/>
      <c r="I280" s="699">
        <f>I278/(1+$I$282)^I279</f>
        <v>12.777967624806459</v>
      </c>
      <c r="J280" s="699">
        <f>J278/(1+$I$282)^J279</f>
        <v>529.8730171172441</v>
      </c>
      <c r="K280" s="699">
        <f t="shared" ref="K280:L280" si="1146">K278/(1+$I$282)^K279</f>
        <v>603.10865403134369</v>
      </c>
      <c r="L280" s="699">
        <f t="shared" si="1146"/>
        <v>405.9668505798407</v>
      </c>
      <c r="M280" s="699">
        <f>M278/(I282-I283)/(1+I282)^(L279+0.5)</f>
        <v>5000.6646709048973</v>
      </c>
      <c r="N280" s="700"/>
      <c r="O280" s="699"/>
      <c r="P280" s="699"/>
      <c r="Q280" s="699"/>
      <c r="R280" s="699"/>
      <c r="S280" s="699"/>
      <c r="T280" s="699"/>
      <c r="U280" s="699"/>
      <c r="V280" s="699"/>
      <c r="W280" s="699"/>
      <c r="X280" s="699"/>
      <c r="Y280" s="699"/>
      <c r="Z280" s="699"/>
      <c r="AA280" s="699"/>
      <c r="AB280" s="699"/>
      <c r="AC280" s="699"/>
      <c r="AD280" s="699"/>
      <c r="AE280" s="699"/>
      <c r="AF280" s="699"/>
      <c r="AG280" s="699"/>
    </row>
    <row r="281" spans="3:33" x14ac:dyDescent="0.25">
      <c r="H281" s="699"/>
      <c r="I281" s="699"/>
      <c r="J281" s="699"/>
      <c r="K281" s="699"/>
      <c r="L281" s="699"/>
      <c r="M281" s="699"/>
      <c r="N281" s="700"/>
      <c r="O281" s="699"/>
      <c r="P281" s="699"/>
      <c r="Q281" s="699"/>
      <c r="R281" s="699"/>
      <c r="S281" s="699"/>
      <c r="T281" s="699"/>
      <c r="U281" s="699"/>
      <c r="V281" s="699"/>
      <c r="W281" s="699"/>
      <c r="X281" s="699"/>
      <c r="Y281" s="699"/>
      <c r="Z281" s="699"/>
      <c r="AA281" s="699"/>
      <c r="AB281" s="699"/>
      <c r="AC281" s="699"/>
      <c r="AD281" s="699"/>
      <c r="AE281" s="699"/>
      <c r="AF281" s="699"/>
      <c r="AG281" s="699"/>
    </row>
    <row r="282" spans="3:33" x14ac:dyDescent="0.25">
      <c r="H282" s="615" t="str">
        <f>'DCF 1.6.2025'!A55</f>
        <v>שיעור היוון</v>
      </c>
      <c r="I282" s="808">
        <v>9.5000000000000001E-2</v>
      </c>
    </row>
    <row r="283" spans="3:33" x14ac:dyDescent="0.25">
      <c r="H283" s="615" t="str">
        <f>'DCF 1.6.2025'!A56</f>
        <v>שיעור צמיחה</v>
      </c>
      <c r="I283" s="808">
        <f>'DCF 1.6.2025'!AH56</f>
        <v>0.02</v>
      </c>
    </row>
    <row r="284" spans="3:33" x14ac:dyDescent="0.25">
      <c r="H284" s="615" t="str">
        <f>'DCF 1.6.2025'!A57</f>
        <v>שווי תפעולי</v>
      </c>
      <c r="I284" s="615">
        <f>SUM(I280:M280)-AB253</f>
        <v>5707.391160258132</v>
      </c>
    </row>
    <row r="285" spans="3:33" x14ac:dyDescent="0.25">
      <c r="H285" s="615" t="str">
        <f>'DCF 1.6.2025'!A58</f>
        <v>נכסים עודפים</v>
      </c>
      <c r="I285" s="615">
        <f>-(V147+V146)</f>
        <v>469</v>
      </c>
    </row>
    <row r="286" spans="3:33" x14ac:dyDescent="0.25">
      <c r="H286" s="615" t="str">
        <f>'DCF 1.6.2025'!A59</f>
        <v>חלק המיעוט</v>
      </c>
      <c r="I286" s="615">
        <f>-V130</f>
        <v>-244</v>
      </c>
    </row>
    <row r="287" spans="3:33" x14ac:dyDescent="0.25">
      <c r="H287" s="813" t="str">
        <f>'DCF 1.6.2025'!A61</f>
        <v>שווי כלכלי חברה</v>
      </c>
      <c r="I287" s="813">
        <f>I284+I285+I286</f>
        <v>5932.391160258132</v>
      </c>
    </row>
    <row r="288" spans="3:33" x14ac:dyDescent="0.25">
      <c r="H288" s="813" t="s">
        <v>287</v>
      </c>
      <c r="I288" s="813">
        <f>'DCF 1.6.2025'!AH62</f>
        <v>7860.650812064966</v>
      </c>
    </row>
    <row r="289" spans="9:11" x14ac:dyDescent="0.25">
      <c r="I289" s="808">
        <f>I287/I288-1</f>
        <v>-0.24530534403681092</v>
      </c>
      <c r="K289" s="696"/>
    </row>
    <row r="292" spans="9:11" x14ac:dyDescent="0.25">
      <c r="I292" s="615">
        <f>'DCF 1.6.2025'!AH62/1000</f>
        <v>7.8606508120649661</v>
      </c>
    </row>
    <row r="293" spans="9:11" x14ac:dyDescent="0.25">
      <c r="I293" s="864">
        <v>3.831</v>
      </c>
    </row>
    <row r="294" spans="9:11" x14ac:dyDescent="0.25">
      <c r="I294" s="615">
        <f>I292+I293</f>
        <v>11.691650812064966</v>
      </c>
    </row>
    <row r="295" spans="9:11" x14ac:dyDescent="0.25">
      <c r="I295" s="615">
        <f>3.7</f>
        <v>3.7</v>
      </c>
    </row>
    <row r="296" spans="9:11" x14ac:dyDescent="0.25">
      <c r="I296" s="863">
        <f>I294/I295</f>
        <v>3.1599056248824229</v>
      </c>
    </row>
  </sheetData>
  <mergeCells count="2">
    <mergeCell ref="I264:J264"/>
    <mergeCell ref="H271:M271"/>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249977111117893"/>
  </sheetPr>
  <dimension ref="A3:AT83"/>
  <sheetViews>
    <sheetView rightToLeft="1" zoomScale="85" zoomScaleNormal="85" workbookViewId="0">
      <pane xSplit="1" topLeftCell="B1" activePane="topRight" state="frozen"/>
      <selection pane="topRight" activeCell="B1" sqref="B1"/>
    </sheetView>
  </sheetViews>
  <sheetFormatPr defaultColWidth="9" defaultRowHeight="15" x14ac:dyDescent="0.25"/>
  <cols>
    <col min="1" max="1" width="9" style="536"/>
    <col min="2" max="2" width="25.5703125" style="536" customWidth="1"/>
    <col min="3" max="10" width="9" style="536"/>
    <col min="11" max="11" width="8.85546875" style="536" bestFit="1" customWidth="1"/>
    <col min="12" max="12" width="5.28515625" style="536" customWidth="1"/>
    <col min="13" max="22" width="9" style="536"/>
    <col min="23" max="23" width="11" style="536" customWidth="1"/>
    <col min="24" max="39" width="9" style="536"/>
    <col min="40" max="40" width="20.85546875" style="536" bestFit="1" customWidth="1"/>
    <col min="41" max="16384" width="9" style="536"/>
  </cols>
  <sheetData>
    <row r="3" spans="1:40" x14ac:dyDescent="0.25">
      <c r="B3" s="541"/>
      <c r="C3" s="541" t="s">
        <v>919</v>
      </c>
      <c r="D3" s="541" t="s">
        <v>906</v>
      </c>
      <c r="E3" s="541" t="s">
        <v>881</v>
      </c>
      <c r="F3" s="541" t="s">
        <v>823</v>
      </c>
      <c r="G3" s="541" t="s">
        <v>815</v>
      </c>
      <c r="H3" s="541" t="s">
        <v>628</v>
      </c>
      <c r="I3" s="541" t="s">
        <v>629</v>
      </c>
      <c r="J3" s="541" t="s">
        <v>630</v>
      </c>
      <c r="K3" s="541" t="s">
        <v>631</v>
      </c>
      <c r="L3" s="543"/>
      <c r="M3" s="1018" t="s">
        <v>1044</v>
      </c>
      <c r="N3" s="541" t="s">
        <v>979</v>
      </c>
      <c r="O3" s="541" t="s">
        <v>921</v>
      </c>
      <c r="P3" s="541" t="s">
        <v>916</v>
      </c>
      <c r="Q3" s="541" t="s">
        <v>913</v>
      </c>
      <c r="R3" s="541" t="s">
        <v>910</v>
      </c>
      <c r="S3" s="541" t="s">
        <v>909</v>
      </c>
      <c r="T3" s="541" t="s">
        <v>890</v>
      </c>
      <c r="U3" s="541" t="s">
        <v>889</v>
      </c>
      <c r="V3" s="541" t="s">
        <v>885</v>
      </c>
      <c r="W3" s="541" t="s">
        <v>841</v>
      </c>
      <c r="X3" s="541" t="s">
        <v>835</v>
      </c>
      <c r="Y3" s="541" t="s">
        <v>836</v>
      </c>
      <c r="Z3" s="541" t="s">
        <v>837</v>
      </c>
      <c r="AA3" s="541" t="s">
        <v>838</v>
      </c>
      <c r="AB3" s="541" t="s">
        <v>834</v>
      </c>
      <c r="AC3" s="541" t="s">
        <v>813</v>
      </c>
      <c r="AD3" s="541" t="s">
        <v>634</v>
      </c>
      <c r="AE3" s="541" t="s">
        <v>635</v>
      </c>
      <c r="AF3" s="541" t="s">
        <v>636</v>
      </c>
      <c r="AG3" s="541" t="s">
        <v>637</v>
      </c>
      <c r="AH3" s="541" t="s">
        <v>638</v>
      </c>
      <c r="AI3" s="541" t="s">
        <v>639</v>
      </c>
      <c r="AJ3" s="541" t="s">
        <v>640</v>
      </c>
      <c r="AK3" s="541" t="s">
        <v>641</v>
      </c>
      <c r="AL3" s="541" t="s">
        <v>642</v>
      </c>
      <c r="AM3" s="541" t="s">
        <v>643</v>
      </c>
    </row>
    <row r="4" spans="1:40" x14ac:dyDescent="0.25">
      <c r="C4" s="543"/>
      <c r="D4" s="543"/>
      <c r="E4" s="543"/>
      <c r="F4" s="543"/>
      <c r="G4" s="543"/>
      <c r="H4" s="543"/>
      <c r="I4" s="543"/>
      <c r="J4" s="543"/>
      <c r="K4" s="543"/>
      <c r="L4" s="543"/>
      <c r="M4" s="1019"/>
      <c r="N4" s="543"/>
      <c r="O4" s="543"/>
      <c r="P4" s="543"/>
      <c r="Q4" s="543"/>
      <c r="R4" s="543"/>
      <c r="S4" s="543"/>
      <c r="T4" s="543"/>
      <c r="U4" s="543"/>
      <c r="V4" s="543"/>
      <c r="W4" s="543"/>
      <c r="X4" s="543"/>
      <c r="Y4" s="543"/>
      <c r="Z4" s="543"/>
      <c r="AA4" s="543"/>
      <c r="AB4" s="543"/>
      <c r="AC4" s="543"/>
      <c r="AD4" s="543"/>
      <c r="AE4" s="543"/>
      <c r="AF4" s="543"/>
      <c r="AG4" s="543"/>
      <c r="AH4" s="543"/>
      <c r="AI4" s="543"/>
      <c r="AJ4" s="543"/>
      <c r="AK4" s="543"/>
      <c r="AL4" s="543"/>
      <c r="AM4" s="543"/>
    </row>
    <row r="5" spans="1:40" x14ac:dyDescent="0.25">
      <c r="B5" s="585" t="s">
        <v>760</v>
      </c>
      <c r="C5" s="543"/>
      <c r="D5" s="543"/>
      <c r="E5" s="543"/>
      <c r="F5" s="543"/>
      <c r="G5" s="543"/>
      <c r="H5" s="543"/>
      <c r="I5" s="543"/>
      <c r="J5" s="543"/>
      <c r="K5" s="543"/>
      <c r="L5" s="543"/>
      <c r="M5" s="1019"/>
      <c r="N5" s="543"/>
      <c r="O5" s="543"/>
      <c r="P5" s="543"/>
      <c r="Q5" s="543"/>
      <c r="R5" s="543"/>
      <c r="S5" s="543"/>
      <c r="T5" s="543"/>
      <c r="U5" s="543"/>
      <c r="V5" s="543"/>
      <c r="W5" s="543"/>
      <c r="X5" s="543"/>
      <c r="Y5" s="543"/>
      <c r="Z5" s="543"/>
      <c r="AA5" s="543"/>
      <c r="AB5" s="543"/>
      <c r="AC5" s="543"/>
      <c r="AD5" s="543"/>
      <c r="AE5" s="543"/>
      <c r="AF5" s="543"/>
      <c r="AG5" s="543"/>
      <c r="AH5" s="543"/>
      <c r="AI5" s="543"/>
      <c r="AJ5" s="543"/>
      <c r="AK5" s="543"/>
      <c r="AL5" s="543"/>
      <c r="AM5" s="543"/>
    </row>
    <row r="6" spans="1:40" x14ac:dyDescent="0.25">
      <c r="B6" s="536" t="s">
        <v>97</v>
      </c>
      <c r="C6" s="543">
        <f>O6+P6+Q6+R6</f>
        <v>1462</v>
      </c>
      <c r="D6" s="543">
        <v>1973</v>
      </c>
      <c r="E6" s="543">
        <v>3031</v>
      </c>
      <c r="F6" s="543">
        <v>1768</v>
      </c>
      <c r="G6" s="543">
        <v>1183</v>
      </c>
      <c r="H6" s="543">
        <v>1330</v>
      </c>
      <c r="I6" s="543">
        <v>1481</v>
      </c>
      <c r="J6" s="543">
        <v>1258</v>
      </c>
      <c r="K6" s="543">
        <v>1213</v>
      </c>
      <c r="L6" s="543"/>
      <c r="M6" s="1020">
        <v>347</v>
      </c>
      <c r="N6" s="543">
        <v>358</v>
      </c>
      <c r="O6" s="543">
        <v>373</v>
      </c>
      <c r="P6" s="543">
        <v>341</v>
      </c>
      <c r="Q6" s="543">
        <v>381</v>
      </c>
      <c r="R6" s="543">
        <v>367</v>
      </c>
      <c r="S6" s="543">
        <f>D6-(V6+U6+T6)</f>
        <v>461</v>
      </c>
      <c r="T6" s="543">
        <v>477</v>
      </c>
      <c r="U6" s="543">
        <v>505</v>
      </c>
      <c r="V6" s="543">
        <v>530</v>
      </c>
      <c r="W6" s="543">
        <v>728</v>
      </c>
      <c r="X6" s="543">
        <f>F6-(AA6+Z6+Y6)</f>
        <v>660</v>
      </c>
      <c r="Y6" s="543">
        <v>392</v>
      </c>
      <c r="Z6" s="543">
        <v>370</v>
      </c>
      <c r="AA6" s="543">
        <v>346</v>
      </c>
      <c r="AB6" s="543">
        <f>G6-(AE6+AD6+AC6)</f>
        <v>337</v>
      </c>
      <c r="AC6" s="543">
        <v>274</v>
      </c>
      <c r="AD6" s="543">
        <v>301</v>
      </c>
      <c r="AE6" s="543">
        <v>271</v>
      </c>
      <c r="AF6" s="543">
        <f t="shared" ref="AF6:AF11" si="0">H6-AG6-AH6-AI6</f>
        <v>262</v>
      </c>
      <c r="AG6" s="543">
        <v>333</v>
      </c>
      <c r="AH6" s="543">
        <v>389</v>
      </c>
      <c r="AI6" s="543">
        <v>346</v>
      </c>
      <c r="AJ6" s="543">
        <f t="shared" ref="AJ6:AJ11" si="1">I6-AK6-AL6-AM6</f>
        <v>472</v>
      </c>
      <c r="AK6" s="543">
        <v>368</v>
      </c>
      <c r="AL6" s="543">
        <v>316</v>
      </c>
      <c r="AM6" s="543">
        <v>325</v>
      </c>
    </row>
    <row r="7" spans="1:40" x14ac:dyDescent="0.25">
      <c r="B7" s="536" t="s">
        <v>767</v>
      </c>
      <c r="C7" s="543">
        <f t="shared" ref="C7:C10" si="2">O7+P7+Q7+R7</f>
        <v>2049</v>
      </c>
      <c r="D7" s="543">
        <v>2141</v>
      </c>
      <c r="E7" s="543">
        <v>2851</v>
      </c>
      <c r="F7" s="543">
        <v>2334</v>
      </c>
      <c r="G7" s="543">
        <v>1871</v>
      </c>
      <c r="H7" s="543">
        <v>1901</v>
      </c>
      <c r="I7" s="543">
        <v>2001</v>
      </c>
      <c r="J7" s="543">
        <v>1938</v>
      </c>
      <c r="K7" s="543">
        <v>2082</v>
      </c>
      <c r="L7" s="543"/>
      <c r="M7" s="1020">
        <v>589</v>
      </c>
      <c r="N7" s="543">
        <v>536</v>
      </c>
      <c r="O7" s="543">
        <v>475</v>
      </c>
      <c r="P7" s="543">
        <v>529</v>
      </c>
      <c r="Q7" s="543">
        <v>528</v>
      </c>
      <c r="R7" s="543">
        <v>517</v>
      </c>
      <c r="S7" s="543">
        <f t="shared" ref="S7:S11" si="3">D7-(V7+U7+T7)</f>
        <v>370</v>
      </c>
      <c r="T7" s="543">
        <v>559</v>
      </c>
      <c r="U7" s="543">
        <v>553</v>
      </c>
      <c r="V7" s="543">
        <v>659</v>
      </c>
      <c r="W7" s="543">
        <v>748</v>
      </c>
      <c r="X7" s="543">
        <f t="shared" ref="X7:X11" si="4">F7-(AA7+Z7+Y7)</f>
        <v>580</v>
      </c>
      <c r="Y7" s="543">
        <v>630</v>
      </c>
      <c r="Z7" s="543">
        <v>599</v>
      </c>
      <c r="AA7" s="543">
        <v>525</v>
      </c>
      <c r="AB7" s="543">
        <f t="shared" ref="AB7:AB11" si="5">G7-(AE7+AD7+AC7)</f>
        <v>479</v>
      </c>
      <c r="AC7" s="543">
        <v>488</v>
      </c>
      <c r="AD7" s="543">
        <v>421</v>
      </c>
      <c r="AE7" s="543">
        <v>483</v>
      </c>
      <c r="AF7" s="543">
        <f t="shared" si="0"/>
        <v>400</v>
      </c>
      <c r="AG7" s="543">
        <v>491</v>
      </c>
      <c r="AH7" s="543">
        <v>496</v>
      </c>
      <c r="AI7" s="543">
        <v>514</v>
      </c>
      <c r="AJ7" s="543">
        <f t="shared" si="1"/>
        <v>471</v>
      </c>
      <c r="AK7" s="543">
        <v>513</v>
      </c>
      <c r="AL7" s="543">
        <v>509</v>
      </c>
      <c r="AM7" s="543">
        <v>508</v>
      </c>
    </row>
    <row r="8" spans="1:40" x14ac:dyDescent="0.25">
      <c r="B8" s="536" t="s">
        <v>99</v>
      </c>
      <c r="C8" s="543">
        <f t="shared" si="2"/>
        <v>1220</v>
      </c>
      <c r="D8" s="543">
        <v>1206</v>
      </c>
      <c r="E8" s="543">
        <v>1737</v>
      </c>
      <c r="F8" s="543">
        <v>1601</v>
      </c>
      <c r="G8" s="543">
        <v>1242</v>
      </c>
      <c r="H8" s="543">
        <v>1307</v>
      </c>
      <c r="I8" s="543">
        <v>1281</v>
      </c>
      <c r="J8" s="543">
        <v>1179</v>
      </c>
      <c r="K8" s="543">
        <v>1111</v>
      </c>
      <c r="L8" s="543"/>
      <c r="M8" s="1020">
        <v>315</v>
      </c>
      <c r="N8" s="543">
        <v>338</v>
      </c>
      <c r="O8" s="543">
        <v>275</v>
      </c>
      <c r="P8" s="543">
        <v>305</v>
      </c>
      <c r="Q8" s="543">
        <v>309</v>
      </c>
      <c r="R8" s="543">
        <v>331</v>
      </c>
      <c r="S8" s="543">
        <f t="shared" si="3"/>
        <v>294</v>
      </c>
      <c r="T8" s="543">
        <v>264</v>
      </c>
      <c r="U8" s="543">
        <v>297</v>
      </c>
      <c r="V8" s="543">
        <v>351</v>
      </c>
      <c r="W8" s="543">
        <v>488</v>
      </c>
      <c r="X8" s="543">
        <f t="shared" si="4"/>
        <v>418</v>
      </c>
      <c r="Y8" s="543">
        <v>383</v>
      </c>
      <c r="Z8" s="543">
        <v>406</v>
      </c>
      <c r="AA8" s="543">
        <v>394</v>
      </c>
      <c r="AB8" s="543">
        <f t="shared" si="5"/>
        <v>333</v>
      </c>
      <c r="AC8" s="543">
        <v>267</v>
      </c>
      <c r="AD8" s="543">
        <v>281</v>
      </c>
      <c r="AE8" s="543">
        <v>361</v>
      </c>
      <c r="AF8" s="543">
        <f t="shared" si="0"/>
        <v>290</v>
      </c>
      <c r="AG8" s="543">
        <v>337</v>
      </c>
      <c r="AH8" s="543">
        <v>333</v>
      </c>
      <c r="AI8" s="543">
        <v>347</v>
      </c>
      <c r="AJ8" s="543">
        <f t="shared" si="1"/>
        <v>316</v>
      </c>
      <c r="AK8" s="543">
        <v>325</v>
      </c>
      <c r="AL8" s="543">
        <v>326</v>
      </c>
      <c r="AM8" s="543">
        <v>314</v>
      </c>
    </row>
    <row r="9" spans="1:40" x14ac:dyDescent="0.25">
      <c r="B9" s="536" t="s">
        <v>768</v>
      </c>
      <c r="C9" s="543">
        <f t="shared" si="2"/>
        <v>1932</v>
      </c>
      <c r="D9" s="543">
        <v>2047</v>
      </c>
      <c r="E9" s="543">
        <v>2376</v>
      </c>
      <c r="F9" s="543">
        <v>1226</v>
      </c>
      <c r="G9" s="543">
        <v>715</v>
      </c>
      <c r="H9" s="543">
        <v>699</v>
      </c>
      <c r="I9" s="543">
        <v>719</v>
      </c>
      <c r="J9" s="543">
        <v>671</v>
      </c>
      <c r="K9" s="543">
        <v>632</v>
      </c>
      <c r="L9" s="543"/>
      <c r="M9" s="1020">
        <v>534</v>
      </c>
      <c r="N9" s="543">
        <v>491</v>
      </c>
      <c r="O9" s="543">
        <v>435</v>
      </c>
      <c r="P9" s="543">
        <v>534</v>
      </c>
      <c r="Q9" s="543">
        <v>489</v>
      </c>
      <c r="R9" s="543">
        <v>474</v>
      </c>
      <c r="S9" s="543">
        <f t="shared" si="3"/>
        <v>475</v>
      </c>
      <c r="T9" s="543">
        <v>546</v>
      </c>
      <c r="U9" s="543">
        <v>473</v>
      </c>
      <c r="V9" s="543">
        <v>553</v>
      </c>
      <c r="W9" s="543">
        <v>556</v>
      </c>
      <c r="X9" s="543">
        <f t="shared" si="4"/>
        <v>374</v>
      </c>
      <c r="Y9" s="543">
        <v>379</v>
      </c>
      <c r="Z9" s="543">
        <v>235</v>
      </c>
      <c r="AA9" s="543">
        <v>238</v>
      </c>
      <c r="AB9" s="543">
        <f t="shared" si="5"/>
        <v>158</v>
      </c>
      <c r="AC9" s="543">
        <v>168</v>
      </c>
      <c r="AD9" s="543">
        <v>193</v>
      </c>
      <c r="AE9" s="543">
        <v>196</v>
      </c>
      <c r="AF9" s="543">
        <f t="shared" si="0"/>
        <v>145</v>
      </c>
      <c r="AG9" s="543">
        <v>156</v>
      </c>
      <c r="AH9" s="543">
        <v>199</v>
      </c>
      <c r="AI9" s="543">
        <v>199</v>
      </c>
      <c r="AJ9" s="543">
        <f t="shared" si="1"/>
        <v>142</v>
      </c>
      <c r="AK9" s="543">
        <v>157</v>
      </c>
      <c r="AL9" s="543">
        <v>209</v>
      </c>
      <c r="AM9" s="543">
        <v>211</v>
      </c>
    </row>
    <row r="10" spans="1:40" x14ac:dyDescent="0.25">
      <c r="B10" s="536" t="s">
        <v>769</v>
      </c>
      <c r="C10" s="543">
        <f t="shared" si="2"/>
        <v>178</v>
      </c>
      <c r="D10" s="543">
        <v>169</v>
      </c>
      <c r="E10" s="543">
        <v>20</v>
      </c>
      <c r="F10" s="543">
        <v>26</v>
      </c>
      <c r="G10" s="543">
        <v>32</v>
      </c>
      <c r="H10" s="543">
        <v>34</v>
      </c>
      <c r="I10" s="543">
        <v>74</v>
      </c>
      <c r="J10" s="543">
        <v>372</v>
      </c>
      <c r="K10" s="543">
        <v>325</v>
      </c>
      <c r="L10" s="543"/>
      <c r="M10" s="1020">
        <v>47</v>
      </c>
      <c r="N10" s="543">
        <v>44</v>
      </c>
      <c r="O10" s="543">
        <v>43</v>
      </c>
      <c r="P10" s="543">
        <v>44</v>
      </c>
      <c r="Q10" s="543">
        <v>45</v>
      </c>
      <c r="R10" s="543">
        <v>46</v>
      </c>
      <c r="S10" s="543">
        <f t="shared" si="3"/>
        <v>142</v>
      </c>
      <c r="T10" s="543">
        <v>16</v>
      </c>
      <c r="U10" s="543">
        <v>6</v>
      </c>
      <c r="V10" s="543">
        <v>5</v>
      </c>
      <c r="W10" s="543">
        <v>5</v>
      </c>
      <c r="X10" s="543">
        <f t="shared" si="4"/>
        <v>6</v>
      </c>
      <c r="Y10" s="543">
        <v>6</v>
      </c>
      <c r="Z10" s="543">
        <v>7</v>
      </c>
      <c r="AA10" s="543">
        <v>7</v>
      </c>
      <c r="AB10" s="543">
        <f t="shared" si="5"/>
        <v>10</v>
      </c>
      <c r="AC10" s="543">
        <v>7</v>
      </c>
      <c r="AD10" s="543">
        <v>7</v>
      </c>
      <c r="AE10" s="543">
        <v>8</v>
      </c>
      <c r="AF10" s="543">
        <f t="shared" si="0"/>
        <v>9</v>
      </c>
      <c r="AG10" s="543">
        <v>8</v>
      </c>
      <c r="AH10" s="543">
        <v>8</v>
      </c>
      <c r="AI10" s="543">
        <v>9</v>
      </c>
      <c r="AJ10" s="543">
        <f t="shared" si="1"/>
        <v>9</v>
      </c>
      <c r="AK10" s="543">
        <v>8</v>
      </c>
      <c r="AL10" s="543">
        <v>11</v>
      </c>
      <c r="AM10" s="543">
        <v>46</v>
      </c>
    </row>
    <row r="11" spans="1:40" x14ac:dyDescent="0.25">
      <c r="B11" s="544" t="s">
        <v>761</v>
      </c>
      <c r="C11" s="543">
        <f>O11+P11+Q11+R11</f>
        <v>0</v>
      </c>
      <c r="D11" s="545">
        <v>0</v>
      </c>
      <c r="E11" s="545">
        <v>0</v>
      </c>
      <c r="F11" s="545">
        <v>0</v>
      </c>
      <c r="G11" s="545">
        <v>0</v>
      </c>
      <c r="H11" s="545">
        <v>0</v>
      </c>
      <c r="I11" s="545">
        <v>0</v>
      </c>
      <c r="J11" s="545">
        <v>0</v>
      </c>
      <c r="K11" s="545">
        <v>0</v>
      </c>
      <c r="L11" s="543"/>
      <c r="M11" s="1021">
        <v>0</v>
      </c>
      <c r="N11" s="545">
        <v>0</v>
      </c>
      <c r="O11" s="545">
        <v>0</v>
      </c>
      <c r="P11" s="545">
        <v>0</v>
      </c>
      <c r="Q11" s="545">
        <v>0</v>
      </c>
      <c r="R11" s="545">
        <v>0</v>
      </c>
      <c r="S11" s="545">
        <f t="shared" si="3"/>
        <v>0</v>
      </c>
      <c r="T11" s="545">
        <v>0</v>
      </c>
      <c r="U11" s="545">
        <v>0</v>
      </c>
      <c r="V11" s="545">
        <v>0</v>
      </c>
      <c r="W11" s="545">
        <v>0</v>
      </c>
      <c r="X11" s="545">
        <f t="shared" si="4"/>
        <v>0</v>
      </c>
      <c r="Y11" s="545">
        <v>0</v>
      </c>
      <c r="Z11" s="545">
        <v>0</v>
      </c>
      <c r="AA11" s="545">
        <v>0</v>
      </c>
      <c r="AB11" s="545">
        <f t="shared" si="5"/>
        <v>0</v>
      </c>
      <c r="AC11" s="545">
        <v>0</v>
      </c>
      <c r="AD11" s="545">
        <v>0</v>
      </c>
      <c r="AE11" s="545">
        <v>0</v>
      </c>
      <c r="AF11" s="545">
        <f t="shared" si="0"/>
        <v>0</v>
      </c>
      <c r="AG11" s="545">
        <v>0</v>
      </c>
      <c r="AH11" s="545">
        <v>0</v>
      </c>
      <c r="AI11" s="545">
        <v>0</v>
      </c>
      <c r="AJ11" s="545">
        <f t="shared" si="1"/>
        <v>0</v>
      </c>
      <c r="AK11" s="545">
        <v>0</v>
      </c>
      <c r="AL11" s="545">
        <v>0</v>
      </c>
      <c r="AM11" s="545">
        <v>0</v>
      </c>
    </row>
    <row r="12" spans="1:40" x14ac:dyDescent="0.25">
      <c r="B12" s="547" t="s">
        <v>103</v>
      </c>
      <c r="C12" s="548">
        <f t="shared" ref="C12" si="6">SUM(C6:C11)</f>
        <v>6841</v>
      </c>
      <c r="D12" s="548">
        <f t="shared" ref="D12:E12" si="7">SUM(D6:D11)</f>
        <v>7536</v>
      </c>
      <c r="E12" s="548">
        <f t="shared" si="7"/>
        <v>10015</v>
      </c>
      <c r="F12" s="548">
        <f t="shared" ref="F12:K12" si="8">SUM(F6:F11)</f>
        <v>6955</v>
      </c>
      <c r="G12" s="548">
        <f t="shared" si="8"/>
        <v>5043</v>
      </c>
      <c r="H12" s="548">
        <f t="shared" si="8"/>
        <v>5271</v>
      </c>
      <c r="I12" s="548">
        <f t="shared" si="8"/>
        <v>5556</v>
      </c>
      <c r="J12" s="548">
        <f t="shared" si="8"/>
        <v>5418</v>
      </c>
      <c r="K12" s="548">
        <f t="shared" si="8"/>
        <v>5363</v>
      </c>
      <c r="L12" s="543"/>
      <c r="M12" s="1020">
        <f t="shared" ref="M12" si="9">SUM(M6:M11)</f>
        <v>1832</v>
      </c>
      <c r="N12" s="548">
        <f t="shared" ref="N12" si="10">SUM(N6:N11)</f>
        <v>1767</v>
      </c>
      <c r="O12" s="548">
        <f t="shared" ref="O12" si="11">SUM(O6:O11)</f>
        <v>1601</v>
      </c>
      <c r="P12" s="548">
        <f t="shared" ref="P12:Q12" si="12">SUM(P6:P11)</f>
        <v>1753</v>
      </c>
      <c r="Q12" s="548">
        <f t="shared" si="12"/>
        <v>1752</v>
      </c>
      <c r="R12" s="548">
        <f t="shared" ref="R12:S12" si="13">SUM(R6:R11)</f>
        <v>1735</v>
      </c>
      <c r="S12" s="548">
        <f t="shared" si="13"/>
        <v>1742</v>
      </c>
      <c r="T12" s="548">
        <f t="shared" ref="T12:U12" si="14">SUM(T6:T11)</f>
        <v>1862</v>
      </c>
      <c r="U12" s="548">
        <f t="shared" si="14"/>
        <v>1834</v>
      </c>
      <c r="V12" s="548">
        <f t="shared" ref="V12:W12" si="15">SUM(V6:V11)</f>
        <v>2098</v>
      </c>
      <c r="W12" s="548">
        <f t="shared" si="15"/>
        <v>2525</v>
      </c>
      <c r="X12" s="548">
        <f t="shared" ref="X12" si="16">SUM(X6:X11)</f>
        <v>2038</v>
      </c>
      <c r="Y12" s="548">
        <f>SUM(Y6:Y11)</f>
        <v>1790</v>
      </c>
      <c r="Z12" s="548">
        <f>SUM(Z6:Z11)</f>
        <v>1617</v>
      </c>
      <c r="AA12" s="548">
        <f t="shared" ref="AA12" si="17">SUM(AA6:AA11)</f>
        <v>1510</v>
      </c>
      <c r="AB12" s="548">
        <f t="shared" ref="AB12" si="18">SUM(AB6:AB11)</f>
        <v>1317</v>
      </c>
      <c r="AC12" s="548">
        <f>SUM(AC6:AC11)</f>
        <v>1204</v>
      </c>
      <c r="AD12" s="548">
        <f>SUM(AD6:AD11)</f>
        <v>1203</v>
      </c>
      <c r="AE12" s="548">
        <f t="shared" ref="AE12:AM12" si="19">SUM(AE6:AE11)</f>
        <v>1319</v>
      </c>
      <c r="AF12" s="548">
        <f t="shared" si="19"/>
        <v>1106</v>
      </c>
      <c r="AG12" s="548">
        <f t="shared" si="19"/>
        <v>1325</v>
      </c>
      <c r="AH12" s="548">
        <f t="shared" si="19"/>
        <v>1425</v>
      </c>
      <c r="AI12" s="548">
        <f t="shared" si="19"/>
        <v>1415</v>
      </c>
      <c r="AJ12" s="548">
        <f t="shared" si="19"/>
        <v>1410</v>
      </c>
      <c r="AK12" s="548">
        <f t="shared" si="19"/>
        <v>1371</v>
      </c>
      <c r="AL12" s="548">
        <f t="shared" si="19"/>
        <v>1371</v>
      </c>
      <c r="AM12" s="548">
        <f t="shared" si="19"/>
        <v>1404</v>
      </c>
    </row>
    <row r="13" spans="1:40" s="591" customFormat="1" x14ac:dyDescent="0.25">
      <c r="A13" s="588"/>
      <c r="B13" s="588" t="s">
        <v>113</v>
      </c>
      <c r="C13" s="589">
        <f>'IC&amp;CF&amp;BS'!C3-C12</f>
        <v>0</v>
      </c>
      <c r="D13" s="589">
        <f>'IC&amp;CF&amp;BS'!D3-D12</f>
        <v>0</v>
      </c>
      <c r="E13" s="589">
        <f>'IC&amp;CF&amp;BS'!E3-E12</f>
        <v>0</v>
      </c>
      <c r="F13" s="589">
        <f>'IC&amp;CF&amp;BS'!F3-F12</f>
        <v>0</v>
      </c>
      <c r="G13" s="589">
        <f>'IC&amp;CF&amp;BS'!G3-G12</f>
        <v>0</v>
      </c>
      <c r="H13" s="589">
        <f>'IC&amp;CF&amp;BS'!H3-H12</f>
        <v>0</v>
      </c>
      <c r="I13" s="589">
        <f>'IC&amp;CF&amp;BS'!I3-I12</f>
        <v>0</v>
      </c>
      <c r="J13" s="589">
        <f>'IC&amp;CF&amp;BS'!J3-J12</f>
        <v>0</v>
      </c>
      <c r="K13" s="589">
        <f>'IC&amp;CF&amp;BS'!K3-K12</f>
        <v>0</v>
      </c>
      <c r="L13" s="590"/>
      <c r="M13" s="1022">
        <f>'IC&amp;CF&amp;BS'!O3-M12</f>
        <v>0</v>
      </c>
      <c r="N13" s="589">
        <f>'IC&amp;CF&amp;BS'!P3-N12</f>
        <v>0</v>
      </c>
      <c r="O13" s="589">
        <f>'IC&amp;CF&amp;BS'!Q3-O12</f>
        <v>0</v>
      </c>
      <c r="P13" s="589">
        <f>'IC&amp;CF&amp;BS'!R3-P12</f>
        <v>0</v>
      </c>
      <c r="Q13" s="589">
        <f>'IC&amp;CF&amp;BS'!S3-Q12</f>
        <v>0</v>
      </c>
      <c r="R13" s="589">
        <f>'IC&amp;CF&amp;BS'!T3-R12</f>
        <v>0</v>
      </c>
      <c r="S13" s="589">
        <f>'IC&amp;CF&amp;BS'!U3-S12</f>
        <v>0</v>
      </c>
      <c r="T13" s="589">
        <f>'IC&amp;CF&amp;BS'!V3-T12</f>
        <v>0</v>
      </c>
      <c r="U13" s="589">
        <f>'IC&amp;CF&amp;BS'!W3-U12</f>
        <v>0</v>
      </c>
      <c r="V13" s="589">
        <f>'IC&amp;CF&amp;BS'!X3-V12</f>
        <v>0</v>
      </c>
      <c r="W13" s="589">
        <f>'IC&amp;CF&amp;BS'!AB3-W12</f>
        <v>0</v>
      </c>
      <c r="X13" s="589">
        <f>'IC&amp;CF&amp;BS'!AC3-X12</f>
        <v>0</v>
      </c>
      <c r="Y13" s="589">
        <f>'IC&amp;CF&amp;BS'!AD3-Y12</f>
        <v>0</v>
      </c>
      <c r="Z13" s="589">
        <f>'IC&amp;CF&amp;BS'!AE3-Z12</f>
        <v>0</v>
      </c>
      <c r="AA13" s="589">
        <f>'IC&amp;CF&amp;BS'!AF3-AA12</f>
        <v>0</v>
      </c>
      <c r="AB13" s="589">
        <f>'IC&amp;CF&amp;BS'!AG3-AB12</f>
        <v>0</v>
      </c>
      <c r="AC13" s="589">
        <f>'IC&amp;CF&amp;BS'!AH3-AC12</f>
        <v>0</v>
      </c>
      <c r="AD13" s="589">
        <f>'IC&amp;CF&amp;BS'!AI3-AD12</f>
        <v>0</v>
      </c>
      <c r="AE13" s="589">
        <f>'IC&amp;CF&amp;BS'!AJ3-AE12</f>
        <v>0</v>
      </c>
      <c r="AF13" s="589">
        <f>'IC&amp;CF&amp;BS'!AK3-AF12</f>
        <v>0</v>
      </c>
      <c r="AG13" s="589">
        <f>'IC&amp;CF&amp;BS'!AL3-AG12</f>
        <v>0</v>
      </c>
      <c r="AH13" s="589">
        <f>'IC&amp;CF&amp;BS'!AM3-AH12</f>
        <v>0</v>
      </c>
      <c r="AI13" s="589">
        <f>'IC&amp;CF&amp;BS'!AN3-AI12</f>
        <v>0</v>
      </c>
      <c r="AJ13" s="589">
        <f>'IC&amp;CF&amp;BS'!AO3-AJ12</f>
        <v>0</v>
      </c>
      <c r="AK13" s="589">
        <f>'IC&amp;CF&amp;BS'!AP3-AK12</f>
        <v>0</v>
      </c>
      <c r="AL13" s="589">
        <f>'IC&amp;CF&amp;BS'!AQ3-AL12</f>
        <v>0</v>
      </c>
      <c r="AM13" s="589">
        <f>'IC&amp;CF&amp;BS'!AR3-AM12</f>
        <v>0</v>
      </c>
      <c r="AN13" s="589"/>
    </row>
    <row r="14" spans="1:40" x14ac:dyDescent="0.25">
      <c r="C14" s="543"/>
      <c r="D14" s="543"/>
      <c r="E14" s="543"/>
      <c r="F14" s="543"/>
      <c r="G14" s="804"/>
      <c r="H14" s="543"/>
      <c r="I14" s="543"/>
      <c r="J14" s="543"/>
      <c r="K14" s="543"/>
      <c r="L14" s="543"/>
      <c r="M14" s="1019"/>
      <c r="N14" s="543"/>
      <c r="O14" s="543"/>
      <c r="P14" s="543"/>
      <c r="Q14" s="543"/>
      <c r="R14" s="543"/>
      <c r="S14" s="543"/>
      <c r="T14" s="543"/>
      <c r="U14" s="543"/>
      <c r="V14" s="543"/>
      <c r="W14" s="543"/>
      <c r="X14" s="543"/>
      <c r="Y14" s="543"/>
      <c r="Z14" s="543"/>
      <c r="AA14" s="543"/>
      <c r="AB14" s="543"/>
      <c r="AC14" s="543"/>
      <c r="AD14" s="543"/>
      <c r="AE14" s="543"/>
      <c r="AF14" s="543"/>
      <c r="AG14" s="543"/>
      <c r="AH14" s="543"/>
      <c r="AI14" s="543"/>
      <c r="AJ14" s="543"/>
      <c r="AK14" s="543"/>
      <c r="AL14" s="543"/>
      <c r="AM14" s="543"/>
    </row>
    <row r="15" spans="1:40" x14ac:dyDescent="0.25">
      <c r="B15" s="585" t="s">
        <v>657</v>
      </c>
      <c r="C15" s="543"/>
      <c r="D15" s="543"/>
      <c r="E15" s="543"/>
      <c r="F15" s="543"/>
      <c r="G15" s="543"/>
      <c r="H15" s="543"/>
      <c r="I15" s="543"/>
      <c r="J15" s="543"/>
      <c r="K15" s="543"/>
      <c r="L15" s="543"/>
      <c r="M15" s="1019"/>
      <c r="N15" s="543"/>
      <c r="O15" s="543"/>
      <c r="P15" s="543"/>
      <c r="Q15" s="543"/>
      <c r="R15" s="543"/>
      <c r="S15" s="543"/>
      <c r="T15" s="543"/>
      <c r="U15" s="543"/>
      <c r="V15" s="543"/>
      <c r="W15" s="543"/>
      <c r="X15" s="543"/>
      <c r="Y15" s="543"/>
      <c r="Z15" s="543"/>
      <c r="AA15" s="543"/>
      <c r="AB15" s="543"/>
      <c r="AC15" s="543"/>
      <c r="AD15" s="543"/>
      <c r="AE15" s="543"/>
      <c r="AF15" s="543"/>
      <c r="AG15" s="543"/>
      <c r="AH15" s="543"/>
      <c r="AI15" s="543"/>
      <c r="AJ15" s="543"/>
      <c r="AK15" s="543"/>
      <c r="AL15" s="543"/>
      <c r="AM15" s="543"/>
    </row>
    <row r="16" spans="1:40" x14ac:dyDescent="0.25">
      <c r="B16" s="536" t="s">
        <v>97</v>
      </c>
      <c r="C16" s="596">
        <f t="shared" ref="C16" si="20">IFERROR(C6/C$12,"")</f>
        <v>0.21371144569507383</v>
      </c>
      <c r="D16" s="596">
        <f t="shared" ref="D16:E16" si="21">IFERROR(D6/D$12,"")</f>
        <v>0.26180997876857748</v>
      </c>
      <c r="E16" s="596">
        <f t="shared" si="21"/>
        <v>0.30264603095356962</v>
      </c>
      <c r="F16" s="596">
        <f t="shared" ref="F16:K16" si="22">IFERROR(F6/F$12,"")</f>
        <v>0.25420560747663551</v>
      </c>
      <c r="G16" s="596">
        <f t="shared" si="22"/>
        <v>0.23458258972833632</v>
      </c>
      <c r="H16" s="596">
        <f t="shared" si="22"/>
        <v>0.25232403718459495</v>
      </c>
      <c r="I16" s="596">
        <f t="shared" si="22"/>
        <v>0.26655867530597555</v>
      </c>
      <c r="J16" s="596">
        <f t="shared" si="22"/>
        <v>0.23218899963086009</v>
      </c>
      <c r="K16" s="596">
        <f t="shared" si="22"/>
        <v>0.22617937721424575</v>
      </c>
      <c r="L16" s="543"/>
      <c r="M16" s="1023">
        <f t="shared" ref="M16" si="23">IFERROR(M6/M$12,"")</f>
        <v>0.18941048034934499</v>
      </c>
      <c r="N16" s="596">
        <f t="shared" ref="N16" si="24">IFERROR(N6/N$12,"")</f>
        <v>0.20260328239954725</v>
      </c>
      <c r="O16" s="596">
        <f t="shared" ref="O16" si="25">IFERROR(O6/O$12,"")</f>
        <v>0.23297938788257339</v>
      </c>
      <c r="P16" s="596">
        <f t="shared" ref="P16:Q16" si="26">IFERROR(P6/P$12,"")</f>
        <v>0.19452367370222476</v>
      </c>
      <c r="Q16" s="596">
        <f t="shared" si="26"/>
        <v>0.21746575342465754</v>
      </c>
      <c r="R16" s="596">
        <f t="shared" ref="R16:S16" si="27">IFERROR(R6/R$12,"")</f>
        <v>0.21152737752161382</v>
      </c>
      <c r="S16" s="596">
        <f t="shared" si="27"/>
        <v>0.26463834672789899</v>
      </c>
      <c r="T16" s="596">
        <f t="shared" ref="T16:U16" si="28">IFERROR(T6/T$12,"")</f>
        <v>0.2561761546723953</v>
      </c>
      <c r="U16" s="596">
        <f t="shared" si="28"/>
        <v>0.27535441657579063</v>
      </c>
      <c r="V16" s="596">
        <f t="shared" ref="V16:W16" si="29">IFERROR(V6/V$12,"")</f>
        <v>0.25262154432793138</v>
      </c>
      <c r="W16" s="596">
        <f t="shared" si="29"/>
        <v>0.2883168316831683</v>
      </c>
      <c r="X16" s="596">
        <f t="shared" ref="X16:AA20" si="30">IFERROR(X6/X$12,"")</f>
        <v>0.32384690873405297</v>
      </c>
      <c r="Y16" s="596">
        <f t="shared" si="30"/>
        <v>0.21899441340782122</v>
      </c>
      <c r="Z16" s="596">
        <f t="shared" si="30"/>
        <v>0.22881880024737167</v>
      </c>
      <c r="AA16" s="596">
        <f t="shared" si="30"/>
        <v>0.22913907284768212</v>
      </c>
      <c r="AB16" s="596">
        <f t="shared" ref="AB16" si="31">IFERROR(AB6/AB$12,"")</f>
        <v>0.25588458618071375</v>
      </c>
      <c r="AC16" s="596">
        <f t="shared" ref="AC16" si="32">IFERROR(AC6/AC$12,"")</f>
        <v>0.22757475083056478</v>
      </c>
      <c r="AD16" s="596">
        <f t="shared" ref="AD16:AM16" si="33">IFERROR(AD6/AD$12,"")</f>
        <v>0.25020781379883622</v>
      </c>
      <c r="AE16" s="596">
        <f t="shared" si="33"/>
        <v>0.20545868081880211</v>
      </c>
      <c r="AF16" s="596">
        <f t="shared" si="33"/>
        <v>0.23688969258589512</v>
      </c>
      <c r="AG16" s="596">
        <f t="shared" si="33"/>
        <v>0.25132075471698112</v>
      </c>
      <c r="AH16" s="596">
        <f t="shared" si="33"/>
        <v>0.27298245614035088</v>
      </c>
      <c r="AI16" s="596">
        <f t="shared" si="33"/>
        <v>0.24452296819787986</v>
      </c>
      <c r="AJ16" s="596">
        <f t="shared" si="33"/>
        <v>0.33475177304964537</v>
      </c>
      <c r="AK16" s="596">
        <f t="shared" si="33"/>
        <v>0.26841721371261851</v>
      </c>
      <c r="AL16" s="596">
        <f t="shared" si="33"/>
        <v>0.23048869438366157</v>
      </c>
      <c r="AM16" s="596">
        <f t="shared" si="33"/>
        <v>0.23148148148148148</v>
      </c>
    </row>
    <row r="17" spans="2:39" x14ac:dyDescent="0.25">
      <c r="B17" s="536" t="s">
        <v>767</v>
      </c>
      <c r="C17" s="596">
        <f t="shared" ref="C17" si="34">IFERROR(C7/C$12,"")</f>
        <v>0.29951761438386199</v>
      </c>
      <c r="D17" s="596">
        <f t="shared" ref="D17:E17" si="35">IFERROR(D7/D$12,"")</f>
        <v>0.28410297239915072</v>
      </c>
      <c r="E17" s="596">
        <f t="shared" si="35"/>
        <v>0.28467299051422867</v>
      </c>
      <c r="F17" s="596">
        <f t="shared" ref="F17:G17" si="36">IFERROR(F7/F$12,"")</f>
        <v>0.33558590941768512</v>
      </c>
      <c r="G17" s="596">
        <f t="shared" si="36"/>
        <v>0.37100931984929603</v>
      </c>
      <c r="H17" s="596">
        <f t="shared" ref="H17:K20" si="37">IFERROR(H7/H$12,"")</f>
        <v>0.36065262758489852</v>
      </c>
      <c r="I17" s="596">
        <f t="shared" si="37"/>
        <v>0.36015118790496758</v>
      </c>
      <c r="J17" s="596">
        <f t="shared" si="37"/>
        <v>0.35769656699889257</v>
      </c>
      <c r="K17" s="596">
        <f t="shared" si="37"/>
        <v>0.38821555099757599</v>
      </c>
      <c r="L17" s="543"/>
      <c r="M17" s="1023">
        <f t="shared" ref="M17" si="38">IFERROR(M7/M$12,"")</f>
        <v>0.32150655021834063</v>
      </c>
      <c r="N17" s="596">
        <f t="shared" ref="N17" si="39">IFERROR(N7/N$12,"")</f>
        <v>0.30333899264289754</v>
      </c>
      <c r="O17" s="596">
        <f t="shared" ref="O17" si="40">IFERROR(O7/O$12,"")</f>
        <v>0.29668956901936289</v>
      </c>
      <c r="P17" s="596">
        <f t="shared" ref="P17:Q17" si="41">IFERROR(P7/P$12,"")</f>
        <v>0.3017683970336566</v>
      </c>
      <c r="Q17" s="596">
        <f t="shared" si="41"/>
        <v>0.30136986301369861</v>
      </c>
      <c r="R17" s="596">
        <f t="shared" ref="R17:S17" si="42">IFERROR(R7/R$12,"")</f>
        <v>0.29798270893371759</v>
      </c>
      <c r="S17" s="596">
        <f t="shared" si="42"/>
        <v>0.21239954075774972</v>
      </c>
      <c r="T17" s="596">
        <f t="shared" ref="T17:U17" si="43">IFERROR(T7/T$12,"")</f>
        <v>0.30021482277121375</v>
      </c>
      <c r="U17" s="596">
        <f t="shared" si="43"/>
        <v>0.30152671755725191</v>
      </c>
      <c r="V17" s="596">
        <f t="shared" ref="V17:W17" si="44">IFERROR(V7/V$12,"")</f>
        <v>0.31410867492850336</v>
      </c>
      <c r="W17" s="596">
        <f t="shared" si="44"/>
        <v>0.29623762376237622</v>
      </c>
      <c r="X17" s="596">
        <f t="shared" si="30"/>
        <v>0.28459273797841023</v>
      </c>
      <c r="Y17" s="596">
        <f t="shared" si="30"/>
        <v>0.35195530726256985</v>
      </c>
      <c r="Z17" s="596">
        <f t="shared" si="30"/>
        <v>0.37043908472479903</v>
      </c>
      <c r="AA17" s="596">
        <f t="shared" si="30"/>
        <v>0.34768211920529801</v>
      </c>
      <c r="AB17" s="596">
        <f t="shared" ref="AB17" si="45">IFERROR(AB7/AB$12,"")</f>
        <v>0.36370539104024296</v>
      </c>
      <c r="AC17" s="596">
        <f t="shared" ref="AC17" si="46">IFERROR(AC7/AC$12,"")</f>
        <v>0.40531561461794019</v>
      </c>
      <c r="AD17" s="596">
        <f t="shared" ref="AD17:AL20" si="47">IFERROR(AD7/AD$12,"")</f>
        <v>0.34995843724023273</v>
      </c>
      <c r="AE17" s="596">
        <f t="shared" si="47"/>
        <v>0.36618650492797572</v>
      </c>
      <c r="AF17" s="596">
        <f t="shared" si="47"/>
        <v>0.36166365280289331</v>
      </c>
      <c r="AG17" s="596">
        <f t="shared" si="47"/>
        <v>0.37056603773584906</v>
      </c>
      <c r="AH17" s="596">
        <f t="shared" si="47"/>
        <v>0.34807017543859647</v>
      </c>
      <c r="AI17" s="596">
        <f t="shared" si="47"/>
        <v>0.36325088339222616</v>
      </c>
      <c r="AJ17" s="596">
        <f t="shared" si="47"/>
        <v>0.33404255319148934</v>
      </c>
      <c r="AK17" s="596">
        <f t="shared" si="47"/>
        <v>0.37417943107221008</v>
      </c>
      <c r="AL17" s="596">
        <f t="shared" si="47"/>
        <v>0.37126185266229028</v>
      </c>
      <c r="AM17" s="596">
        <f>IFERROR(AM7/AM$12,"")</f>
        <v>0.36182336182336183</v>
      </c>
    </row>
    <row r="18" spans="2:39" x14ac:dyDescent="0.25">
      <c r="B18" s="536" t="s">
        <v>99</v>
      </c>
      <c r="C18" s="596">
        <f t="shared" ref="C18" si="48">IFERROR(C8/C$12,"")</f>
        <v>0.17833650051162112</v>
      </c>
      <c r="D18" s="596">
        <f t="shared" ref="D18:E18" si="49">IFERROR(D8/D$12,"")</f>
        <v>0.16003184713375795</v>
      </c>
      <c r="E18" s="596">
        <f t="shared" si="49"/>
        <v>0.17343984023964054</v>
      </c>
      <c r="F18" s="596">
        <f t="shared" ref="F18:G18" si="50">IFERROR(F8/F$12,"")</f>
        <v>0.23019410496046011</v>
      </c>
      <c r="G18" s="596">
        <f t="shared" si="50"/>
        <v>0.24628197501487209</v>
      </c>
      <c r="H18" s="596">
        <f t="shared" si="37"/>
        <v>0.24796053879719218</v>
      </c>
      <c r="I18" s="596">
        <f t="shared" si="37"/>
        <v>0.23056155507559395</v>
      </c>
      <c r="J18" s="596">
        <f t="shared" si="37"/>
        <v>0.21760797342192692</v>
      </c>
      <c r="K18" s="596">
        <f t="shared" si="37"/>
        <v>0.20716017154577662</v>
      </c>
      <c r="L18" s="543"/>
      <c r="M18" s="1023">
        <f t="shared" ref="M18" si="51">IFERROR(M8/M$12,"")</f>
        <v>0.17194323144104803</v>
      </c>
      <c r="N18" s="596">
        <f t="shared" ref="N18" si="52">IFERROR(N8/N$12,"")</f>
        <v>0.19128466327108093</v>
      </c>
      <c r="O18" s="596">
        <f t="shared" ref="O18" si="53">IFERROR(O8/O$12,"")</f>
        <v>0.1717676452217364</v>
      </c>
      <c r="P18" s="596">
        <f t="shared" ref="P18:Q18" si="54">IFERROR(P8/P$12,"")</f>
        <v>0.1739874500855676</v>
      </c>
      <c r="Q18" s="596">
        <f t="shared" si="54"/>
        <v>0.17636986301369864</v>
      </c>
      <c r="R18" s="596">
        <f t="shared" ref="R18:S18" si="55">IFERROR(R8/R$12,"")</f>
        <v>0.19077809798270892</v>
      </c>
      <c r="S18" s="596">
        <f t="shared" si="55"/>
        <v>0.1687715269804822</v>
      </c>
      <c r="T18" s="596">
        <f t="shared" ref="T18:U18" si="56">IFERROR(T8/T$12,"")</f>
        <v>0.14178302900107412</v>
      </c>
      <c r="U18" s="596">
        <f t="shared" si="56"/>
        <v>0.16194111232279171</v>
      </c>
      <c r="V18" s="596">
        <f t="shared" ref="V18:W18" si="57">IFERROR(V8/V$12,"")</f>
        <v>0.167302192564347</v>
      </c>
      <c r="W18" s="596">
        <f t="shared" si="57"/>
        <v>0.19326732673267327</v>
      </c>
      <c r="X18" s="596">
        <f t="shared" si="30"/>
        <v>0.20510304219823355</v>
      </c>
      <c r="Y18" s="596">
        <f t="shared" si="30"/>
        <v>0.21396648044692737</v>
      </c>
      <c r="Z18" s="596">
        <f t="shared" si="30"/>
        <v>0.25108225108225107</v>
      </c>
      <c r="AA18" s="596">
        <f t="shared" si="30"/>
        <v>0.26092715231788077</v>
      </c>
      <c r="AB18" s="596">
        <f t="shared" ref="AB18" si="58">IFERROR(AB8/AB$12,"")</f>
        <v>0.2528473804100228</v>
      </c>
      <c r="AC18" s="596">
        <f t="shared" ref="AC18" si="59">IFERROR(AC8/AC$12,"")</f>
        <v>0.2217607973421927</v>
      </c>
      <c r="AD18" s="596">
        <f t="shared" si="47"/>
        <v>0.23358270989193683</v>
      </c>
      <c r="AE18" s="596">
        <f t="shared" si="47"/>
        <v>0.27369219105382864</v>
      </c>
      <c r="AF18" s="596">
        <f t="shared" si="47"/>
        <v>0.26220614828209765</v>
      </c>
      <c r="AG18" s="596">
        <f t="shared" si="47"/>
        <v>0.25433962264150944</v>
      </c>
      <c r="AH18" s="596">
        <f t="shared" si="47"/>
        <v>0.2336842105263158</v>
      </c>
      <c r="AI18" s="596">
        <f t="shared" si="47"/>
        <v>0.24522968197879857</v>
      </c>
      <c r="AJ18" s="596">
        <f t="shared" si="47"/>
        <v>0.22411347517730495</v>
      </c>
      <c r="AK18" s="596">
        <f t="shared" si="47"/>
        <v>0.23705324580598103</v>
      </c>
      <c r="AL18" s="596">
        <f t="shared" si="47"/>
        <v>0.23778264040846098</v>
      </c>
      <c r="AM18" s="596">
        <f>IFERROR(AM8/AM$12,"")</f>
        <v>0.22364672364672364</v>
      </c>
    </row>
    <row r="19" spans="2:39" x14ac:dyDescent="0.25">
      <c r="B19" s="536" t="s">
        <v>768</v>
      </c>
      <c r="C19" s="596">
        <f t="shared" ref="C19" si="60">IFERROR(C9/C$12,"")</f>
        <v>0.28241485162987867</v>
      </c>
      <c r="D19" s="596">
        <f t="shared" ref="D19:E19" si="61">IFERROR(D9/D$12,"")</f>
        <v>0.27162951167728239</v>
      </c>
      <c r="E19" s="596">
        <f t="shared" si="61"/>
        <v>0.23724413379930104</v>
      </c>
      <c r="F19" s="596">
        <f t="shared" ref="F19:G19" si="62">IFERROR(F9/F$12,"")</f>
        <v>0.17627606038820992</v>
      </c>
      <c r="G19" s="596">
        <f t="shared" si="62"/>
        <v>0.14178068609954392</v>
      </c>
      <c r="H19" s="596">
        <f t="shared" si="37"/>
        <v>0.13261240751280592</v>
      </c>
      <c r="I19" s="596">
        <f t="shared" si="37"/>
        <v>0.12940964722822174</v>
      </c>
      <c r="J19" s="596">
        <f t="shared" si="37"/>
        <v>0.12384643779992617</v>
      </c>
      <c r="K19" s="596">
        <f t="shared" si="37"/>
        <v>0.11784449002424016</v>
      </c>
      <c r="L19" s="543"/>
      <c r="M19" s="1023">
        <f t="shared" ref="M19" si="63">IFERROR(M9/M$12,"")</f>
        <v>0.29148471615720523</v>
      </c>
      <c r="N19" s="596">
        <f t="shared" ref="N19" si="64">IFERROR(N9/N$12,"")</f>
        <v>0.27787209960384834</v>
      </c>
      <c r="O19" s="596">
        <f t="shared" ref="O19" si="65">IFERROR(O9/O$12,"")</f>
        <v>0.27170518425983758</v>
      </c>
      <c r="P19" s="596">
        <f t="shared" ref="P19:Q19" si="66">IFERROR(P9/P$12,"")</f>
        <v>0.30462065031374785</v>
      </c>
      <c r="Q19" s="596">
        <f t="shared" si="66"/>
        <v>0.2791095890410959</v>
      </c>
      <c r="R19" s="596">
        <f t="shared" ref="R19:S19" si="67">IFERROR(R9/R$12,"")</f>
        <v>0.27319884726224786</v>
      </c>
      <c r="S19" s="596">
        <f t="shared" si="67"/>
        <v>0.2726750861079219</v>
      </c>
      <c r="T19" s="596">
        <f t="shared" ref="T19:U19" si="68">IFERROR(T9/T$12,"")</f>
        <v>0.2932330827067669</v>
      </c>
      <c r="U19" s="596">
        <f t="shared" si="68"/>
        <v>0.25790621592148311</v>
      </c>
      <c r="V19" s="596">
        <f t="shared" ref="V19:W19" si="69">IFERROR(V9/V$12,"")</f>
        <v>0.26358436606291707</v>
      </c>
      <c r="W19" s="596">
        <f t="shared" si="69"/>
        <v>0.2201980198019802</v>
      </c>
      <c r="X19" s="596">
        <f t="shared" si="30"/>
        <v>0.18351324828263002</v>
      </c>
      <c r="Y19" s="596">
        <f t="shared" si="30"/>
        <v>0.21173184357541899</v>
      </c>
      <c r="Z19" s="596">
        <f t="shared" si="30"/>
        <v>0.14533085961657391</v>
      </c>
      <c r="AA19" s="596">
        <f t="shared" si="30"/>
        <v>0.15761589403973511</v>
      </c>
      <c r="AB19" s="596">
        <f t="shared" ref="AB19" si="70">IFERROR(AB9/AB$12,"")</f>
        <v>0.11996962794229309</v>
      </c>
      <c r="AC19" s="596">
        <f t="shared" ref="AC19" si="71">IFERROR(AC9/AC$12,"")</f>
        <v>0.13953488372093023</v>
      </c>
      <c r="AD19" s="596">
        <f t="shared" si="47"/>
        <v>0.16043225270157938</v>
      </c>
      <c r="AE19" s="596">
        <f t="shared" si="47"/>
        <v>0.14859742228961334</v>
      </c>
      <c r="AF19" s="596">
        <f t="shared" si="47"/>
        <v>0.13110307414104883</v>
      </c>
      <c r="AG19" s="596">
        <f t="shared" si="47"/>
        <v>0.11773584905660377</v>
      </c>
      <c r="AH19" s="596">
        <f t="shared" si="47"/>
        <v>0.13964912280701755</v>
      </c>
      <c r="AI19" s="596">
        <f t="shared" si="47"/>
        <v>0.14063604240282684</v>
      </c>
      <c r="AJ19" s="596">
        <f t="shared" si="47"/>
        <v>0.10070921985815603</v>
      </c>
      <c r="AK19" s="596">
        <f t="shared" si="47"/>
        <v>0.11451495258935084</v>
      </c>
      <c r="AL19" s="596">
        <f t="shared" si="47"/>
        <v>0.15244347191830782</v>
      </c>
      <c r="AM19" s="596">
        <f>IFERROR(AM9/AM$12,"")</f>
        <v>0.1502849002849003</v>
      </c>
    </row>
    <row r="20" spans="2:39" x14ac:dyDescent="0.25">
      <c r="B20" s="536" t="s">
        <v>769</v>
      </c>
      <c r="C20" s="596">
        <f t="shared" ref="C20" si="72">IFERROR(C10/C$12,"")</f>
        <v>2.6019587779564392E-2</v>
      </c>
      <c r="D20" s="596">
        <f t="shared" ref="D20:E20" si="73">IFERROR(D10/D$12,"")</f>
        <v>2.2425690021231421E-2</v>
      </c>
      <c r="E20" s="596">
        <f t="shared" si="73"/>
        <v>1.99700449326011E-3</v>
      </c>
      <c r="F20" s="596">
        <f t="shared" ref="F20:G20" si="74">IFERROR(F10/F$12,"")</f>
        <v>3.7383177570093459E-3</v>
      </c>
      <c r="G20" s="596">
        <f t="shared" si="74"/>
        <v>6.3454293079516161E-3</v>
      </c>
      <c r="H20" s="596">
        <f t="shared" si="37"/>
        <v>6.4503889205084425E-3</v>
      </c>
      <c r="I20" s="596">
        <f t="shared" si="37"/>
        <v>1.331893448524118E-2</v>
      </c>
      <c r="J20" s="596">
        <f t="shared" si="37"/>
        <v>6.8660022148394242E-2</v>
      </c>
      <c r="K20" s="596">
        <f t="shared" si="37"/>
        <v>6.0600410218161475E-2</v>
      </c>
      <c r="L20" s="543"/>
      <c r="M20" s="1023">
        <f t="shared" ref="M20" si="75">IFERROR(M10/M$12,"")</f>
        <v>2.5655021834061136E-2</v>
      </c>
      <c r="N20" s="596">
        <f t="shared" ref="N20" si="76">IFERROR(N10/N$12,"")</f>
        <v>2.4900962082625919E-2</v>
      </c>
      <c r="O20" s="596">
        <f t="shared" ref="O20" si="77">IFERROR(O10/O$12,"")</f>
        <v>2.6858213616489695E-2</v>
      </c>
      <c r="P20" s="596">
        <f t="shared" ref="P20:Q20" si="78">IFERROR(P10/P$12,"")</f>
        <v>2.5099828864803195E-2</v>
      </c>
      <c r="Q20" s="596">
        <f t="shared" si="78"/>
        <v>2.5684931506849314E-2</v>
      </c>
      <c r="R20" s="596">
        <f t="shared" ref="R20:S20" si="79">IFERROR(R10/R$12,"")</f>
        <v>2.6512968299711816E-2</v>
      </c>
      <c r="S20" s="596">
        <f t="shared" si="79"/>
        <v>8.1515499425947185E-2</v>
      </c>
      <c r="T20" s="596">
        <f t="shared" ref="T20:U20" si="80">IFERROR(T10/T$12,"")</f>
        <v>8.5929108485499461E-3</v>
      </c>
      <c r="U20" s="596">
        <f t="shared" si="80"/>
        <v>3.2715376226826608E-3</v>
      </c>
      <c r="V20" s="596">
        <f t="shared" ref="V20:W20" si="81">IFERROR(V10/V$12,"")</f>
        <v>2.3832221163012394E-3</v>
      </c>
      <c r="W20" s="596">
        <f t="shared" si="81"/>
        <v>1.9801980198019802E-3</v>
      </c>
      <c r="X20" s="596">
        <f t="shared" si="30"/>
        <v>2.944062806673209E-3</v>
      </c>
      <c r="Y20" s="596">
        <f t="shared" si="30"/>
        <v>3.3519553072625698E-3</v>
      </c>
      <c r="Z20" s="596">
        <f t="shared" si="30"/>
        <v>4.329004329004329E-3</v>
      </c>
      <c r="AA20" s="596">
        <f t="shared" si="30"/>
        <v>4.6357615894039739E-3</v>
      </c>
      <c r="AB20" s="596">
        <f t="shared" ref="AB20" si="82">IFERROR(AB10/AB$12,"")</f>
        <v>7.5930144267274107E-3</v>
      </c>
      <c r="AC20" s="596">
        <f t="shared" ref="AC20" si="83">IFERROR(AC10/AC$12,"")</f>
        <v>5.8139534883720929E-3</v>
      </c>
      <c r="AD20" s="596">
        <f t="shared" si="47"/>
        <v>5.8187863674147968E-3</v>
      </c>
      <c r="AE20" s="596">
        <f t="shared" si="47"/>
        <v>6.0652009097801364E-3</v>
      </c>
      <c r="AF20" s="596">
        <f t="shared" si="47"/>
        <v>8.1374321880651E-3</v>
      </c>
      <c r="AG20" s="596">
        <f t="shared" si="47"/>
        <v>6.0377358490566035E-3</v>
      </c>
      <c r="AH20" s="596">
        <f t="shared" si="47"/>
        <v>5.6140350877192978E-3</v>
      </c>
      <c r="AI20" s="596">
        <f t="shared" si="47"/>
        <v>6.3604240282685515E-3</v>
      </c>
      <c r="AJ20" s="596">
        <f t="shared" si="47"/>
        <v>6.382978723404255E-3</v>
      </c>
      <c r="AK20" s="596">
        <f t="shared" si="47"/>
        <v>5.8351568198395333E-3</v>
      </c>
      <c r="AL20" s="596">
        <f t="shared" si="47"/>
        <v>8.023340627279359E-3</v>
      </c>
      <c r="AM20" s="596">
        <f>IFERROR(AM10/AM$12,"")</f>
        <v>3.2763532763532763E-2</v>
      </c>
    </row>
    <row r="21" spans="2:39" x14ac:dyDescent="0.25">
      <c r="B21" s="544" t="s">
        <v>761</v>
      </c>
      <c r="C21" s="543"/>
      <c r="D21" s="543"/>
      <c r="E21" s="543"/>
      <c r="F21" s="543"/>
      <c r="G21" s="543"/>
      <c r="H21" s="543"/>
      <c r="I21" s="543"/>
      <c r="J21" s="543"/>
      <c r="K21" s="543"/>
      <c r="L21" s="543"/>
      <c r="M21" s="1019"/>
      <c r="N21" s="543"/>
      <c r="O21" s="543"/>
      <c r="P21" s="543"/>
      <c r="Q21" s="543"/>
      <c r="R21" s="543"/>
      <c r="S21" s="543"/>
      <c r="T21" s="543"/>
      <c r="U21" s="543"/>
      <c r="V21" s="543"/>
      <c r="W21" s="543"/>
      <c r="X21" s="543"/>
      <c r="Y21" s="543"/>
      <c r="Z21" s="543"/>
      <c r="AA21" s="543"/>
      <c r="AB21" s="543"/>
      <c r="AC21" s="543"/>
      <c r="AD21" s="543"/>
      <c r="AE21" s="543"/>
      <c r="AF21" s="543"/>
      <c r="AG21" s="543"/>
      <c r="AH21" s="543"/>
      <c r="AI21" s="543"/>
      <c r="AJ21" s="543"/>
      <c r="AK21" s="543"/>
      <c r="AL21" s="543"/>
      <c r="AM21" s="543"/>
    </row>
    <row r="22" spans="2:39" hidden="1" x14ac:dyDescent="0.25">
      <c r="C22" s="543"/>
      <c r="D22" s="543"/>
      <c r="E22" s="543"/>
      <c r="F22" s="543"/>
      <c r="G22" s="543"/>
      <c r="H22" s="543"/>
      <c r="I22" s="543"/>
      <c r="J22" s="543"/>
      <c r="K22" s="543"/>
      <c r="L22" s="543"/>
      <c r="M22" s="1019"/>
      <c r="N22" s="543"/>
      <c r="O22" s="543"/>
      <c r="P22" s="543"/>
      <c r="Q22" s="543"/>
      <c r="R22" s="543"/>
      <c r="S22" s="543"/>
      <c r="T22" s="543"/>
      <c r="U22" s="543"/>
      <c r="V22" s="543"/>
      <c r="W22" s="543"/>
      <c r="X22" s="543"/>
      <c r="Y22" s="543"/>
      <c r="Z22" s="543"/>
      <c r="AA22" s="543"/>
      <c r="AB22" s="543"/>
      <c r="AC22" s="543"/>
      <c r="AD22" s="543"/>
      <c r="AE22" s="543"/>
      <c r="AF22" s="543"/>
      <c r="AG22" s="543"/>
      <c r="AH22" s="543"/>
      <c r="AI22" s="543"/>
      <c r="AJ22" s="543"/>
      <c r="AK22" s="543"/>
      <c r="AL22" s="543"/>
      <c r="AM22" s="543"/>
    </row>
    <row r="23" spans="2:39" hidden="1" x14ac:dyDescent="0.25">
      <c r="B23" s="585" t="s">
        <v>762</v>
      </c>
      <c r="C23" s="543"/>
      <c r="D23" s="543"/>
      <c r="E23" s="543"/>
      <c r="F23" s="543"/>
      <c r="G23" s="543"/>
      <c r="H23" s="543"/>
      <c r="I23" s="543"/>
      <c r="J23" s="543"/>
      <c r="K23" s="543"/>
      <c r="L23" s="543"/>
      <c r="M23" s="1019"/>
      <c r="N23" s="543"/>
      <c r="O23" s="543"/>
      <c r="P23" s="543"/>
      <c r="Q23" s="543"/>
      <c r="R23" s="543"/>
      <c r="S23" s="543"/>
      <c r="T23" s="543"/>
      <c r="U23" s="543"/>
      <c r="V23" s="543"/>
      <c r="W23" s="543"/>
      <c r="X23" s="543"/>
      <c r="Y23" s="543"/>
      <c r="Z23" s="543"/>
      <c r="AA23" s="543"/>
      <c r="AB23" s="543"/>
      <c r="AC23" s="543"/>
      <c r="AD23" s="543"/>
      <c r="AE23" s="543"/>
      <c r="AF23" s="543"/>
      <c r="AG23" s="543"/>
      <c r="AH23" s="543"/>
      <c r="AI23" s="543"/>
      <c r="AJ23" s="543"/>
      <c r="AK23" s="543"/>
      <c r="AL23" s="543"/>
      <c r="AM23" s="543"/>
    </row>
    <row r="24" spans="2:39" hidden="1" x14ac:dyDescent="0.25">
      <c r="B24" s="536" t="s">
        <v>97</v>
      </c>
      <c r="C24" s="596">
        <f t="shared" ref="C24:J24" si="84">IFERROR(C6/D6-1,"")</f>
        <v>-0.25899645210339584</v>
      </c>
      <c r="D24" s="596">
        <f t="shared" si="84"/>
        <v>-0.349059716265259</v>
      </c>
      <c r="E24" s="596">
        <f t="shared" si="84"/>
        <v>0.71436651583710398</v>
      </c>
      <c r="F24" s="596">
        <f t="shared" si="84"/>
        <v>0.49450549450549453</v>
      </c>
      <c r="G24" s="596">
        <f t="shared" si="84"/>
        <v>-0.11052631578947369</v>
      </c>
      <c r="H24" s="596">
        <f t="shared" si="84"/>
        <v>-0.10195813639432816</v>
      </c>
      <c r="I24" s="596">
        <f t="shared" si="84"/>
        <v>0.17726550079491266</v>
      </c>
      <c r="J24" s="596">
        <f t="shared" si="84"/>
        <v>3.7098103874690924E-2</v>
      </c>
      <c r="K24" s="596" t="str">
        <f>IFERROR(K6/#REF!-1,"")</f>
        <v/>
      </c>
      <c r="L24" s="543"/>
      <c r="M24" s="1024">
        <f t="shared" ref="M24:R30" si="85">IFERROR(M6/N6-1,"")</f>
        <v>-3.0726256983240274E-2</v>
      </c>
      <c r="N24" s="596">
        <f t="shared" si="85"/>
        <v>-4.0214477211796273E-2</v>
      </c>
      <c r="O24" s="596">
        <f t="shared" ref="O24:O30" si="86">IFERROR(O6/P6-1,"")</f>
        <v>9.384164222873892E-2</v>
      </c>
      <c r="P24" s="596">
        <f t="shared" si="85"/>
        <v>-0.10498687664041995</v>
      </c>
      <c r="Q24" s="596">
        <f t="shared" si="85"/>
        <v>3.8147138964577554E-2</v>
      </c>
      <c r="R24" s="596">
        <f t="shared" si="85"/>
        <v>-0.20390455531453366</v>
      </c>
      <c r="S24" s="596">
        <f t="shared" ref="S24:S30" si="87">IFERROR(S6/T6-1,"")</f>
        <v>-3.3542976939203384E-2</v>
      </c>
      <c r="T24" s="596">
        <f t="shared" ref="T24:W30" si="88">IFERROR(T6/U6-1,"")</f>
        <v>-5.5445544554455495E-2</v>
      </c>
      <c r="U24" s="596">
        <f t="shared" si="88"/>
        <v>-4.7169811320754707E-2</v>
      </c>
      <c r="V24" s="596">
        <f t="shared" si="88"/>
        <v>-0.27197802197802201</v>
      </c>
      <c r="W24" s="596">
        <f t="shared" si="88"/>
        <v>0.10303030303030303</v>
      </c>
      <c r="X24" s="596">
        <f t="shared" ref="X24:X30" si="89">IFERROR(X6/Y6-1,"")</f>
        <v>0.68367346938775508</v>
      </c>
      <c r="Y24" s="596">
        <f t="shared" ref="Y24:Y30" si="90">IFERROR(Y6/Z6-1,"")</f>
        <v>5.9459459459459518E-2</v>
      </c>
      <c r="Z24" s="596">
        <f t="shared" ref="Z24:Z30" si="91">IFERROR(Z6/AA6-1,"")</f>
        <v>6.9364161849710948E-2</v>
      </c>
      <c r="AA24" s="596">
        <f t="shared" ref="AA24:AA30" si="92">IFERROR(AA6/AB6-1,"")</f>
        <v>2.6706231454005858E-2</v>
      </c>
      <c r="AB24" s="596">
        <f t="shared" ref="AB24:AM24" si="93">IFERROR(AB6/AC6-1,"")</f>
        <v>0.22992700729927007</v>
      </c>
      <c r="AC24" s="596">
        <f t="shared" si="93"/>
        <v>-8.9700996677740896E-2</v>
      </c>
      <c r="AD24" s="596">
        <f t="shared" si="93"/>
        <v>0.11070110701107017</v>
      </c>
      <c r="AE24" s="596">
        <f t="shared" si="93"/>
        <v>3.4351145038167941E-2</v>
      </c>
      <c r="AF24" s="596">
        <f t="shared" si="93"/>
        <v>-0.21321321321321318</v>
      </c>
      <c r="AG24" s="596">
        <f t="shared" si="93"/>
        <v>-0.14395886889460152</v>
      </c>
      <c r="AH24" s="596">
        <f t="shared" si="93"/>
        <v>0.12427745664739875</v>
      </c>
      <c r="AI24" s="596">
        <f t="shared" si="93"/>
        <v>-0.26694915254237284</v>
      </c>
      <c r="AJ24" s="596">
        <f t="shared" si="93"/>
        <v>0.28260869565217384</v>
      </c>
      <c r="AK24" s="596">
        <f t="shared" si="93"/>
        <v>0.16455696202531644</v>
      </c>
      <c r="AL24" s="596">
        <f t="shared" si="93"/>
        <v>-2.7692307692307683E-2</v>
      </c>
      <c r="AM24" s="596" t="str">
        <f t="shared" si="93"/>
        <v/>
      </c>
    </row>
    <row r="25" spans="2:39" hidden="1" x14ac:dyDescent="0.25">
      <c r="B25" s="536" t="s">
        <v>767</v>
      </c>
      <c r="C25" s="596">
        <f t="shared" ref="C25:J30" si="94">IFERROR(C7/D7-1,"")</f>
        <v>-4.2970574497898206E-2</v>
      </c>
      <c r="D25" s="596">
        <f t="shared" si="94"/>
        <v>-0.2490354261662574</v>
      </c>
      <c r="E25" s="596">
        <f t="shared" si="94"/>
        <v>0.22150814053127688</v>
      </c>
      <c r="F25" s="596">
        <f t="shared" si="94"/>
        <v>0.24746125066809199</v>
      </c>
      <c r="G25" s="596">
        <f t="shared" si="94"/>
        <v>-1.5781167806417695E-2</v>
      </c>
      <c r="H25" s="596">
        <f t="shared" si="94"/>
        <v>-4.9975012493753135E-2</v>
      </c>
      <c r="I25" s="596">
        <f t="shared" si="94"/>
        <v>3.2507739938080427E-2</v>
      </c>
      <c r="J25" s="596">
        <f t="shared" si="94"/>
        <v>-6.9164265129682989E-2</v>
      </c>
      <c r="K25" s="596" t="str">
        <f>IFERROR(K7/#REF!-1,"")</f>
        <v/>
      </c>
      <c r="L25" s="543"/>
      <c r="M25" s="1024">
        <f t="shared" si="85"/>
        <v>9.8880597014925353E-2</v>
      </c>
      <c r="N25" s="596">
        <f t="shared" si="85"/>
        <v>0.12842105263157899</v>
      </c>
      <c r="O25" s="596">
        <f t="shared" si="86"/>
        <v>-0.10207939508506614</v>
      </c>
      <c r="P25" s="596">
        <f t="shared" si="85"/>
        <v>1.8939393939394478E-3</v>
      </c>
      <c r="Q25" s="596">
        <f t="shared" si="85"/>
        <v>2.1276595744680771E-2</v>
      </c>
      <c r="R25" s="596">
        <f t="shared" si="85"/>
        <v>0.39729729729729724</v>
      </c>
      <c r="S25" s="596">
        <f t="shared" si="87"/>
        <v>-0.33810375670840787</v>
      </c>
      <c r="T25" s="596">
        <f t="shared" si="88"/>
        <v>1.0849909584086825E-2</v>
      </c>
      <c r="U25" s="596">
        <f t="shared" si="88"/>
        <v>-0.16084977238239762</v>
      </c>
      <c r="V25" s="596">
        <f t="shared" si="88"/>
        <v>-0.11898395721925137</v>
      </c>
      <c r="W25" s="596">
        <f t="shared" si="88"/>
        <v>0.28965517241379302</v>
      </c>
      <c r="X25" s="596">
        <f t="shared" si="89"/>
        <v>-7.9365079365079416E-2</v>
      </c>
      <c r="Y25" s="596">
        <f t="shared" si="90"/>
        <v>5.175292153589317E-2</v>
      </c>
      <c r="Z25" s="596">
        <f t="shared" si="91"/>
        <v>0.14095238095238094</v>
      </c>
      <c r="AA25" s="596">
        <f t="shared" si="92"/>
        <v>9.603340292275564E-2</v>
      </c>
      <c r="AB25" s="596">
        <f t="shared" ref="AB25:AL30" si="95">IFERROR(AB7/AC7-1,"")</f>
        <v>-1.8442622950819665E-2</v>
      </c>
      <c r="AC25" s="596">
        <f t="shared" si="95"/>
        <v>0.15914489311163904</v>
      </c>
      <c r="AD25" s="596">
        <f t="shared" si="95"/>
        <v>-0.12836438923395443</v>
      </c>
      <c r="AE25" s="596">
        <f t="shared" si="95"/>
        <v>0.20750000000000002</v>
      </c>
      <c r="AF25" s="596">
        <f t="shared" si="95"/>
        <v>-0.18533604887983701</v>
      </c>
      <c r="AG25" s="596">
        <f t="shared" si="95"/>
        <v>-1.0080645161290369E-2</v>
      </c>
      <c r="AH25" s="596">
        <f t="shared" si="95"/>
        <v>-3.5019455252918275E-2</v>
      </c>
      <c r="AI25" s="596">
        <f t="shared" si="95"/>
        <v>9.1295116772823759E-2</v>
      </c>
      <c r="AJ25" s="596">
        <f t="shared" si="95"/>
        <v>-8.1871345029239762E-2</v>
      </c>
      <c r="AK25" s="596">
        <f t="shared" si="95"/>
        <v>7.8585461689586467E-3</v>
      </c>
      <c r="AL25" s="596">
        <f t="shared" si="95"/>
        <v>1.9685039370078705E-3</v>
      </c>
      <c r="AM25" s="596" t="str">
        <f t="shared" ref="AM25:AM30" si="96">IFERROR(AM7/AN7-1,"")</f>
        <v/>
      </c>
    </row>
    <row r="26" spans="2:39" hidden="1" x14ac:dyDescent="0.25">
      <c r="B26" s="536" t="s">
        <v>99</v>
      </c>
      <c r="C26" s="596">
        <f t="shared" si="94"/>
        <v>1.1608623548922115E-2</v>
      </c>
      <c r="D26" s="596">
        <f t="shared" si="94"/>
        <v>-0.30569948186528495</v>
      </c>
      <c r="E26" s="596">
        <f t="shared" si="94"/>
        <v>8.4946908182385927E-2</v>
      </c>
      <c r="F26" s="596">
        <f t="shared" si="94"/>
        <v>0.28904991948470204</v>
      </c>
      <c r="G26" s="596">
        <f t="shared" si="94"/>
        <v>-4.9732211170619767E-2</v>
      </c>
      <c r="H26" s="596">
        <f t="shared" si="94"/>
        <v>2.0296643247462942E-2</v>
      </c>
      <c r="I26" s="596">
        <f t="shared" si="94"/>
        <v>8.6513994910941472E-2</v>
      </c>
      <c r="J26" s="596">
        <f t="shared" si="94"/>
        <v>6.1206120612061099E-2</v>
      </c>
      <c r="K26" s="596" t="str">
        <f>IFERROR(K8/#REF!-1,"")</f>
        <v/>
      </c>
      <c r="L26" s="543"/>
      <c r="M26" s="1024">
        <f t="shared" si="85"/>
        <v>-6.8047337278106523E-2</v>
      </c>
      <c r="N26" s="596">
        <f t="shared" si="85"/>
        <v>0.22909090909090901</v>
      </c>
      <c r="O26" s="596">
        <f t="shared" si="86"/>
        <v>-9.8360655737704916E-2</v>
      </c>
      <c r="P26" s="596">
        <f t="shared" si="85"/>
        <v>-1.2944983818770184E-2</v>
      </c>
      <c r="Q26" s="596">
        <f t="shared" si="85"/>
        <v>-6.6465256797583083E-2</v>
      </c>
      <c r="R26" s="596">
        <f t="shared" si="85"/>
        <v>0.12585034013605445</v>
      </c>
      <c r="S26" s="596">
        <f t="shared" si="87"/>
        <v>0.11363636363636354</v>
      </c>
      <c r="T26" s="596">
        <f t="shared" si="88"/>
        <v>-0.11111111111111116</v>
      </c>
      <c r="U26" s="596">
        <f t="shared" si="88"/>
        <v>-0.15384615384615385</v>
      </c>
      <c r="V26" s="596">
        <f t="shared" si="88"/>
        <v>-0.28073770491803274</v>
      </c>
      <c r="W26" s="596">
        <f t="shared" si="88"/>
        <v>0.16746411483253598</v>
      </c>
      <c r="X26" s="596">
        <f t="shared" si="89"/>
        <v>9.1383812010443766E-2</v>
      </c>
      <c r="Y26" s="596">
        <f t="shared" si="90"/>
        <v>-5.6650246305418706E-2</v>
      </c>
      <c r="Z26" s="596">
        <f t="shared" si="91"/>
        <v>3.0456852791878264E-2</v>
      </c>
      <c r="AA26" s="596">
        <f t="shared" si="92"/>
        <v>0.18318318318318316</v>
      </c>
      <c r="AB26" s="596">
        <f t="shared" si="95"/>
        <v>0.24719101123595499</v>
      </c>
      <c r="AC26" s="596">
        <f t="shared" si="95"/>
        <v>-4.9822064056939452E-2</v>
      </c>
      <c r="AD26" s="596">
        <f t="shared" si="95"/>
        <v>-0.22160664819944598</v>
      </c>
      <c r="AE26" s="596">
        <f t="shared" si="95"/>
        <v>0.24482758620689649</v>
      </c>
      <c r="AF26" s="596">
        <f t="shared" si="95"/>
        <v>-0.13946587537091992</v>
      </c>
      <c r="AG26" s="596">
        <f t="shared" si="95"/>
        <v>1.2012012012011963E-2</v>
      </c>
      <c r="AH26" s="596">
        <f t="shared" si="95"/>
        <v>-4.0345821325648457E-2</v>
      </c>
      <c r="AI26" s="596">
        <f t="shared" si="95"/>
        <v>9.8101265822784889E-2</v>
      </c>
      <c r="AJ26" s="596">
        <f t="shared" si="95"/>
        <v>-2.7692307692307683E-2</v>
      </c>
      <c r="AK26" s="596">
        <f t="shared" si="95"/>
        <v>-3.0674846625766694E-3</v>
      </c>
      <c r="AL26" s="596">
        <f t="shared" si="95"/>
        <v>3.8216560509554132E-2</v>
      </c>
      <c r="AM26" s="596" t="str">
        <f t="shared" si="96"/>
        <v/>
      </c>
    </row>
    <row r="27" spans="2:39" hidden="1" x14ac:dyDescent="0.25">
      <c r="B27" s="536" t="s">
        <v>768</v>
      </c>
      <c r="C27" s="596">
        <f t="shared" si="94"/>
        <v>-5.6179775280898903E-2</v>
      </c>
      <c r="D27" s="596">
        <f t="shared" si="94"/>
        <v>-0.13846801346801352</v>
      </c>
      <c r="E27" s="596">
        <f t="shared" si="94"/>
        <v>0.93800978792822187</v>
      </c>
      <c r="F27" s="596">
        <f t="shared" si="94"/>
        <v>0.71468531468531471</v>
      </c>
      <c r="G27" s="596">
        <f t="shared" si="94"/>
        <v>2.2889842632331847E-2</v>
      </c>
      <c r="H27" s="596">
        <f t="shared" si="94"/>
        <v>-2.781641168289295E-2</v>
      </c>
      <c r="I27" s="596">
        <f t="shared" si="94"/>
        <v>7.1535022354694444E-2</v>
      </c>
      <c r="J27" s="596">
        <f t="shared" si="94"/>
        <v>6.1708860759493778E-2</v>
      </c>
      <c r="K27" s="596" t="str">
        <f>IFERROR(K9/#REF!-1,"")</f>
        <v/>
      </c>
      <c r="L27" s="543"/>
      <c r="M27" s="1024">
        <f t="shared" si="85"/>
        <v>8.7576374745417462E-2</v>
      </c>
      <c r="N27" s="596">
        <f t="shared" si="85"/>
        <v>0.12873563218390816</v>
      </c>
      <c r="O27" s="596">
        <f t="shared" si="86"/>
        <v>-0.1853932584269663</v>
      </c>
      <c r="P27" s="596">
        <f t="shared" si="85"/>
        <v>9.2024539877300526E-2</v>
      </c>
      <c r="Q27" s="596">
        <f t="shared" si="85"/>
        <v>3.1645569620253111E-2</v>
      </c>
      <c r="R27" s="596">
        <f t="shared" si="85"/>
        <v>-2.1052631578947212E-3</v>
      </c>
      <c r="S27" s="596">
        <f t="shared" si="87"/>
        <v>-0.13003663003663002</v>
      </c>
      <c r="T27" s="596">
        <f t="shared" si="88"/>
        <v>0.15433403805496826</v>
      </c>
      <c r="U27" s="596">
        <f t="shared" si="88"/>
        <v>-0.1446654611211573</v>
      </c>
      <c r="V27" s="596">
        <f t="shared" si="88"/>
        <v>-5.3956834532373765E-3</v>
      </c>
      <c r="W27" s="596">
        <f t="shared" si="88"/>
        <v>0.4866310160427807</v>
      </c>
      <c r="X27" s="596">
        <f t="shared" si="89"/>
        <v>-1.319261213720313E-2</v>
      </c>
      <c r="Y27" s="596">
        <f t="shared" si="90"/>
        <v>0.61276595744680851</v>
      </c>
      <c r="Z27" s="596">
        <f t="shared" si="91"/>
        <v>-1.2605042016806678E-2</v>
      </c>
      <c r="AA27" s="596">
        <f t="shared" si="92"/>
        <v>0.50632911392405067</v>
      </c>
      <c r="AB27" s="596">
        <f t="shared" si="95"/>
        <v>-5.9523809523809534E-2</v>
      </c>
      <c r="AC27" s="596">
        <f t="shared" si="95"/>
        <v>-0.1295336787564767</v>
      </c>
      <c r="AD27" s="596">
        <f t="shared" si="95"/>
        <v>-1.5306122448979553E-2</v>
      </c>
      <c r="AE27" s="596">
        <f t="shared" si="95"/>
        <v>0.35172413793103452</v>
      </c>
      <c r="AF27" s="596">
        <f t="shared" si="95"/>
        <v>-7.0512820512820484E-2</v>
      </c>
      <c r="AG27" s="596">
        <f t="shared" si="95"/>
        <v>-0.2160804020100503</v>
      </c>
      <c r="AH27" s="596">
        <f t="shared" si="95"/>
        <v>0</v>
      </c>
      <c r="AI27" s="596">
        <f t="shared" si="95"/>
        <v>0.40140845070422526</v>
      </c>
      <c r="AJ27" s="596">
        <f t="shared" si="95"/>
        <v>-9.5541401273885329E-2</v>
      </c>
      <c r="AK27" s="596">
        <f t="shared" si="95"/>
        <v>-0.24880382775119614</v>
      </c>
      <c r="AL27" s="596">
        <f t="shared" si="95"/>
        <v>-9.4786729857819774E-3</v>
      </c>
      <c r="AM27" s="596" t="str">
        <f t="shared" si="96"/>
        <v/>
      </c>
    </row>
    <row r="28" spans="2:39" hidden="1" x14ac:dyDescent="0.25">
      <c r="B28" s="536" t="s">
        <v>769</v>
      </c>
      <c r="C28" s="596">
        <f t="shared" si="94"/>
        <v>5.3254437869822535E-2</v>
      </c>
      <c r="D28" s="596">
        <f t="shared" si="94"/>
        <v>7.4499999999999993</v>
      </c>
      <c r="E28" s="596">
        <f t="shared" si="94"/>
        <v>-0.23076923076923073</v>
      </c>
      <c r="F28" s="596">
        <f t="shared" si="94"/>
        <v>-0.1875</v>
      </c>
      <c r="G28" s="596">
        <f t="shared" si="94"/>
        <v>-5.8823529411764719E-2</v>
      </c>
      <c r="H28" s="596">
        <f t="shared" si="94"/>
        <v>-0.54054054054054057</v>
      </c>
      <c r="I28" s="596">
        <f t="shared" si="94"/>
        <v>-0.80107526881720426</v>
      </c>
      <c r="J28" s="596">
        <f t="shared" si="94"/>
        <v>0.14461538461538459</v>
      </c>
      <c r="K28" s="596" t="str">
        <f>IFERROR(K10/#REF!-1,"")</f>
        <v/>
      </c>
      <c r="L28" s="543"/>
      <c r="M28" s="1024">
        <f t="shared" si="85"/>
        <v>6.8181818181818121E-2</v>
      </c>
      <c r="N28" s="596">
        <f t="shared" si="85"/>
        <v>2.3255813953488413E-2</v>
      </c>
      <c r="O28" s="596">
        <f t="shared" si="86"/>
        <v>-2.2727272727272707E-2</v>
      </c>
      <c r="P28" s="596">
        <f t="shared" si="85"/>
        <v>-2.2222222222222254E-2</v>
      </c>
      <c r="Q28" s="596">
        <f t="shared" si="85"/>
        <v>-2.1739130434782594E-2</v>
      </c>
      <c r="R28" s="596">
        <f t="shared" si="85"/>
        <v>-0.676056338028169</v>
      </c>
      <c r="S28" s="596">
        <f t="shared" si="87"/>
        <v>7.875</v>
      </c>
      <c r="T28" s="596">
        <f t="shared" si="88"/>
        <v>1.6666666666666665</v>
      </c>
      <c r="U28" s="596">
        <f t="shared" si="88"/>
        <v>0.19999999999999996</v>
      </c>
      <c r="V28" s="596">
        <f t="shared" si="88"/>
        <v>0</v>
      </c>
      <c r="W28" s="596">
        <f t="shared" si="88"/>
        <v>-0.16666666666666663</v>
      </c>
      <c r="X28" s="596">
        <f t="shared" si="89"/>
        <v>0</v>
      </c>
      <c r="Y28" s="596">
        <f t="shared" si="90"/>
        <v>-0.1428571428571429</v>
      </c>
      <c r="Z28" s="596">
        <f t="shared" si="91"/>
        <v>0</v>
      </c>
      <c r="AA28" s="596">
        <f t="shared" si="92"/>
        <v>-0.30000000000000004</v>
      </c>
      <c r="AB28" s="596">
        <f t="shared" si="95"/>
        <v>0.4285714285714286</v>
      </c>
      <c r="AC28" s="596">
        <f t="shared" si="95"/>
        <v>0</v>
      </c>
      <c r="AD28" s="596">
        <f t="shared" si="95"/>
        <v>-0.125</v>
      </c>
      <c r="AE28" s="596">
        <f t="shared" si="95"/>
        <v>-0.11111111111111116</v>
      </c>
      <c r="AF28" s="596">
        <f t="shared" si="95"/>
        <v>0.125</v>
      </c>
      <c r="AG28" s="596">
        <f t="shared" si="95"/>
        <v>0</v>
      </c>
      <c r="AH28" s="596">
        <f t="shared" si="95"/>
        <v>-0.11111111111111116</v>
      </c>
      <c r="AI28" s="596">
        <f t="shared" si="95"/>
        <v>0</v>
      </c>
      <c r="AJ28" s="596">
        <f t="shared" si="95"/>
        <v>0.125</v>
      </c>
      <c r="AK28" s="596">
        <f t="shared" si="95"/>
        <v>-0.27272727272727271</v>
      </c>
      <c r="AL28" s="596">
        <f t="shared" si="95"/>
        <v>-0.76086956521739135</v>
      </c>
      <c r="AM28" s="596" t="str">
        <f t="shared" si="96"/>
        <v/>
      </c>
    </row>
    <row r="29" spans="2:39" hidden="1" x14ac:dyDescent="0.25">
      <c r="B29" s="544" t="s">
        <v>761</v>
      </c>
      <c r="C29" s="559" t="str">
        <f t="shared" si="94"/>
        <v/>
      </c>
      <c r="D29" s="559" t="str">
        <f t="shared" si="94"/>
        <v/>
      </c>
      <c r="E29" s="559" t="str">
        <f t="shared" si="94"/>
        <v/>
      </c>
      <c r="F29" s="559" t="str">
        <f t="shared" si="94"/>
        <v/>
      </c>
      <c r="G29" s="559" t="str">
        <f t="shared" si="94"/>
        <v/>
      </c>
      <c r="H29" s="559" t="str">
        <f t="shared" si="94"/>
        <v/>
      </c>
      <c r="I29" s="559" t="str">
        <f t="shared" si="94"/>
        <v/>
      </c>
      <c r="J29" s="559" t="str">
        <f t="shared" si="94"/>
        <v/>
      </c>
      <c r="K29" s="559" t="str">
        <f>IFERROR(K11/#REF!-1,"")</f>
        <v/>
      </c>
      <c r="L29" s="543"/>
      <c r="M29" s="1025" t="str">
        <f t="shared" si="85"/>
        <v/>
      </c>
      <c r="N29" s="559" t="str">
        <f t="shared" si="85"/>
        <v/>
      </c>
      <c r="O29" s="559" t="str">
        <f t="shared" si="86"/>
        <v/>
      </c>
      <c r="P29" s="559" t="str">
        <f t="shared" si="85"/>
        <v/>
      </c>
      <c r="Q29" s="559" t="str">
        <f t="shared" si="85"/>
        <v/>
      </c>
      <c r="R29" s="559" t="str">
        <f t="shared" si="85"/>
        <v/>
      </c>
      <c r="S29" s="559" t="str">
        <f t="shared" si="87"/>
        <v/>
      </c>
      <c r="T29" s="559" t="str">
        <f t="shared" si="88"/>
        <v/>
      </c>
      <c r="U29" s="559" t="str">
        <f t="shared" si="88"/>
        <v/>
      </c>
      <c r="V29" s="559" t="str">
        <f t="shared" si="88"/>
        <v/>
      </c>
      <c r="W29" s="559" t="str">
        <f t="shared" si="88"/>
        <v/>
      </c>
      <c r="X29" s="559" t="str">
        <f t="shared" si="89"/>
        <v/>
      </c>
      <c r="Y29" s="559" t="str">
        <f t="shared" si="90"/>
        <v/>
      </c>
      <c r="Z29" s="559" t="str">
        <f t="shared" si="91"/>
        <v/>
      </c>
      <c r="AA29" s="559" t="str">
        <f t="shared" si="92"/>
        <v/>
      </c>
      <c r="AB29" s="559" t="str">
        <f t="shared" si="95"/>
        <v/>
      </c>
      <c r="AC29" s="559" t="str">
        <f t="shared" si="95"/>
        <v/>
      </c>
      <c r="AD29" s="559" t="str">
        <f t="shared" si="95"/>
        <v/>
      </c>
      <c r="AE29" s="559" t="str">
        <f t="shared" si="95"/>
        <v/>
      </c>
      <c r="AF29" s="559" t="str">
        <f t="shared" si="95"/>
        <v/>
      </c>
      <c r="AG29" s="559" t="str">
        <f t="shared" si="95"/>
        <v/>
      </c>
      <c r="AH29" s="559" t="str">
        <f t="shared" si="95"/>
        <v/>
      </c>
      <c r="AI29" s="559" t="str">
        <f t="shared" si="95"/>
        <v/>
      </c>
      <c r="AJ29" s="559" t="str">
        <f t="shared" si="95"/>
        <v/>
      </c>
      <c r="AK29" s="559" t="str">
        <f t="shared" si="95"/>
        <v/>
      </c>
      <c r="AL29" s="559" t="str">
        <f t="shared" si="95"/>
        <v/>
      </c>
      <c r="AM29" s="559" t="str">
        <f t="shared" si="96"/>
        <v/>
      </c>
    </row>
    <row r="30" spans="2:39" hidden="1" x14ac:dyDescent="0.25">
      <c r="B30" s="547" t="s">
        <v>103</v>
      </c>
      <c r="C30" s="553">
        <f t="shared" si="94"/>
        <v>-9.2223991507430991E-2</v>
      </c>
      <c r="D30" s="553">
        <f t="shared" si="94"/>
        <v>-0.24752870693959061</v>
      </c>
      <c r="E30" s="553">
        <f t="shared" si="94"/>
        <v>0.43997124370956153</v>
      </c>
      <c r="F30" s="553">
        <f t="shared" si="94"/>
        <v>0.37913940115010902</v>
      </c>
      <c r="G30" s="553">
        <f t="shared" si="94"/>
        <v>-4.3255549231644874E-2</v>
      </c>
      <c r="H30" s="553">
        <f t="shared" si="94"/>
        <v>-5.1295896328293789E-2</v>
      </c>
      <c r="I30" s="553">
        <f t="shared" si="94"/>
        <v>2.5470653377630104E-2</v>
      </c>
      <c r="J30" s="553">
        <f t="shared" si="94"/>
        <v>1.0255454036919742E-2</v>
      </c>
      <c r="K30" s="553" t="str">
        <f>IFERROR(K12/#REF!-1,"")</f>
        <v/>
      </c>
      <c r="L30" s="543"/>
      <c r="M30" s="1023">
        <f t="shared" si="85"/>
        <v>3.6785512167515577E-2</v>
      </c>
      <c r="N30" s="553">
        <f t="shared" si="85"/>
        <v>0.10368519675203003</v>
      </c>
      <c r="O30" s="553">
        <f t="shared" si="86"/>
        <v>-8.6708499714774678E-2</v>
      </c>
      <c r="P30" s="553">
        <f t="shared" si="85"/>
        <v>5.7077625570767232E-4</v>
      </c>
      <c r="Q30" s="553">
        <f t="shared" si="85"/>
        <v>9.7982708933717078E-3</v>
      </c>
      <c r="R30" s="553">
        <f t="shared" si="85"/>
        <v>-4.0183696900114585E-3</v>
      </c>
      <c r="S30" s="553">
        <f t="shared" si="87"/>
        <v>-6.4446831364124546E-2</v>
      </c>
      <c r="T30" s="553">
        <f t="shared" si="88"/>
        <v>1.5267175572519109E-2</v>
      </c>
      <c r="U30" s="553">
        <f t="shared" si="88"/>
        <v>-0.12583412774070546</v>
      </c>
      <c r="V30" s="553">
        <f t="shared" si="88"/>
        <v>-0.16910891089108915</v>
      </c>
      <c r="W30" s="553">
        <f t="shared" si="88"/>
        <v>0.23895976447497547</v>
      </c>
      <c r="X30" s="553">
        <f t="shared" si="89"/>
        <v>0.13854748603351963</v>
      </c>
      <c r="Y30" s="553">
        <f t="shared" si="90"/>
        <v>0.10698824984539268</v>
      </c>
      <c r="Z30" s="553">
        <f t="shared" si="91"/>
        <v>7.0860927152317954E-2</v>
      </c>
      <c r="AA30" s="553">
        <f t="shared" si="92"/>
        <v>0.14654517843583892</v>
      </c>
      <c r="AB30" s="553">
        <f t="shared" si="95"/>
        <v>9.3853820598006621E-2</v>
      </c>
      <c r="AC30" s="553">
        <f t="shared" si="95"/>
        <v>8.3125519534488213E-4</v>
      </c>
      <c r="AD30" s="553">
        <f t="shared" si="95"/>
        <v>-8.7945413191811928E-2</v>
      </c>
      <c r="AE30" s="553">
        <f t="shared" si="95"/>
        <v>0.19258589511754076</v>
      </c>
      <c r="AF30" s="553">
        <f t="shared" si="95"/>
        <v>-0.16528301886792451</v>
      </c>
      <c r="AG30" s="553">
        <f t="shared" si="95"/>
        <v>-7.0175438596491224E-2</v>
      </c>
      <c r="AH30" s="553">
        <f t="shared" si="95"/>
        <v>7.0671378091873294E-3</v>
      </c>
      <c r="AI30" s="553">
        <f t="shared" si="95"/>
        <v>3.5460992907800915E-3</v>
      </c>
      <c r="AJ30" s="553">
        <f t="shared" si="95"/>
        <v>2.8446389496717739E-2</v>
      </c>
      <c r="AK30" s="553">
        <f t="shared" si="95"/>
        <v>0</v>
      </c>
      <c r="AL30" s="553">
        <f t="shared" si="95"/>
        <v>-2.3504273504273532E-2</v>
      </c>
      <c r="AM30" s="553" t="str">
        <f t="shared" si="96"/>
        <v/>
      </c>
    </row>
    <row r="31" spans="2:39" x14ac:dyDescent="0.25">
      <c r="C31" s="543"/>
      <c r="D31" s="543"/>
      <c r="E31" s="543"/>
      <c r="F31" s="543"/>
      <c r="G31" s="543"/>
      <c r="H31" s="543"/>
      <c r="I31" s="543"/>
      <c r="J31" s="543"/>
      <c r="K31" s="543"/>
      <c r="L31" s="543"/>
      <c r="M31" s="1019"/>
      <c r="N31" s="543"/>
      <c r="O31" s="543"/>
      <c r="P31" s="543"/>
      <c r="Q31" s="543"/>
      <c r="R31" s="543"/>
      <c r="S31" s="543"/>
      <c r="T31" s="543"/>
      <c r="U31" s="543"/>
      <c r="V31" s="543"/>
      <c r="W31" s="543"/>
      <c r="X31" s="543"/>
      <c r="Y31" s="543"/>
      <c r="Z31" s="543"/>
      <c r="AA31" s="543"/>
      <c r="AB31" s="543"/>
      <c r="AC31" s="543"/>
      <c r="AD31" s="543"/>
      <c r="AE31" s="543"/>
      <c r="AF31" s="543"/>
      <c r="AG31" s="543"/>
      <c r="AH31" s="543"/>
      <c r="AI31" s="543"/>
      <c r="AJ31" s="543"/>
      <c r="AK31" s="543"/>
      <c r="AL31" s="543"/>
      <c r="AM31" s="543"/>
    </row>
    <row r="32" spans="2:39" x14ac:dyDescent="0.25">
      <c r="B32" s="585" t="s">
        <v>763</v>
      </c>
      <c r="C32" s="803"/>
      <c r="D32" s="803"/>
      <c r="E32" s="803"/>
      <c r="F32" s="803"/>
      <c r="G32" s="543"/>
      <c r="H32" s="543"/>
      <c r="I32" s="543"/>
      <c r="J32" s="543"/>
      <c r="K32" s="543"/>
      <c r="L32" s="543"/>
      <c r="M32" s="1019"/>
      <c r="N32" s="543"/>
      <c r="O32" s="543"/>
      <c r="P32" s="543"/>
      <c r="Q32" s="543"/>
      <c r="R32" s="543"/>
      <c r="S32" s="543"/>
      <c r="T32" s="543"/>
      <c r="U32" s="543"/>
      <c r="V32" s="543"/>
      <c r="W32" s="543"/>
      <c r="X32" s="543"/>
      <c r="Y32" s="543"/>
      <c r="Z32" s="543"/>
      <c r="AA32" s="543"/>
      <c r="AB32" s="543"/>
      <c r="AC32" s="543"/>
      <c r="AD32" s="543"/>
      <c r="AE32" s="543"/>
      <c r="AF32" s="543"/>
      <c r="AG32" s="543"/>
      <c r="AH32" s="543"/>
      <c r="AI32" s="543"/>
      <c r="AJ32" s="543"/>
      <c r="AK32" s="543"/>
      <c r="AL32" s="543"/>
      <c r="AM32" s="543"/>
    </row>
    <row r="33" spans="2:44" x14ac:dyDescent="0.25">
      <c r="B33" s="536" t="s">
        <v>97</v>
      </c>
      <c r="C33" s="543">
        <f t="shared" ref="C33:C38" si="97">O33+P33+Q33+R33</f>
        <v>250</v>
      </c>
      <c r="D33" s="543">
        <v>668</v>
      </c>
      <c r="E33" s="543">
        <v>1822</v>
      </c>
      <c r="F33" s="543">
        <v>399</v>
      </c>
      <c r="G33" s="543">
        <v>120</v>
      </c>
      <c r="H33" s="543">
        <v>289</v>
      </c>
      <c r="I33" s="543">
        <v>315</v>
      </c>
      <c r="J33" s="543">
        <v>198</v>
      </c>
      <c r="K33" s="543">
        <v>245</v>
      </c>
      <c r="L33" s="543"/>
      <c r="M33" s="1020">
        <v>52</v>
      </c>
      <c r="N33" s="543">
        <v>56</v>
      </c>
      <c r="O33" s="543">
        <v>69</v>
      </c>
      <c r="P33" s="543">
        <v>59</v>
      </c>
      <c r="Q33" s="543">
        <v>60</v>
      </c>
      <c r="R33" s="543">
        <v>62</v>
      </c>
      <c r="S33" s="543">
        <f t="shared" ref="S33:S38" si="98">D33-(V33+U33+T33)</f>
        <v>122</v>
      </c>
      <c r="T33" s="543">
        <v>125</v>
      </c>
      <c r="U33" s="543">
        <v>167</v>
      </c>
      <c r="V33" s="543">
        <v>254</v>
      </c>
      <c r="W33" s="543">
        <v>410</v>
      </c>
      <c r="X33" s="543">
        <f>F33-(AA33+Z33+Y33)</f>
        <v>244</v>
      </c>
      <c r="Y33" s="543">
        <v>83</v>
      </c>
      <c r="Z33" s="543">
        <v>43</v>
      </c>
      <c r="AA33" s="543">
        <v>29</v>
      </c>
      <c r="AB33" s="543">
        <f>G33-(AE33+AD33+AC33)</f>
        <v>40</v>
      </c>
      <c r="AC33" s="543">
        <v>28</v>
      </c>
      <c r="AD33" s="543">
        <v>38</v>
      </c>
      <c r="AE33" s="543">
        <v>14</v>
      </c>
      <c r="AF33" s="543">
        <f t="shared" ref="AF33:AF38" si="99">H33-AG33-AH33-AI33</f>
        <v>22</v>
      </c>
      <c r="AG33" s="543">
        <v>83</v>
      </c>
      <c r="AH33" s="543">
        <v>105</v>
      </c>
      <c r="AI33" s="543">
        <v>79</v>
      </c>
      <c r="AJ33" s="543">
        <f t="shared" ref="AJ33:AJ38" si="100">I33-AK33-AL33-AM33</f>
        <v>138</v>
      </c>
      <c r="AK33" s="543">
        <v>78</v>
      </c>
      <c r="AL33" s="543">
        <v>56</v>
      </c>
      <c r="AM33" s="543">
        <v>43</v>
      </c>
      <c r="AO33" s="646">
        <f t="shared" ref="AO33:AO38" si="101">K33</f>
        <v>245</v>
      </c>
      <c r="AP33" s="536">
        <f t="shared" ref="AP33:AP39" si="102">AO33/$AO$39</f>
        <v>0.41315345699831368</v>
      </c>
      <c r="AQ33" s="536">
        <f t="shared" ref="AQ33:AQ39" si="103">AP33*$AO$40</f>
        <v>-132.62225969645868</v>
      </c>
      <c r="AR33" s="646">
        <f t="shared" ref="AR33:AR38" si="104">AO33+AQ33</f>
        <v>112.37774030354132</v>
      </c>
    </row>
    <row r="34" spans="2:44" x14ac:dyDescent="0.25">
      <c r="B34" s="536" t="s">
        <v>767</v>
      </c>
      <c r="C34" s="543">
        <f t="shared" si="97"/>
        <v>358</v>
      </c>
      <c r="D34" s="543">
        <v>350</v>
      </c>
      <c r="E34" s="543">
        <v>777</v>
      </c>
      <c r="F34" s="543">
        <v>307</v>
      </c>
      <c r="G34" s="543">
        <v>66</v>
      </c>
      <c r="H34" s="543">
        <v>100</v>
      </c>
      <c r="I34" s="543">
        <v>113</v>
      </c>
      <c r="J34" s="543">
        <v>53</v>
      </c>
      <c r="K34" s="543">
        <v>75</v>
      </c>
      <c r="L34" s="543"/>
      <c r="M34" s="1020">
        <v>90</v>
      </c>
      <c r="N34" s="543">
        <v>91</v>
      </c>
      <c r="O34" s="543">
        <v>81</v>
      </c>
      <c r="P34" s="543">
        <v>100</v>
      </c>
      <c r="Q34" s="543">
        <v>93</v>
      </c>
      <c r="R34" s="543">
        <v>84</v>
      </c>
      <c r="S34" s="543">
        <f t="shared" si="98"/>
        <v>95</v>
      </c>
      <c r="T34" s="543">
        <v>69</v>
      </c>
      <c r="U34" s="543">
        <v>71</v>
      </c>
      <c r="V34" s="543">
        <v>115</v>
      </c>
      <c r="W34" s="543">
        <v>200</v>
      </c>
      <c r="X34" s="543">
        <f t="shared" ref="X34:X38" si="105">F34-(AA34+Z34+Y34)</f>
        <v>97</v>
      </c>
      <c r="Y34" s="543">
        <v>93</v>
      </c>
      <c r="Z34" s="543">
        <v>77</v>
      </c>
      <c r="AA34" s="543">
        <v>40</v>
      </c>
      <c r="AB34" s="543">
        <f t="shared" ref="AB34:AB38" si="106">G34-(AE34+AD34+AC34)</f>
        <v>21</v>
      </c>
      <c r="AC34" s="543">
        <v>28</v>
      </c>
      <c r="AD34" s="543">
        <v>8</v>
      </c>
      <c r="AE34" s="543">
        <v>9</v>
      </c>
      <c r="AF34" s="543">
        <f t="shared" si="99"/>
        <v>1</v>
      </c>
      <c r="AG34" s="543">
        <v>32</v>
      </c>
      <c r="AH34" s="543">
        <v>32</v>
      </c>
      <c r="AI34" s="543">
        <v>35</v>
      </c>
      <c r="AJ34" s="543">
        <f t="shared" si="100"/>
        <v>14</v>
      </c>
      <c r="AK34" s="543">
        <v>40</v>
      </c>
      <c r="AL34" s="543">
        <v>31</v>
      </c>
      <c r="AM34" s="543">
        <v>28</v>
      </c>
      <c r="AO34" s="646">
        <f t="shared" si="101"/>
        <v>75</v>
      </c>
      <c r="AP34" s="536">
        <f t="shared" si="102"/>
        <v>0.12647554806070826</v>
      </c>
      <c r="AQ34" s="536">
        <f t="shared" si="103"/>
        <v>-40.598650927487355</v>
      </c>
      <c r="AR34" s="646">
        <f t="shared" si="104"/>
        <v>34.401349072512645</v>
      </c>
    </row>
    <row r="35" spans="2:44" x14ac:dyDescent="0.25">
      <c r="B35" s="536" t="s">
        <v>99</v>
      </c>
      <c r="C35" s="543">
        <f t="shared" si="97"/>
        <v>224</v>
      </c>
      <c r="D35" s="543">
        <v>220</v>
      </c>
      <c r="E35" s="543">
        <v>628</v>
      </c>
      <c r="F35" s="543">
        <v>435</v>
      </c>
      <c r="G35" s="543">
        <v>303</v>
      </c>
      <c r="H35" s="543">
        <v>338</v>
      </c>
      <c r="I35" s="543">
        <v>300</v>
      </c>
      <c r="J35" s="543">
        <v>247</v>
      </c>
      <c r="K35" s="543">
        <v>241</v>
      </c>
      <c r="L35" s="543"/>
      <c r="M35" s="1020">
        <v>54</v>
      </c>
      <c r="N35" s="543">
        <v>62</v>
      </c>
      <c r="O35" s="543">
        <v>55</v>
      </c>
      <c r="P35" s="543">
        <v>50</v>
      </c>
      <c r="Q35" s="543">
        <v>60</v>
      </c>
      <c r="R35" s="543">
        <v>59</v>
      </c>
      <c r="S35" s="543">
        <f t="shared" si="98"/>
        <v>39</v>
      </c>
      <c r="T35" s="543">
        <v>31</v>
      </c>
      <c r="U35" s="543">
        <v>60</v>
      </c>
      <c r="V35" s="543">
        <v>90</v>
      </c>
      <c r="W35" s="543">
        <v>188</v>
      </c>
      <c r="X35" s="543">
        <f t="shared" si="105"/>
        <v>111</v>
      </c>
      <c r="Y35" s="543">
        <v>105</v>
      </c>
      <c r="Z35" s="543">
        <v>114</v>
      </c>
      <c r="AA35" s="543">
        <v>105</v>
      </c>
      <c r="AB35" s="543">
        <f t="shared" si="106"/>
        <v>80</v>
      </c>
      <c r="AC35" s="543">
        <v>50</v>
      </c>
      <c r="AD35" s="543">
        <v>70</v>
      </c>
      <c r="AE35" s="543">
        <v>103</v>
      </c>
      <c r="AF35" s="543">
        <f t="shared" si="99"/>
        <v>60</v>
      </c>
      <c r="AG35" s="543">
        <v>88</v>
      </c>
      <c r="AH35" s="543">
        <v>93</v>
      </c>
      <c r="AI35" s="543">
        <v>97</v>
      </c>
      <c r="AJ35" s="543">
        <f t="shared" si="100"/>
        <v>70</v>
      </c>
      <c r="AK35" s="543">
        <v>83</v>
      </c>
      <c r="AL35" s="543">
        <v>81</v>
      </c>
      <c r="AM35" s="543">
        <v>66</v>
      </c>
      <c r="AO35" s="646">
        <f t="shared" si="101"/>
        <v>241</v>
      </c>
      <c r="AP35" s="536">
        <f t="shared" si="102"/>
        <v>0.40640809443507586</v>
      </c>
      <c r="AQ35" s="536">
        <f t="shared" si="103"/>
        <v>-130.45699831365934</v>
      </c>
      <c r="AR35" s="646">
        <f t="shared" si="104"/>
        <v>110.54300168634066</v>
      </c>
    </row>
    <row r="36" spans="2:44" x14ac:dyDescent="0.25">
      <c r="B36" s="536" t="s">
        <v>768</v>
      </c>
      <c r="C36" s="543">
        <f t="shared" si="97"/>
        <v>128</v>
      </c>
      <c r="D36" s="543">
        <v>51</v>
      </c>
      <c r="E36" s="543">
        <v>378</v>
      </c>
      <c r="F36" s="543">
        <v>121</v>
      </c>
      <c r="G36" s="543">
        <v>40</v>
      </c>
      <c r="H36" s="543">
        <v>21</v>
      </c>
      <c r="I36" s="543">
        <v>29</v>
      </c>
      <c r="J36" s="543">
        <v>29</v>
      </c>
      <c r="K36" s="543">
        <v>28</v>
      </c>
      <c r="L36" s="543"/>
      <c r="M36" s="1020">
        <v>35</v>
      </c>
      <c r="N36" s="543">
        <v>28</v>
      </c>
      <c r="O36" s="543">
        <v>31</v>
      </c>
      <c r="P36" s="543">
        <v>49</v>
      </c>
      <c r="Q36" s="543">
        <v>25</v>
      </c>
      <c r="R36" s="543">
        <v>23</v>
      </c>
      <c r="S36" s="543">
        <f t="shared" si="98"/>
        <v>-5</v>
      </c>
      <c r="T36" s="543">
        <v>20</v>
      </c>
      <c r="U36" s="543">
        <v>4</v>
      </c>
      <c r="V36" s="543">
        <v>32</v>
      </c>
      <c r="W36" s="543">
        <v>93</v>
      </c>
      <c r="X36" s="543">
        <f t="shared" si="105"/>
        <v>33</v>
      </c>
      <c r="Y36" s="543">
        <v>46</v>
      </c>
      <c r="Z36" s="543">
        <v>20</v>
      </c>
      <c r="AA36" s="543">
        <v>22</v>
      </c>
      <c r="AB36" s="543">
        <f t="shared" si="106"/>
        <v>5</v>
      </c>
      <c r="AC36" s="543">
        <v>6</v>
      </c>
      <c r="AD36" s="543">
        <v>15</v>
      </c>
      <c r="AE36" s="543">
        <v>14</v>
      </c>
      <c r="AF36" s="543">
        <f t="shared" si="99"/>
        <v>-2</v>
      </c>
      <c r="AG36" s="543">
        <v>-2</v>
      </c>
      <c r="AH36" s="543">
        <v>12</v>
      </c>
      <c r="AI36" s="543">
        <v>13</v>
      </c>
      <c r="AJ36" s="543">
        <f t="shared" si="100"/>
        <v>-4</v>
      </c>
      <c r="AK36" s="543">
        <v>-1</v>
      </c>
      <c r="AL36" s="543">
        <v>16</v>
      </c>
      <c r="AM36" s="543">
        <v>18</v>
      </c>
      <c r="AO36" s="646">
        <f t="shared" si="101"/>
        <v>28</v>
      </c>
      <c r="AP36" s="536">
        <f t="shared" si="102"/>
        <v>4.7217537942664416E-2</v>
      </c>
      <c r="AQ36" s="536">
        <f t="shared" si="103"/>
        <v>-15.156829679595278</v>
      </c>
      <c r="AR36" s="646">
        <f t="shared" si="104"/>
        <v>12.843170320404722</v>
      </c>
    </row>
    <row r="37" spans="2:44" x14ac:dyDescent="0.25">
      <c r="B37" s="536" t="s">
        <v>769</v>
      </c>
      <c r="C37" s="543">
        <f t="shared" si="97"/>
        <v>-22</v>
      </c>
      <c r="D37" s="543">
        <v>-34</v>
      </c>
      <c r="E37" s="543">
        <v>-9</v>
      </c>
      <c r="F37" s="543">
        <v>-8</v>
      </c>
      <c r="G37" s="543">
        <v>-5</v>
      </c>
      <c r="H37" s="543">
        <v>19</v>
      </c>
      <c r="I37" s="543">
        <v>9</v>
      </c>
      <c r="J37" s="543">
        <v>127</v>
      </c>
      <c r="K37" s="543">
        <v>41</v>
      </c>
      <c r="L37" s="543"/>
      <c r="M37" s="1020">
        <v>-2</v>
      </c>
      <c r="N37" s="543">
        <v>-3</v>
      </c>
      <c r="O37" s="543">
        <v>-8</v>
      </c>
      <c r="P37" s="543">
        <v>-7</v>
      </c>
      <c r="Q37" s="543">
        <v>-4</v>
      </c>
      <c r="R37" s="543">
        <v>-3</v>
      </c>
      <c r="S37" s="543">
        <f t="shared" si="98"/>
        <v>-22</v>
      </c>
      <c r="T37" s="543">
        <v>-7</v>
      </c>
      <c r="U37" s="543">
        <v>-3</v>
      </c>
      <c r="V37" s="543">
        <v>-2</v>
      </c>
      <c r="W37" s="543">
        <v>-3</v>
      </c>
      <c r="X37" s="543">
        <f t="shared" si="105"/>
        <v>-1</v>
      </c>
      <c r="Y37" s="543">
        <v>-3</v>
      </c>
      <c r="Z37" s="543">
        <v>-2</v>
      </c>
      <c r="AA37" s="543">
        <v>-2</v>
      </c>
      <c r="AB37" s="543">
        <f t="shared" si="106"/>
        <v>-2</v>
      </c>
      <c r="AC37" s="543">
        <v>-1</v>
      </c>
      <c r="AD37" s="543">
        <v>-2</v>
      </c>
      <c r="AE37" s="543">
        <v>0</v>
      </c>
      <c r="AF37" s="543">
        <f t="shared" si="99"/>
        <v>2</v>
      </c>
      <c r="AG37" s="543">
        <v>5</v>
      </c>
      <c r="AH37" s="543">
        <v>-1</v>
      </c>
      <c r="AI37" s="543">
        <v>13</v>
      </c>
      <c r="AJ37" s="543">
        <f t="shared" si="100"/>
        <v>0</v>
      </c>
      <c r="AK37" s="543">
        <v>1</v>
      </c>
      <c r="AL37" s="543">
        <v>2</v>
      </c>
      <c r="AM37" s="543">
        <v>6</v>
      </c>
      <c r="AO37" s="646">
        <f t="shared" si="101"/>
        <v>41</v>
      </c>
      <c r="AP37" s="536">
        <f t="shared" si="102"/>
        <v>6.9139966273187178E-2</v>
      </c>
      <c r="AQ37" s="536">
        <f t="shared" si="103"/>
        <v>-22.193929173693085</v>
      </c>
      <c r="AR37" s="646">
        <f t="shared" si="104"/>
        <v>18.806070826306915</v>
      </c>
    </row>
    <row r="38" spans="2:44" x14ac:dyDescent="0.25">
      <c r="B38" s="544" t="s">
        <v>761</v>
      </c>
      <c r="C38" s="543">
        <f t="shared" si="97"/>
        <v>-65</v>
      </c>
      <c r="D38" s="545">
        <v>-37</v>
      </c>
      <c r="E38" s="545">
        <v>-87</v>
      </c>
      <c r="F38" s="545">
        <v>-60</v>
      </c>
      <c r="G38" s="545">
        <v>-15</v>
      </c>
      <c r="H38" s="545">
        <v>-7</v>
      </c>
      <c r="I38" s="545">
        <v>-13</v>
      </c>
      <c r="J38" s="545">
        <v>-2</v>
      </c>
      <c r="K38" s="545">
        <v>-37</v>
      </c>
      <c r="L38" s="543"/>
      <c r="M38" s="1026">
        <v>-28</v>
      </c>
      <c r="N38" s="545">
        <v>-26</v>
      </c>
      <c r="O38" s="543">
        <v>-38</v>
      </c>
      <c r="P38" s="545">
        <v>-8</v>
      </c>
      <c r="Q38" s="545">
        <v>-9</v>
      </c>
      <c r="R38" s="545">
        <v>-10</v>
      </c>
      <c r="S38" s="543">
        <f t="shared" si="98"/>
        <v>-18</v>
      </c>
      <c r="T38" s="545">
        <v>-11</v>
      </c>
      <c r="U38" s="545">
        <v>1</v>
      </c>
      <c r="V38" s="545">
        <v>-9</v>
      </c>
      <c r="W38" s="545">
        <v>-8</v>
      </c>
      <c r="X38" s="543">
        <f t="shared" si="105"/>
        <v>-26</v>
      </c>
      <c r="Y38" s="545">
        <v>-9</v>
      </c>
      <c r="Z38" s="545">
        <v>-16</v>
      </c>
      <c r="AA38" s="545">
        <v>-9</v>
      </c>
      <c r="AB38" s="543">
        <f t="shared" si="106"/>
        <v>-1</v>
      </c>
      <c r="AC38" s="545">
        <v>-5</v>
      </c>
      <c r="AD38" s="545">
        <v>-1</v>
      </c>
      <c r="AE38" s="545">
        <v>-8</v>
      </c>
      <c r="AF38" s="545">
        <f t="shared" si="99"/>
        <v>5</v>
      </c>
      <c r="AG38" s="545">
        <v>-5</v>
      </c>
      <c r="AH38" s="545">
        <v>-11</v>
      </c>
      <c r="AI38" s="545">
        <v>4</v>
      </c>
      <c r="AJ38" s="545">
        <f t="shared" si="100"/>
        <v>-4</v>
      </c>
      <c r="AK38" s="545">
        <v>-1</v>
      </c>
      <c r="AL38" s="545">
        <v>2</v>
      </c>
      <c r="AM38" s="545">
        <v>-10</v>
      </c>
      <c r="AO38" s="646">
        <f t="shared" si="101"/>
        <v>-37</v>
      </c>
      <c r="AP38" s="536">
        <f t="shared" si="102"/>
        <v>-6.2394603709949412E-2</v>
      </c>
      <c r="AQ38" s="536">
        <f t="shared" si="103"/>
        <v>20.02866779089376</v>
      </c>
      <c r="AR38" s="646">
        <f t="shared" si="104"/>
        <v>-16.97133220910624</v>
      </c>
    </row>
    <row r="39" spans="2:44" x14ac:dyDescent="0.25">
      <c r="B39" s="547" t="s">
        <v>764</v>
      </c>
      <c r="C39" s="548">
        <f t="shared" ref="C39" si="107">SUM(C33:C38)</f>
        <v>873</v>
      </c>
      <c r="D39" s="548">
        <f t="shared" ref="D39:E39" si="108">SUM(D33:D38)</f>
        <v>1218</v>
      </c>
      <c r="E39" s="548">
        <f t="shared" si="108"/>
        <v>3509</v>
      </c>
      <c r="F39" s="548">
        <f t="shared" ref="F39:K39" si="109">SUM(F33:F38)</f>
        <v>1194</v>
      </c>
      <c r="G39" s="548">
        <f t="shared" si="109"/>
        <v>509</v>
      </c>
      <c r="H39" s="548">
        <f t="shared" si="109"/>
        <v>760</v>
      </c>
      <c r="I39" s="548">
        <f t="shared" si="109"/>
        <v>753</v>
      </c>
      <c r="J39" s="548">
        <f t="shared" si="109"/>
        <v>652</v>
      </c>
      <c r="K39" s="548">
        <f t="shared" si="109"/>
        <v>593</v>
      </c>
      <c r="L39" s="543"/>
      <c r="M39" s="1020">
        <f t="shared" ref="M39" si="110">SUM(M33:M38)</f>
        <v>201</v>
      </c>
      <c r="N39" s="548">
        <f t="shared" ref="N39" si="111">SUM(N33:N38)</f>
        <v>208</v>
      </c>
      <c r="O39" s="555">
        <f t="shared" ref="O39" si="112">SUM(O33:O38)</f>
        <v>190</v>
      </c>
      <c r="P39" s="548">
        <f t="shared" ref="P39:Q39" si="113">SUM(P33:P38)</f>
        <v>243</v>
      </c>
      <c r="Q39" s="548">
        <f t="shared" si="113"/>
        <v>225</v>
      </c>
      <c r="R39" s="548">
        <f t="shared" ref="R39:S39" si="114">SUM(R33:R38)</f>
        <v>215</v>
      </c>
      <c r="S39" s="555">
        <f t="shared" si="114"/>
        <v>211</v>
      </c>
      <c r="T39" s="548">
        <f t="shared" ref="T39:U39" si="115">SUM(T33:T38)</f>
        <v>227</v>
      </c>
      <c r="U39" s="548">
        <f t="shared" si="115"/>
        <v>300</v>
      </c>
      <c r="V39" s="548">
        <f t="shared" ref="V39:W39" si="116">SUM(V33:V38)</f>
        <v>480</v>
      </c>
      <c r="W39" s="548">
        <f t="shared" si="116"/>
        <v>880</v>
      </c>
      <c r="X39" s="555">
        <f t="shared" ref="X39" si="117">SUM(X33:X38)</f>
        <v>458</v>
      </c>
      <c r="Y39" s="548">
        <f>SUM(Y33:Y38)</f>
        <v>315</v>
      </c>
      <c r="Z39" s="548">
        <f>SUM(Z33:Z38)</f>
        <v>236</v>
      </c>
      <c r="AA39" s="548">
        <f t="shared" ref="AA39" si="118">SUM(AA33:AA38)</f>
        <v>185</v>
      </c>
      <c r="AB39" s="555">
        <f t="shared" ref="AB39" si="119">SUM(AB33:AB38)</f>
        <v>143</v>
      </c>
      <c r="AC39" s="548">
        <f>SUM(AC33:AC38)</f>
        <v>106</v>
      </c>
      <c r="AD39" s="548">
        <f>SUM(AD33:AD38)</f>
        <v>128</v>
      </c>
      <c r="AE39" s="548">
        <f t="shared" ref="AE39:AM39" si="120">SUM(AE33:AE38)</f>
        <v>132</v>
      </c>
      <c r="AF39" s="548">
        <f t="shared" si="120"/>
        <v>88</v>
      </c>
      <c r="AG39" s="548">
        <f t="shared" si="120"/>
        <v>201</v>
      </c>
      <c r="AH39" s="548">
        <f t="shared" si="120"/>
        <v>230</v>
      </c>
      <c r="AI39" s="548">
        <f t="shared" si="120"/>
        <v>241</v>
      </c>
      <c r="AJ39" s="548">
        <f t="shared" si="120"/>
        <v>214</v>
      </c>
      <c r="AK39" s="548">
        <f t="shared" si="120"/>
        <v>200</v>
      </c>
      <c r="AL39" s="548">
        <f t="shared" si="120"/>
        <v>188</v>
      </c>
      <c r="AM39" s="548">
        <f t="shared" si="120"/>
        <v>151</v>
      </c>
      <c r="AO39" s="646">
        <f>SUM(AO33:AO38)</f>
        <v>593</v>
      </c>
      <c r="AP39" s="536">
        <f t="shared" si="102"/>
        <v>1</v>
      </c>
      <c r="AQ39" s="536">
        <f t="shared" si="103"/>
        <v>-321</v>
      </c>
      <c r="AR39" s="646">
        <f>SUM(AR33:AR38)</f>
        <v>272</v>
      </c>
    </row>
    <row r="40" spans="2:44" x14ac:dyDescent="0.25">
      <c r="B40" s="544" t="s">
        <v>770</v>
      </c>
      <c r="C40" s="543">
        <f>O40+P40+Q40+R40</f>
        <v>-98</v>
      </c>
      <c r="D40" s="545">
        <v>-77</v>
      </c>
      <c r="E40" s="545">
        <v>7</v>
      </c>
      <c r="F40" s="545">
        <v>16</v>
      </c>
      <c r="G40" s="545">
        <v>-307</v>
      </c>
      <c r="H40" s="545">
        <v>-4</v>
      </c>
      <c r="I40" s="545">
        <v>766</v>
      </c>
      <c r="J40" s="545">
        <v>-23</v>
      </c>
      <c r="K40" s="545">
        <v>-323</v>
      </c>
      <c r="L40" s="543"/>
      <c r="M40" s="1026">
        <v>-20</v>
      </c>
      <c r="N40" s="545">
        <v>-23</v>
      </c>
      <c r="O40" s="543">
        <v>-43</v>
      </c>
      <c r="P40" s="545">
        <v>-29</v>
      </c>
      <c r="Q40" s="545">
        <v>-14</v>
      </c>
      <c r="R40" s="545">
        <v>-12</v>
      </c>
      <c r="S40" s="543">
        <f>D40-(V40+U40+T40)</f>
        <v>-62</v>
      </c>
      <c r="T40" s="545">
        <v>0</v>
      </c>
      <c r="U40" s="545">
        <v>0</v>
      </c>
      <c r="V40" s="545">
        <v>-15</v>
      </c>
      <c r="W40" s="545">
        <v>22</v>
      </c>
      <c r="X40" s="545">
        <f>F40-(AA40+Z40+Y40)</f>
        <v>3</v>
      </c>
      <c r="Y40" s="545">
        <v>6</v>
      </c>
      <c r="Z40" s="545">
        <v>7</v>
      </c>
      <c r="AA40" s="545">
        <v>0</v>
      </c>
      <c r="AB40" s="545">
        <f>G40-(AE40+AD40+AC40)</f>
        <v>-4</v>
      </c>
      <c r="AC40" s="545">
        <v>-6</v>
      </c>
      <c r="AD40" s="545">
        <v>-297</v>
      </c>
      <c r="AE40" s="545">
        <v>0</v>
      </c>
      <c r="AF40" s="545">
        <v>0</v>
      </c>
      <c r="AG40" s="545">
        <v>0</v>
      </c>
      <c r="AH40" s="545">
        <v>10</v>
      </c>
      <c r="AI40" s="545">
        <v>-14</v>
      </c>
      <c r="AJ40" s="545">
        <f>I40-AK40-AL40-AM40</f>
        <v>-48</v>
      </c>
      <c r="AK40" s="545">
        <v>-4</v>
      </c>
      <c r="AL40" s="545">
        <v>-16</v>
      </c>
      <c r="AM40" s="545">
        <v>834</v>
      </c>
      <c r="AO40" s="536">
        <v>-321</v>
      </c>
    </row>
    <row r="41" spans="2:44" x14ac:dyDescent="0.25">
      <c r="B41" s="547" t="s">
        <v>765</v>
      </c>
      <c r="C41" s="548">
        <f t="shared" ref="C41" si="121">SUM(C39:C40)</f>
        <v>775</v>
      </c>
      <c r="D41" s="548">
        <f t="shared" ref="D41:E41" si="122">SUM(D39:D40)</f>
        <v>1141</v>
      </c>
      <c r="E41" s="548">
        <f t="shared" si="122"/>
        <v>3516</v>
      </c>
      <c r="F41" s="548">
        <f t="shared" ref="F41:K41" si="123">SUM(F39:F40)</f>
        <v>1210</v>
      </c>
      <c r="G41" s="548">
        <f t="shared" si="123"/>
        <v>202</v>
      </c>
      <c r="H41" s="548">
        <f t="shared" si="123"/>
        <v>756</v>
      </c>
      <c r="I41" s="548">
        <f t="shared" si="123"/>
        <v>1519</v>
      </c>
      <c r="J41" s="548">
        <f t="shared" si="123"/>
        <v>629</v>
      </c>
      <c r="K41" s="548">
        <f t="shared" si="123"/>
        <v>270</v>
      </c>
      <c r="L41" s="543"/>
      <c r="M41" s="1020">
        <f t="shared" ref="M41" si="124">SUM(M39:M40)</f>
        <v>181</v>
      </c>
      <c r="N41" s="548">
        <f t="shared" ref="N41" si="125">SUM(N39:N40)</f>
        <v>185</v>
      </c>
      <c r="O41" s="548">
        <f t="shared" ref="O41" si="126">SUM(O39:O40)</f>
        <v>147</v>
      </c>
      <c r="P41" s="548">
        <f t="shared" ref="P41:Q41" si="127">SUM(P39:P40)</f>
        <v>214</v>
      </c>
      <c r="Q41" s="548">
        <f t="shared" si="127"/>
        <v>211</v>
      </c>
      <c r="R41" s="548">
        <f t="shared" ref="R41:S41" si="128">SUM(R39:R40)</f>
        <v>203</v>
      </c>
      <c r="S41" s="548">
        <f t="shared" si="128"/>
        <v>149</v>
      </c>
      <c r="T41" s="548">
        <f t="shared" ref="T41:U41" si="129">SUM(T39:T40)</f>
        <v>227</v>
      </c>
      <c r="U41" s="548">
        <f t="shared" si="129"/>
        <v>300</v>
      </c>
      <c r="V41" s="548">
        <f t="shared" ref="V41:W41" si="130">SUM(V39:V40)</f>
        <v>465</v>
      </c>
      <c r="W41" s="548">
        <f t="shared" si="130"/>
        <v>902</v>
      </c>
      <c r="X41" s="548">
        <f t="shared" ref="X41:AA41" si="131">SUM(X39:X40)</f>
        <v>461</v>
      </c>
      <c r="Y41" s="548">
        <f t="shared" si="131"/>
        <v>321</v>
      </c>
      <c r="Z41" s="548">
        <f t="shared" si="131"/>
        <v>243</v>
      </c>
      <c r="AA41" s="548">
        <f t="shared" si="131"/>
        <v>185</v>
      </c>
      <c r="AB41" s="548">
        <f t="shared" ref="AB41" si="132">SUM(AB39:AB40)</f>
        <v>139</v>
      </c>
      <c r="AC41" s="548">
        <f t="shared" ref="AC41" si="133">SUM(AC39:AC40)</f>
        <v>100</v>
      </c>
      <c r="AD41" s="548">
        <f t="shared" ref="AD41:AM41" si="134">SUM(AD39:AD40)</f>
        <v>-169</v>
      </c>
      <c r="AE41" s="548">
        <f t="shared" si="134"/>
        <v>132</v>
      </c>
      <c r="AF41" s="548">
        <f t="shared" si="134"/>
        <v>88</v>
      </c>
      <c r="AG41" s="548">
        <f t="shared" si="134"/>
        <v>201</v>
      </c>
      <c r="AH41" s="548">
        <f t="shared" si="134"/>
        <v>240</v>
      </c>
      <c r="AI41" s="548">
        <f t="shared" si="134"/>
        <v>227</v>
      </c>
      <c r="AJ41" s="548">
        <f t="shared" si="134"/>
        <v>166</v>
      </c>
      <c r="AK41" s="548">
        <f t="shared" si="134"/>
        <v>196</v>
      </c>
      <c r="AL41" s="548">
        <f t="shared" si="134"/>
        <v>172</v>
      </c>
      <c r="AM41" s="548">
        <f t="shared" si="134"/>
        <v>985</v>
      </c>
    </row>
    <row r="42" spans="2:44" x14ac:dyDescent="0.25">
      <c r="B42" s="588"/>
      <c r="C42" s="589">
        <f>'IC&amp;CF&amp;BS'!C9+'IC&amp;CF&amp;BS'!C10-C41</f>
        <v>0</v>
      </c>
      <c r="D42" s="589">
        <f>'IC&amp;CF&amp;BS'!D9+'IC&amp;CF&amp;BS'!D10-D41</f>
        <v>0</v>
      </c>
      <c r="E42" s="589">
        <f>'IC&amp;CF&amp;BS'!E9+'IC&amp;CF&amp;BS'!E10-E41</f>
        <v>0</v>
      </c>
      <c r="F42" s="589">
        <f>'IC&amp;CF&amp;BS'!F9+'IC&amp;CF&amp;BS'!F10-F41</f>
        <v>0</v>
      </c>
      <c r="G42" s="589">
        <f>'IC&amp;CF&amp;BS'!G9+'IC&amp;CF&amp;BS'!G10-G41</f>
        <v>0</v>
      </c>
      <c r="H42" s="589">
        <f>'IC&amp;CF&amp;BS'!H9+'IC&amp;CF&amp;BS'!H10-H41</f>
        <v>0</v>
      </c>
      <c r="I42" s="589">
        <f>'IC&amp;CF&amp;BS'!I9+'IC&amp;CF&amp;BS'!I10-I41</f>
        <v>0</v>
      </c>
      <c r="J42" s="589">
        <f>'IC&amp;CF&amp;BS'!J9+'IC&amp;CF&amp;BS'!J10-J41</f>
        <v>0</v>
      </c>
      <c r="K42" s="589">
        <f>'IC&amp;CF&amp;BS'!K9+'IC&amp;CF&amp;BS'!K10</f>
        <v>-3</v>
      </c>
      <c r="L42" s="543"/>
      <c r="M42" s="1019">
        <f>'IC&amp;CF&amp;BS'!O9+'IC&amp;CF&amp;BS'!O10-M41</f>
        <v>0</v>
      </c>
      <c r="N42" s="589">
        <f>'IC&amp;CF&amp;BS'!P9+'IC&amp;CF&amp;BS'!P10-N41</f>
        <v>0</v>
      </c>
      <c r="O42" s="589">
        <f>'IC&amp;CF&amp;BS'!Q9+'IC&amp;CF&amp;BS'!Q10-O41</f>
        <v>0</v>
      </c>
      <c r="P42" s="589">
        <f>'IC&amp;CF&amp;BS'!R9+'IC&amp;CF&amp;BS'!R10-P41</f>
        <v>0</v>
      </c>
      <c r="Q42" s="589">
        <f>'IC&amp;CF&amp;BS'!S9+'IC&amp;CF&amp;BS'!S10-Q41</f>
        <v>0</v>
      </c>
      <c r="R42" s="589">
        <f>'IC&amp;CF&amp;BS'!T9+'IC&amp;CF&amp;BS'!T10-R41</f>
        <v>0</v>
      </c>
      <c r="S42" s="589">
        <f>'IC&amp;CF&amp;BS'!U9+'IC&amp;CF&amp;BS'!U10-S41</f>
        <v>0</v>
      </c>
      <c r="T42" s="589">
        <f>'IC&amp;CF&amp;BS'!V9+'IC&amp;CF&amp;BS'!V10-T41</f>
        <v>0</v>
      </c>
      <c r="U42" s="589">
        <f>'IC&amp;CF&amp;BS'!W9+'IC&amp;CF&amp;BS'!W10-U41</f>
        <v>0</v>
      </c>
      <c r="V42" s="589">
        <f>'IC&amp;CF&amp;BS'!X9+'IC&amp;CF&amp;BS'!X10-V41</f>
        <v>0</v>
      </c>
      <c r="W42" s="589">
        <f>'IC&amp;CF&amp;BS'!AB9+'IC&amp;CF&amp;BS'!AB10-W41</f>
        <v>0</v>
      </c>
      <c r="X42" s="589">
        <f>'IC&amp;CF&amp;BS'!AC9+'IC&amp;CF&amp;BS'!AC10-X41</f>
        <v>0</v>
      </c>
      <c r="Y42" s="589">
        <f>'IC&amp;CF&amp;BS'!AD9+'IC&amp;CF&amp;BS'!AD10-Y41</f>
        <v>0</v>
      </c>
      <c r="Z42" s="589">
        <f>'IC&amp;CF&amp;BS'!AE9+'IC&amp;CF&amp;BS'!AE10-Z41</f>
        <v>0</v>
      </c>
      <c r="AA42" s="589">
        <f>'IC&amp;CF&amp;BS'!AF9+'IC&amp;CF&amp;BS'!AF10-AA41</f>
        <v>0</v>
      </c>
      <c r="AB42" s="589">
        <f>'IC&amp;CF&amp;BS'!AG9+'IC&amp;CF&amp;BS'!AG10-AB41</f>
        <v>0</v>
      </c>
      <c r="AC42" s="589">
        <f>'IC&amp;CF&amp;BS'!AH9+'IC&amp;CF&amp;BS'!AH10-AC41</f>
        <v>0</v>
      </c>
      <c r="AD42" s="589">
        <f>'IC&amp;CF&amp;BS'!AI9+'IC&amp;CF&amp;BS'!AI10-AD41</f>
        <v>0</v>
      </c>
      <c r="AE42" s="589">
        <f>'IC&amp;CF&amp;BS'!AJ9+'IC&amp;CF&amp;BS'!AJ10-AE41</f>
        <v>0</v>
      </c>
      <c r="AF42" s="589">
        <f>'IC&amp;CF&amp;BS'!AK9+'IC&amp;CF&amp;BS'!AK10-AF41</f>
        <v>0</v>
      </c>
      <c r="AG42" s="589">
        <f>'IC&amp;CF&amp;BS'!AL9+'IC&amp;CF&amp;BS'!AL10-AG41</f>
        <v>0</v>
      </c>
      <c r="AH42" s="589">
        <f>'IC&amp;CF&amp;BS'!AM9+'IC&amp;CF&amp;BS'!AM10-AH41</f>
        <v>0</v>
      </c>
      <c r="AI42" s="589">
        <f>'IC&amp;CF&amp;BS'!AN9+'IC&amp;CF&amp;BS'!AN10-AI41</f>
        <v>0</v>
      </c>
      <c r="AJ42" s="589">
        <f>'IC&amp;CF&amp;BS'!AO9+'IC&amp;CF&amp;BS'!AO10-AJ41</f>
        <v>0</v>
      </c>
      <c r="AK42" s="589">
        <f>'IC&amp;CF&amp;BS'!AP9+'IC&amp;CF&amp;BS'!AP10-AK41</f>
        <v>0</v>
      </c>
      <c r="AL42" s="589">
        <f>'IC&amp;CF&amp;BS'!AQ9+'IC&amp;CF&amp;BS'!AQ10-AL41</f>
        <v>0</v>
      </c>
      <c r="AM42" s="589">
        <f>'IC&amp;CF&amp;BS'!AR9+'IC&amp;CF&amp;BS'!AR10-AM41</f>
        <v>0</v>
      </c>
    </row>
    <row r="43" spans="2:44" x14ac:dyDescent="0.25">
      <c r="B43" s="585" t="s">
        <v>914</v>
      </c>
      <c r="C43" s="543"/>
      <c r="D43" s="543"/>
      <c r="E43" s="543"/>
      <c r="F43" s="543"/>
      <c r="G43" s="543"/>
      <c r="H43" s="543"/>
      <c r="I43" s="543"/>
      <c r="J43" s="543"/>
      <c r="K43" s="543"/>
      <c r="L43" s="543"/>
      <c r="M43" s="1019"/>
      <c r="N43" s="543"/>
      <c r="O43" s="543"/>
      <c r="P43" s="543"/>
      <c r="Q43" s="543"/>
      <c r="R43" s="543"/>
      <c r="S43" s="543"/>
      <c r="T43" s="543"/>
      <c r="U43" s="543"/>
      <c r="V43" s="543"/>
      <c r="W43" s="543"/>
      <c r="X43" s="543"/>
      <c r="Y43" s="543"/>
      <c r="Z43" s="543"/>
      <c r="AA43" s="543"/>
      <c r="AB43" s="543"/>
      <c r="AC43" s="543"/>
      <c r="AD43" s="543"/>
      <c r="AE43" s="543"/>
      <c r="AF43" s="543"/>
      <c r="AG43" s="543"/>
      <c r="AH43" s="543"/>
      <c r="AI43" s="543"/>
      <c r="AJ43" s="543"/>
      <c r="AK43" s="543"/>
      <c r="AL43" s="543"/>
      <c r="AM43" s="543"/>
    </row>
    <row r="44" spans="2:44" x14ac:dyDescent="0.25">
      <c r="B44" s="536" t="s">
        <v>97</v>
      </c>
      <c r="C44" s="596">
        <f t="shared" ref="C44" si="135">IFERROR(C33/C6,"")</f>
        <v>0.17099863201094392</v>
      </c>
      <c r="D44" s="596">
        <f t="shared" ref="D44:E44" si="136">IFERROR(D33/D6,"")</f>
        <v>0.3385707045108971</v>
      </c>
      <c r="E44" s="596">
        <f t="shared" si="136"/>
        <v>0.6011217419993401</v>
      </c>
      <c r="F44" s="596">
        <f t="shared" ref="F44:G44" si="137">IFERROR(F33/F6,"")</f>
        <v>0.22567873303167421</v>
      </c>
      <c r="G44" s="596">
        <f t="shared" si="137"/>
        <v>0.10143702451394759</v>
      </c>
      <c r="H44" s="596">
        <f t="shared" ref="H44:K48" si="138">IFERROR(H33/H6,"")</f>
        <v>0.21729323308270676</v>
      </c>
      <c r="I44" s="596">
        <f t="shared" si="138"/>
        <v>0.21269412559081702</v>
      </c>
      <c r="J44" s="596">
        <f t="shared" si="138"/>
        <v>0.15739268680445151</v>
      </c>
      <c r="K44" s="596">
        <f t="shared" si="138"/>
        <v>0.2019785655399835</v>
      </c>
      <c r="M44" s="1023">
        <f t="shared" ref="M44" si="139">IFERROR(M33/M6,"")</f>
        <v>0.14985590778097982</v>
      </c>
      <c r="N44" s="596">
        <f t="shared" ref="N44" si="140">IFERROR(N33/N6,"")</f>
        <v>0.15642458100558659</v>
      </c>
      <c r="O44" s="596">
        <f t="shared" ref="O44" si="141">IFERROR(O33/O6,"")</f>
        <v>0.18498659517426275</v>
      </c>
      <c r="P44" s="596">
        <f t="shared" ref="P44:Q44" si="142">IFERROR(P33/P6,"")</f>
        <v>0.17302052785923755</v>
      </c>
      <c r="Q44" s="596">
        <f t="shared" si="142"/>
        <v>0.15748031496062992</v>
      </c>
      <c r="R44" s="596">
        <f t="shared" ref="R44:S44" si="143">IFERROR(R33/R6,"")</f>
        <v>0.16893732970027248</v>
      </c>
      <c r="S44" s="596">
        <f t="shared" si="143"/>
        <v>0.2646420824295011</v>
      </c>
      <c r="T44" s="596">
        <f t="shared" ref="T44:U44" si="144">IFERROR(T33/T6,"")</f>
        <v>0.26205450733752622</v>
      </c>
      <c r="U44" s="596">
        <f t="shared" si="144"/>
        <v>0.33069306930693071</v>
      </c>
      <c r="V44" s="596">
        <f t="shared" ref="V44:W44" si="145">IFERROR(V33/V6,"")</f>
        <v>0.47924528301886793</v>
      </c>
      <c r="W44" s="596">
        <f t="shared" si="145"/>
        <v>0.56318681318681318</v>
      </c>
      <c r="X44" s="596">
        <f t="shared" ref="X44:AA48" si="146">IFERROR(X33/X6,"")</f>
        <v>0.36969696969696969</v>
      </c>
      <c r="Y44" s="596">
        <f t="shared" si="146"/>
        <v>0.21173469387755103</v>
      </c>
      <c r="Z44" s="596">
        <f t="shared" si="146"/>
        <v>0.11621621621621622</v>
      </c>
      <c r="AA44" s="596">
        <f t="shared" si="146"/>
        <v>8.3815028901734104E-2</v>
      </c>
      <c r="AB44" s="596">
        <f t="shared" ref="AB44" si="147">IFERROR(AB33/AB6,"")</f>
        <v>0.11869436201780416</v>
      </c>
      <c r="AC44" s="596">
        <f t="shared" ref="AC44" si="148">IFERROR(AC33/AC6,"")</f>
        <v>0.10218978102189781</v>
      </c>
      <c r="AD44" s="596">
        <f t="shared" ref="AD44:AM44" si="149">IFERROR(AD33/AD6,"")</f>
        <v>0.12624584717607973</v>
      </c>
      <c r="AE44" s="596">
        <f t="shared" si="149"/>
        <v>5.1660516605166053E-2</v>
      </c>
      <c r="AF44" s="596">
        <f t="shared" si="149"/>
        <v>8.3969465648854963E-2</v>
      </c>
      <c r="AG44" s="596">
        <f t="shared" si="149"/>
        <v>0.24924924924924924</v>
      </c>
      <c r="AH44" s="596">
        <f t="shared" si="149"/>
        <v>0.26992287917737789</v>
      </c>
      <c r="AI44" s="596">
        <f t="shared" si="149"/>
        <v>0.22832369942196531</v>
      </c>
      <c r="AJ44" s="596">
        <f t="shared" si="149"/>
        <v>0.2923728813559322</v>
      </c>
      <c r="AK44" s="596">
        <f t="shared" si="149"/>
        <v>0.21195652173913043</v>
      </c>
      <c r="AL44" s="596">
        <f t="shared" si="149"/>
        <v>0.17721518987341772</v>
      </c>
      <c r="AM44" s="596">
        <f t="shared" si="149"/>
        <v>0.13230769230769232</v>
      </c>
    </row>
    <row r="45" spans="2:44" x14ac:dyDescent="0.25">
      <c r="B45" s="536" t="s">
        <v>767</v>
      </c>
      <c r="C45" s="596">
        <f t="shared" ref="C45" si="150">IFERROR(C34/C7,"")</f>
        <v>0.17471937530502685</v>
      </c>
      <c r="D45" s="596">
        <f t="shared" ref="D45:E45" si="151">IFERROR(D34/D7,"")</f>
        <v>0.16347501167678655</v>
      </c>
      <c r="E45" s="596">
        <f t="shared" si="151"/>
        <v>0.27253595229743949</v>
      </c>
      <c r="F45" s="596">
        <f t="shared" ref="F45:G45" si="152">IFERROR(F34/F7,"")</f>
        <v>0.13153384747215083</v>
      </c>
      <c r="G45" s="596">
        <f t="shared" si="152"/>
        <v>3.5275253874933188E-2</v>
      </c>
      <c r="H45" s="596">
        <f t="shared" si="138"/>
        <v>5.2603892688058915E-2</v>
      </c>
      <c r="I45" s="596">
        <f t="shared" si="138"/>
        <v>5.6471764117941033E-2</v>
      </c>
      <c r="J45" s="596">
        <f t="shared" si="138"/>
        <v>2.7347781217750257E-2</v>
      </c>
      <c r="K45" s="596">
        <f t="shared" si="138"/>
        <v>3.6023054755043228E-2</v>
      </c>
      <c r="M45" s="1023">
        <f t="shared" ref="M45" si="153">IFERROR(M34/M7,"")</f>
        <v>0.15280135823429541</v>
      </c>
      <c r="N45" s="596">
        <f t="shared" ref="N45" si="154">IFERROR(N34/N7,"")</f>
        <v>0.16977611940298507</v>
      </c>
      <c r="O45" s="596">
        <f t="shared" ref="O45" si="155">IFERROR(O34/O7,"")</f>
        <v>0.17052631578947369</v>
      </c>
      <c r="P45" s="596">
        <f t="shared" ref="P45:Q45" si="156">IFERROR(P34/P7,"")</f>
        <v>0.1890359168241966</v>
      </c>
      <c r="Q45" s="596">
        <f t="shared" si="156"/>
        <v>0.17613636363636365</v>
      </c>
      <c r="R45" s="596">
        <f t="shared" ref="R45:S45" si="157">IFERROR(R34/R7,"")</f>
        <v>0.16247582205029013</v>
      </c>
      <c r="S45" s="596">
        <f t="shared" si="157"/>
        <v>0.25675675675675674</v>
      </c>
      <c r="T45" s="596">
        <f t="shared" ref="T45:U45" si="158">IFERROR(T34/T7,"")</f>
        <v>0.12343470483005367</v>
      </c>
      <c r="U45" s="596">
        <f t="shared" si="158"/>
        <v>0.12839059674502712</v>
      </c>
      <c r="V45" s="596">
        <f t="shared" ref="V45:W45" si="159">IFERROR(V34/V7,"")</f>
        <v>0.17450682852807284</v>
      </c>
      <c r="W45" s="596">
        <f t="shared" si="159"/>
        <v>0.26737967914438504</v>
      </c>
      <c r="X45" s="596">
        <f t="shared" si="146"/>
        <v>0.16724137931034483</v>
      </c>
      <c r="Y45" s="596">
        <f t="shared" si="146"/>
        <v>0.14761904761904762</v>
      </c>
      <c r="Z45" s="596">
        <f t="shared" si="146"/>
        <v>0.1285475792988314</v>
      </c>
      <c r="AA45" s="596">
        <f t="shared" si="146"/>
        <v>7.6190476190476197E-2</v>
      </c>
      <c r="AB45" s="596">
        <f t="shared" ref="AB45" si="160">IFERROR(AB34/AB7,"")</f>
        <v>4.3841336116910233E-2</v>
      </c>
      <c r="AC45" s="596">
        <f t="shared" ref="AC45" si="161">IFERROR(AC34/AC7,"")</f>
        <v>5.737704918032787E-2</v>
      </c>
      <c r="AD45" s="596">
        <f t="shared" ref="AD45:AM45" si="162">IFERROR(AD34/AD7,"")</f>
        <v>1.9002375296912115E-2</v>
      </c>
      <c r="AE45" s="596">
        <f t="shared" si="162"/>
        <v>1.8633540372670808E-2</v>
      </c>
      <c r="AF45" s="596">
        <f t="shared" si="162"/>
        <v>2.5000000000000001E-3</v>
      </c>
      <c r="AG45" s="596">
        <f t="shared" si="162"/>
        <v>6.5173116089613028E-2</v>
      </c>
      <c r="AH45" s="596">
        <f t="shared" si="162"/>
        <v>6.4516129032258063E-2</v>
      </c>
      <c r="AI45" s="596">
        <f t="shared" si="162"/>
        <v>6.8093385214007776E-2</v>
      </c>
      <c r="AJ45" s="596">
        <f t="shared" si="162"/>
        <v>2.9723991507430998E-2</v>
      </c>
      <c r="AK45" s="596">
        <f t="shared" si="162"/>
        <v>7.7972709551656916E-2</v>
      </c>
      <c r="AL45" s="596">
        <f t="shared" si="162"/>
        <v>6.0903732809430254E-2</v>
      </c>
      <c r="AM45" s="596">
        <f t="shared" si="162"/>
        <v>5.5118110236220472E-2</v>
      </c>
    </row>
    <row r="46" spans="2:44" x14ac:dyDescent="0.25">
      <c r="B46" s="536" t="s">
        <v>99</v>
      </c>
      <c r="C46" s="596">
        <f t="shared" ref="C46" si="163">IFERROR(C35/C8,"")</f>
        <v>0.18360655737704917</v>
      </c>
      <c r="D46" s="596">
        <f t="shared" ref="D46:E46" si="164">IFERROR(D35/D8,"")</f>
        <v>0.1824212271973466</v>
      </c>
      <c r="E46" s="596">
        <f t="shared" si="164"/>
        <v>0.36154289004029938</v>
      </c>
      <c r="F46" s="596">
        <f t="shared" ref="F46:G46" si="165">IFERROR(F35/F8,"")</f>
        <v>0.27170518425983758</v>
      </c>
      <c r="G46" s="596">
        <f t="shared" si="165"/>
        <v>0.24396135265700483</v>
      </c>
      <c r="H46" s="596">
        <f t="shared" si="138"/>
        <v>0.25860749808722266</v>
      </c>
      <c r="I46" s="596">
        <f t="shared" si="138"/>
        <v>0.23419203747072601</v>
      </c>
      <c r="J46" s="596">
        <f t="shared" si="138"/>
        <v>0.20949957591178966</v>
      </c>
      <c r="K46" s="596">
        <f t="shared" si="138"/>
        <v>0.21692169216921692</v>
      </c>
      <c r="M46" s="1023">
        <f t="shared" ref="M46" si="166">IFERROR(M35/M8,"")</f>
        <v>0.17142857142857143</v>
      </c>
      <c r="N46" s="596">
        <f t="shared" ref="N46" si="167">IFERROR(N35/N8,"")</f>
        <v>0.18343195266272189</v>
      </c>
      <c r="O46" s="596">
        <f t="shared" ref="O46" si="168">IFERROR(O35/O8,"")</f>
        <v>0.2</v>
      </c>
      <c r="P46" s="596">
        <f t="shared" ref="P46:Q46" si="169">IFERROR(P35/P8,"")</f>
        <v>0.16393442622950818</v>
      </c>
      <c r="Q46" s="596">
        <f t="shared" si="169"/>
        <v>0.1941747572815534</v>
      </c>
      <c r="R46" s="596">
        <f t="shared" ref="R46:S46" si="170">IFERROR(R35/R8,"")</f>
        <v>0.1782477341389728</v>
      </c>
      <c r="S46" s="596">
        <f t="shared" si="170"/>
        <v>0.1326530612244898</v>
      </c>
      <c r="T46" s="596">
        <f t="shared" ref="T46:U46" si="171">IFERROR(T35/T8,"")</f>
        <v>0.11742424242424243</v>
      </c>
      <c r="U46" s="596">
        <f t="shared" si="171"/>
        <v>0.20202020202020202</v>
      </c>
      <c r="V46" s="596">
        <f t="shared" ref="V46:W46" si="172">IFERROR(V35/V8,"")</f>
        <v>0.25641025641025639</v>
      </c>
      <c r="W46" s="596">
        <f t="shared" si="172"/>
        <v>0.38524590163934425</v>
      </c>
      <c r="X46" s="596">
        <f t="shared" si="146"/>
        <v>0.26555023923444976</v>
      </c>
      <c r="Y46" s="596">
        <f t="shared" si="146"/>
        <v>0.27415143603133157</v>
      </c>
      <c r="Z46" s="596">
        <f t="shared" si="146"/>
        <v>0.28078817733990147</v>
      </c>
      <c r="AA46" s="596">
        <f t="shared" si="146"/>
        <v>0.26649746192893403</v>
      </c>
      <c r="AB46" s="596">
        <f t="shared" ref="AB46" si="173">IFERROR(AB35/AB8,"")</f>
        <v>0.24024024024024024</v>
      </c>
      <c r="AC46" s="596">
        <f t="shared" ref="AC46" si="174">IFERROR(AC35/AC8,"")</f>
        <v>0.18726591760299627</v>
      </c>
      <c r="AD46" s="596">
        <f t="shared" ref="AD46:AM46" si="175">IFERROR(AD35/AD8,"")</f>
        <v>0.24911032028469751</v>
      </c>
      <c r="AE46" s="596">
        <f t="shared" si="175"/>
        <v>0.2853185595567867</v>
      </c>
      <c r="AF46" s="596">
        <f t="shared" si="175"/>
        <v>0.20689655172413793</v>
      </c>
      <c r="AG46" s="596">
        <f t="shared" si="175"/>
        <v>0.26112759643916916</v>
      </c>
      <c r="AH46" s="596">
        <f t="shared" si="175"/>
        <v>0.27927927927927926</v>
      </c>
      <c r="AI46" s="596">
        <f t="shared" si="175"/>
        <v>0.27953890489913547</v>
      </c>
      <c r="AJ46" s="596">
        <f t="shared" si="175"/>
        <v>0.22151898734177214</v>
      </c>
      <c r="AK46" s="596">
        <f t="shared" si="175"/>
        <v>0.25538461538461538</v>
      </c>
      <c r="AL46" s="596">
        <f t="shared" si="175"/>
        <v>0.24846625766871167</v>
      </c>
      <c r="AM46" s="596">
        <f t="shared" si="175"/>
        <v>0.21019108280254778</v>
      </c>
    </row>
    <row r="47" spans="2:44" x14ac:dyDescent="0.25">
      <c r="B47" s="536" t="s">
        <v>768</v>
      </c>
      <c r="C47" s="596">
        <f t="shared" ref="C47" si="176">IFERROR(C36/C9,"")</f>
        <v>6.6252587991718431E-2</v>
      </c>
      <c r="D47" s="596">
        <f t="shared" ref="D47:E47" si="177">IFERROR(D36/D9,"")</f>
        <v>2.4914509037616023E-2</v>
      </c>
      <c r="E47" s="596">
        <f t="shared" si="177"/>
        <v>0.15909090909090909</v>
      </c>
      <c r="F47" s="596">
        <f t="shared" ref="F47:G47" si="178">IFERROR(F36/F9,"")</f>
        <v>9.8694942903752039E-2</v>
      </c>
      <c r="G47" s="596">
        <f t="shared" si="178"/>
        <v>5.5944055944055944E-2</v>
      </c>
      <c r="H47" s="596">
        <f t="shared" si="138"/>
        <v>3.0042918454935622E-2</v>
      </c>
      <c r="I47" s="596">
        <f t="shared" si="138"/>
        <v>4.0333796940194712E-2</v>
      </c>
      <c r="J47" s="596">
        <f t="shared" si="138"/>
        <v>4.3219076005961254E-2</v>
      </c>
      <c r="K47" s="596">
        <f t="shared" si="138"/>
        <v>4.4303797468354431E-2</v>
      </c>
      <c r="M47" s="1023">
        <f t="shared" ref="M47" si="179">IFERROR(M36/M9,"")</f>
        <v>6.5543071161048683E-2</v>
      </c>
      <c r="N47" s="596">
        <f t="shared" ref="N47" si="180">IFERROR(N36/N9,"")</f>
        <v>5.7026476578411409E-2</v>
      </c>
      <c r="O47" s="596">
        <f t="shared" ref="O47" si="181">IFERROR(O36/O9,"")</f>
        <v>7.1264367816091953E-2</v>
      </c>
      <c r="P47" s="596">
        <f t="shared" ref="P47:Q47" si="182">IFERROR(P36/P9,"")</f>
        <v>9.1760299625468167E-2</v>
      </c>
      <c r="Q47" s="596">
        <f t="shared" si="182"/>
        <v>5.112474437627812E-2</v>
      </c>
      <c r="R47" s="596">
        <f t="shared" ref="R47:S47" si="183">IFERROR(R36/R9,"")</f>
        <v>4.852320675105485E-2</v>
      </c>
      <c r="S47" s="596">
        <f t="shared" si="183"/>
        <v>-1.0526315789473684E-2</v>
      </c>
      <c r="T47" s="596">
        <f t="shared" ref="T47:U47" si="184">IFERROR(T36/T9,"")</f>
        <v>3.6630036630036632E-2</v>
      </c>
      <c r="U47" s="596">
        <f t="shared" si="184"/>
        <v>8.4566596194503175E-3</v>
      </c>
      <c r="V47" s="596">
        <f t="shared" ref="V47:W47" si="185">IFERROR(V36/V9,"")</f>
        <v>5.7866184448462928E-2</v>
      </c>
      <c r="W47" s="596">
        <f t="shared" si="185"/>
        <v>0.1672661870503597</v>
      </c>
      <c r="X47" s="596">
        <f t="shared" si="146"/>
        <v>8.8235294117647065E-2</v>
      </c>
      <c r="Y47" s="596">
        <f t="shared" si="146"/>
        <v>0.12137203166226913</v>
      </c>
      <c r="Z47" s="596">
        <f t="shared" si="146"/>
        <v>8.5106382978723402E-2</v>
      </c>
      <c r="AA47" s="596">
        <f t="shared" si="146"/>
        <v>9.2436974789915971E-2</v>
      </c>
      <c r="AB47" s="596">
        <f t="shared" ref="AB47" si="186">IFERROR(AB36/AB9,"")</f>
        <v>3.1645569620253167E-2</v>
      </c>
      <c r="AC47" s="596">
        <f t="shared" ref="AC47" si="187">IFERROR(AC36/AC9,"")</f>
        <v>3.5714285714285712E-2</v>
      </c>
      <c r="AD47" s="596">
        <f t="shared" ref="AD47:AM47" si="188">IFERROR(AD36/AD9,"")</f>
        <v>7.7720207253886009E-2</v>
      </c>
      <c r="AE47" s="596">
        <f t="shared" si="188"/>
        <v>7.1428571428571425E-2</v>
      </c>
      <c r="AF47" s="596">
        <f t="shared" si="188"/>
        <v>-1.3793103448275862E-2</v>
      </c>
      <c r="AG47" s="596">
        <f t="shared" si="188"/>
        <v>-1.282051282051282E-2</v>
      </c>
      <c r="AH47" s="596">
        <f t="shared" si="188"/>
        <v>6.030150753768844E-2</v>
      </c>
      <c r="AI47" s="596">
        <f t="shared" si="188"/>
        <v>6.5326633165829151E-2</v>
      </c>
      <c r="AJ47" s="596">
        <f t="shared" si="188"/>
        <v>-2.8169014084507043E-2</v>
      </c>
      <c r="AK47" s="596">
        <f t="shared" si="188"/>
        <v>-6.369426751592357E-3</v>
      </c>
      <c r="AL47" s="596">
        <f t="shared" si="188"/>
        <v>7.6555023923444973E-2</v>
      </c>
      <c r="AM47" s="596">
        <f t="shared" si="188"/>
        <v>8.5308056872037921E-2</v>
      </c>
    </row>
    <row r="48" spans="2:44" x14ac:dyDescent="0.25">
      <c r="B48" s="536" t="s">
        <v>769</v>
      </c>
      <c r="C48" s="559">
        <f t="shared" ref="C48" si="189">IFERROR(C37/C10,"")</f>
        <v>-0.12359550561797752</v>
      </c>
      <c r="D48" s="559">
        <f t="shared" ref="D48:E48" si="190">IFERROR(D37/D10,"")</f>
        <v>-0.20118343195266272</v>
      </c>
      <c r="E48" s="559">
        <f t="shared" si="190"/>
        <v>-0.45</v>
      </c>
      <c r="F48" s="559">
        <f t="shared" ref="F48:G48" si="191">IFERROR(F37/F10,"")</f>
        <v>-0.30769230769230771</v>
      </c>
      <c r="G48" s="559">
        <f t="shared" si="191"/>
        <v>-0.15625</v>
      </c>
      <c r="H48" s="559">
        <f t="shared" si="138"/>
        <v>0.55882352941176472</v>
      </c>
      <c r="I48" s="559">
        <f t="shared" si="138"/>
        <v>0.12162162162162163</v>
      </c>
      <c r="J48" s="559">
        <f t="shared" si="138"/>
        <v>0.34139784946236557</v>
      </c>
      <c r="K48" s="559">
        <f t="shared" si="138"/>
        <v>0.12615384615384614</v>
      </c>
      <c r="M48" s="1027">
        <f t="shared" ref="M48" si="192">IFERROR(M37/M10,"")</f>
        <v>-4.2553191489361701E-2</v>
      </c>
      <c r="N48" s="559">
        <f t="shared" ref="N48" si="193">IFERROR(N37/N10,"")</f>
        <v>-6.8181818181818177E-2</v>
      </c>
      <c r="O48" s="559">
        <f t="shared" ref="O48" si="194">IFERROR(O37/O10,"")</f>
        <v>-0.18604651162790697</v>
      </c>
      <c r="P48" s="559">
        <f t="shared" ref="P48:Q48" si="195">IFERROR(P37/P10,"")</f>
        <v>-0.15909090909090909</v>
      </c>
      <c r="Q48" s="559">
        <f t="shared" si="195"/>
        <v>-8.8888888888888892E-2</v>
      </c>
      <c r="R48" s="559">
        <f t="shared" ref="R48:S48" si="196">IFERROR(R37/R10,"")</f>
        <v>-6.5217391304347824E-2</v>
      </c>
      <c r="S48" s="559">
        <f t="shared" si="196"/>
        <v>-0.15492957746478872</v>
      </c>
      <c r="T48" s="559">
        <f t="shared" ref="T48:U48" si="197">IFERROR(T37/T10,"")</f>
        <v>-0.4375</v>
      </c>
      <c r="U48" s="559">
        <f t="shared" si="197"/>
        <v>-0.5</v>
      </c>
      <c r="V48" s="559">
        <f t="shared" ref="V48:W48" si="198">IFERROR(V37/V10,"")</f>
        <v>-0.4</v>
      </c>
      <c r="W48" s="559">
        <f t="shared" si="198"/>
        <v>-0.6</v>
      </c>
      <c r="X48" s="559">
        <f t="shared" si="146"/>
        <v>-0.16666666666666666</v>
      </c>
      <c r="Y48" s="559">
        <f t="shared" si="146"/>
        <v>-0.5</v>
      </c>
      <c r="Z48" s="559">
        <f t="shared" si="146"/>
        <v>-0.2857142857142857</v>
      </c>
      <c r="AA48" s="559">
        <f t="shared" si="146"/>
        <v>-0.2857142857142857</v>
      </c>
      <c r="AB48" s="559">
        <f t="shared" ref="AB48" si="199">IFERROR(AB37/AB10,"")</f>
        <v>-0.2</v>
      </c>
      <c r="AC48" s="559">
        <f t="shared" ref="AC48" si="200">IFERROR(AC37/AC10,"")</f>
        <v>-0.14285714285714285</v>
      </c>
      <c r="AD48" s="559">
        <f t="shared" ref="AD48:AM48" si="201">IFERROR(AD37/AD10,"")</f>
        <v>-0.2857142857142857</v>
      </c>
      <c r="AE48" s="559">
        <f t="shared" si="201"/>
        <v>0</v>
      </c>
      <c r="AF48" s="559">
        <f t="shared" si="201"/>
        <v>0.22222222222222221</v>
      </c>
      <c r="AG48" s="559">
        <f t="shared" si="201"/>
        <v>0.625</v>
      </c>
      <c r="AH48" s="559">
        <f t="shared" si="201"/>
        <v>-0.125</v>
      </c>
      <c r="AI48" s="559">
        <f t="shared" si="201"/>
        <v>1.4444444444444444</v>
      </c>
      <c r="AJ48" s="559">
        <f t="shared" si="201"/>
        <v>0</v>
      </c>
      <c r="AK48" s="559">
        <f t="shared" si="201"/>
        <v>0.125</v>
      </c>
      <c r="AL48" s="559">
        <f t="shared" si="201"/>
        <v>0.18181818181818182</v>
      </c>
      <c r="AM48" s="559">
        <f t="shared" si="201"/>
        <v>0.13043478260869565</v>
      </c>
    </row>
    <row r="49" spans="2:46" x14ac:dyDescent="0.25">
      <c r="B49" s="547" t="s">
        <v>764</v>
      </c>
      <c r="C49" s="553">
        <f t="shared" ref="C49" si="202">IFERROR(C39/C12,"")</f>
        <v>0.12761292208741412</v>
      </c>
      <c r="D49" s="553">
        <f t="shared" ref="D49:E49" si="203">IFERROR(D39/D12,"")</f>
        <v>0.16162420382165604</v>
      </c>
      <c r="E49" s="553">
        <f t="shared" si="203"/>
        <v>0.35037443834248627</v>
      </c>
      <c r="F49" s="553">
        <f t="shared" ref="F49:K49" si="204">IFERROR(F39/F12,"")</f>
        <v>0.17167505391804458</v>
      </c>
      <c r="G49" s="553">
        <f t="shared" si="204"/>
        <v>0.1009319849296054</v>
      </c>
      <c r="H49" s="553">
        <f t="shared" si="204"/>
        <v>0.14418516410548282</v>
      </c>
      <c r="I49" s="553">
        <f t="shared" si="204"/>
        <v>0.1355291576673866</v>
      </c>
      <c r="J49" s="553">
        <f t="shared" si="204"/>
        <v>0.12033960871170174</v>
      </c>
      <c r="K49" s="553">
        <f t="shared" si="204"/>
        <v>0.11057244079806079</v>
      </c>
      <c r="M49" s="1023">
        <f t="shared" ref="M49" si="205">IFERROR(M39/M12,"")</f>
        <v>0.10971615720524018</v>
      </c>
      <c r="N49" s="553">
        <f t="shared" ref="N49" si="206">IFERROR(N39/N12,"")</f>
        <v>0.1177136389360498</v>
      </c>
      <c r="O49" s="553">
        <f t="shared" ref="O49" si="207">IFERROR(O39/O12,"")</f>
        <v>0.11867582760774516</v>
      </c>
      <c r="P49" s="553">
        <f t="shared" ref="P49:Q49" si="208">IFERROR(P39/P12,"")</f>
        <v>0.13861950941243584</v>
      </c>
      <c r="Q49" s="553">
        <f t="shared" si="208"/>
        <v>0.12842465753424659</v>
      </c>
      <c r="R49" s="553">
        <f t="shared" ref="R49:S49" si="209">IFERROR(R39/R12,"")</f>
        <v>0.1239193083573487</v>
      </c>
      <c r="S49" s="553">
        <f t="shared" si="209"/>
        <v>0.12112514351320322</v>
      </c>
      <c r="T49" s="553">
        <f t="shared" ref="T49:U49" si="210">IFERROR(T39/T12,"")</f>
        <v>0.12191192266380237</v>
      </c>
      <c r="U49" s="553">
        <f t="shared" si="210"/>
        <v>0.16357688113413305</v>
      </c>
      <c r="V49" s="553">
        <f t="shared" ref="V49:W49" si="211">IFERROR(V39/V12,"")</f>
        <v>0.22878932316491898</v>
      </c>
      <c r="W49" s="553">
        <f t="shared" si="211"/>
        <v>0.34851485148514849</v>
      </c>
      <c r="X49" s="553">
        <f t="shared" ref="X49:AA49" si="212">IFERROR(X39/X12,"")</f>
        <v>0.22473012757605496</v>
      </c>
      <c r="Y49" s="553">
        <f t="shared" si="212"/>
        <v>0.17597765363128492</v>
      </c>
      <c r="Z49" s="553">
        <f t="shared" si="212"/>
        <v>0.14594928880643165</v>
      </c>
      <c r="AA49" s="553">
        <f t="shared" si="212"/>
        <v>0.12251655629139073</v>
      </c>
      <c r="AB49" s="553">
        <f t="shared" ref="AB49" si="213">IFERROR(AB39/AB12,"")</f>
        <v>0.10858010630220197</v>
      </c>
      <c r="AC49" s="553">
        <f t="shared" ref="AC49" si="214">IFERROR(AC39/AC12,"")</f>
        <v>8.8039867109634545E-2</v>
      </c>
      <c r="AD49" s="553">
        <f t="shared" ref="AD49:AM49" si="215">IFERROR(AD39/AD12,"")</f>
        <v>0.10640066500415628</v>
      </c>
      <c r="AE49" s="553">
        <f t="shared" si="215"/>
        <v>0.10007581501137225</v>
      </c>
      <c r="AF49" s="553">
        <f t="shared" si="215"/>
        <v>7.956600361663653E-2</v>
      </c>
      <c r="AG49" s="553">
        <f t="shared" si="215"/>
        <v>0.15169811320754717</v>
      </c>
      <c r="AH49" s="553">
        <f t="shared" si="215"/>
        <v>0.16140350877192983</v>
      </c>
      <c r="AI49" s="553">
        <f t="shared" si="215"/>
        <v>0.17031802120141343</v>
      </c>
      <c r="AJ49" s="553">
        <f t="shared" si="215"/>
        <v>0.15177304964539007</v>
      </c>
      <c r="AK49" s="553">
        <f t="shared" si="215"/>
        <v>0.14587892049598833</v>
      </c>
      <c r="AL49" s="553">
        <f t="shared" si="215"/>
        <v>0.13712618526622902</v>
      </c>
      <c r="AM49" s="553">
        <f t="shared" si="215"/>
        <v>0.10754985754985755</v>
      </c>
    </row>
    <row r="50" spans="2:46" x14ac:dyDescent="0.25">
      <c r="C50" s="543"/>
      <c r="D50" s="543"/>
      <c r="E50" s="543"/>
      <c r="F50" s="543"/>
      <c r="G50" s="543"/>
      <c r="H50" s="543"/>
      <c r="I50" s="543"/>
      <c r="J50" s="543"/>
      <c r="K50" s="543"/>
      <c r="M50" s="543"/>
      <c r="N50" s="543"/>
      <c r="O50" s="543"/>
      <c r="P50" s="543"/>
      <c r="Q50" s="543"/>
      <c r="R50" s="543"/>
      <c r="S50" s="543"/>
      <c r="T50" s="543"/>
      <c r="U50" s="543"/>
      <c r="V50" s="543"/>
      <c r="W50" s="543"/>
      <c r="X50" s="543"/>
      <c r="Y50" s="543"/>
      <c r="Z50" s="543"/>
      <c r="AA50" s="543"/>
      <c r="AB50" s="543"/>
      <c r="AC50" s="543"/>
      <c r="AD50" s="543"/>
      <c r="AE50" s="543"/>
      <c r="AF50" s="543"/>
      <c r="AG50" s="543"/>
      <c r="AH50" s="543"/>
      <c r="AI50" s="543"/>
      <c r="AJ50" s="543"/>
      <c r="AK50" s="543"/>
      <c r="AL50" s="543"/>
      <c r="AM50" s="543"/>
    </row>
    <row r="51" spans="2:46" x14ac:dyDescent="0.25">
      <c r="B51" s="585" t="s">
        <v>271</v>
      </c>
      <c r="C51" s="543"/>
      <c r="D51" s="543"/>
      <c r="E51" s="543"/>
      <c r="F51" s="543"/>
      <c r="G51" s="543"/>
      <c r="H51" s="543"/>
      <c r="I51" s="543"/>
      <c r="J51" s="543"/>
      <c r="K51" s="543"/>
      <c r="M51" s="543"/>
      <c r="N51" s="543"/>
      <c r="O51" s="543"/>
      <c r="P51" s="543"/>
      <c r="Q51" s="543"/>
      <c r="R51" s="543"/>
      <c r="S51" s="543"/>
      <c r="T51" s="543"/>
      <c r="U51" s="543"/>
      <c r="V51" s="543"/>
      <c r="W51" s="543"/>
      <c r="X51" s="543"/>
      <c r="Y51" s="543"/>
      <c r="Z51" s="543"/>
      <c r="AA51" s="543"/>
      <c r="AB51" s="543"/>
      <c r="AC51" s="543"/>
      <c r="AD51" s="543"/>
      <c r="AE51" s="543"/>
      <c r="AF51" s="543"/>
      <c r="AG51" s="543"/>
      <c r="AH51" s="543"/>
      <c r="AI51" s="543"/>
      <c r="AJ51" s="543"/>
      <c r="AK51" s="543"/>
      <c r="AL51" s="543"/>
      <c r="AM51" s="543"/>
    </row>
    <row r="52" spans="2:46" x14ac:dyDescent="0.25">
      <c r="B52" s="536" t="s">
        <v>97</v>
      </c>
      <c r="C52" s="543">
        <f>W52+V52+U52+T52</f>
        <v>348</v>
      </c>
      <c r="D52" s="543">
        <v>384</v>
      </c>
      <c r="E52" s="543">
        <v>346</v>
      </c>
      <c r="F52" s="543">
        <v>298</v>
      </c>
      <c r="G52" s="543">
        <v>296</v>
      </c>
      <c r="H52" s="543">
        <v>383</v>
      </c>
      <c r="I52" s="543">
        <f>356</f>
        <v>356</v>
      </c>
      <c r="J52" s="543">
        <v>270</v>
      </c>
      <c r="K52" s="543">
        <v>311</v>
      </c>
      <c r="M52" s="543"/>
      <c r="N52" s="543"/>
      <c r="O52" s="543"/>
      <c r="P52" s="543"/>
      <c r="Q52" s="543"/>
      <c r="R52" s="543"/>
      <c r="S52" s="543"/>
      <c r="T52" s="543">
        <v>116</v>
      </c>
      <c r="U52" s="543">
        <v>87</v>
      </c>
      <c r="V52" s="543">
        <v>79</v>
      </c>
      <c r="W52" s="543">
        <v>66</v>
      </c>
      <c r="X52" s="543"/>
      <c r="Y52" s="543"/>
      <c r="Z52" s="543"/>
      <c r="AA52" s="543"/>
      <c r="AB52" s="543"/>
      <c r="AC52" s="543"/>
      <c r="AD52" s="543"/>
      <c r="AE52" s="543"/>
      <c r="AF52" s="543"/>
      <c r="AG52" s="543"/>
      <c r="AH52" s="543"/>
      <c r="AI52" s="543"/>
      <c r="AJ52" s="543"/>
      <c r="AK52" s="543"/>
      <c r="AL52" s="543"/>
      <c r="AM52" s="543"/>
    </row>
    <row r="53" spans="2:46" x14ac:dyDescent="0.25">
      <c r="B53" s="536" t="s">
        <v>767</v>
      </c>
      <c r="C53" s="543">
        <f t="shared" ref="C53:C57" si="216">W53+V53+U53+T53</f>
        <v>328</v>
      </c>
      <c r="D53" s="543">
        <v>270</v>
      </c>
      <c r="E53" s="543">
        <v>259</v>
      </c>
      <c r="F53" s="543">
        <v>238</v>
      </c>
      <c r="G53" s="543">
        <v>275</v>
      </c>
      <c r="H53" s="543">
        <v>213</v>
      </c>
      <c r="I53" s="543">
        <v>180</v>
      </c>
      <c r="J53" s="543">
        <v>154</v>
      </c>
      <c r="K53" s="543">
        <v>237</v>
      </c>
      <c r="M53" s="543"/>
      <c r="N53" s="543"/>
      <c r="O53" s="543"/>
      <c r="P53" s="543"/>
      <c r="Q53" s="543"/>
      <c r="R53" s="543"/>
      <c r="S53" s="543"/>
      <c r="T53" s="543">
        <v>147</v>
      </c>
      <c r="U53" s="543">
        <v>70</v>
      </c>
      <c r="V53" s="543">
        <v>59</v>
      </c>
      <c r="W53" s="543">
        <v>52</v>
      </c>
      <c r="X53" s="543"/>
      <c r="Y53" s="543"/>
      <c r="Z53" s="543"/>
      <c r="AA53" s="543"/>
      <c r="AB53" s="543"/>
      <c r="AC53" s="543"/>
      <c r="AD53" s="543"/>
      <c r="AE53" s="543"/>
      <c r="AF53" s="543"/>
      <c r="AG53" s="543"/>
      <c r="AH53" s="543"/>
      <c r="AI53" s="543"/>
      <c r="AJ53" s="543"/>
      <c r="AK53" s="543"/>
      <c r="AL53" s="543"/>
      <c r="AM53" s="543"/>
    </row>
    <row r="54" spans="2:46" x14ac:dyDescent="0.25">
      <c r="B54" s="536" t="s">
        <v>99</v>
      </c>
      <c r="C54" s="543">
        <f t="shared" si="216"/>
        <v>94</v>
      </c>
      <c r="D54" s="543">
        <v>91</v>
      </c>
      <c r="E54" s="543">
        <v>90</v>
      </c>
      <c r="F54" s="543">
        <v>74</v>
      </c>
      <c r="G54" s="543">
        <v>84</v>
      </c>
      <c r="H54" s="543">
        <v>66</v>
      </c>
      <c r="I54" s="543">
        <v>50</v>
      </c>
      <c r="J54" s="543">
        <v>49</v>
      </c>
      <c r="K54" s="543">
        <v>38</v>
      </c>
      <c r="M54" s="543"/>
      <c r="N54" s="543"/>
      <c r="O54" s="543"/>
      <c r="P54" s="543"/>
      <c r="Q54" s="543"/>
      <c r="R54" s="543"/>
      <c r="S54" s="543"/>
      <c r="T54" s="543">
        <v>38</v>
      </c>
      <c r="U54" s="543">
        <v>21</v>
      </c>
      <c r="V54" s="543">
        <v>19</v>
      </c>
      <c r="W54" s="543">
        <v>16</v>
      </c>
      <c r="X54" s="543"/>
      <c r="Y54" s="543"/>
      <c r="Z54" s="543"/>
      <c r="AA54" s="543"/>
      <c r="AB54" s="543"/>
      <c r="AC54" s="547" t="s">
        <v>843</v>
      </c>
      <c r="AF54" s="543"/>
      <c r="AH54" s="547" t="s">
        <v>840</v>
      </c>
      <c r="AK54" s="543"/>
      <c r="AL54" s="543"/>
      <c r="AM54" s="543"/>
      <c r="AN54" s="547" t="s">
        <v>774</v>
      </c>
      <c r="AR54" s="547" t="s">
        <v>773</v>
      </c>
    </row>
    <row r="55" spans="2:46" x14ac:dyDescent="0.25">
      <c r="B55" s="536" t="s">
        <v>768</v>
      </c>
      <c r="C55" s="543">
        <f t="shared" si="216"/>
        <v>93</v>
      </c>
      <c r="D55" s="543">
        <v>92</v>
      </c>
      <c r="E55" s="543">
        <v>101</v>
      </c>
      <c r="F55" s="543">
        <v>36</v>
      </c>
      <c r="G55" s="543">
        <v>20</v>
      </c>
      <c r="H55" s="543">
        <v>21</v>
      </c>
      <c r="I55" s="543">
        <v>15</v>
      </c>
      <c r="J55" s="543">
        <v>12</v>
      </c>
      <c r="K55" s="543">
        <v>7</v>
      </c>
      <c r="M55" s="543"/>
      <c r="N55" s="543"/>
      <c r="P55" s="543"/>
      <c r="Q55" s="543"/>
      <c r="R55" s="543"/>
      <c r="T55" s="543">
        <v>44</v>
      </c>
      <c r="U55" s="543">
        <v>20</v>
      </c>
      <c r="V55" s="543">
        <v>14</v>
      </c>
      <c r="W55" s="543">
        <v>15</v>
      </c>
      <c r="Y55" s="543"/>
      <c r="Z55" s="543"/>
      <c r="AA55" s="543"/>
      <c r="AC55" s="543" t="str">
        <f>AH55</f>
        <v>אשלג</v>
      </c>
      <c r="AD55" s="619">
        <f>AE55/$AE$61</f>
        <v>0.46590909090909088</v>
      </c>
      <c r="AE55" s="543">
        <f>W33</f>
        <v>410</v>
      </c>
      <c r="AF55" s="543"/>
      <c r="AH55" s="543" t="str">
        <f>AN55</f>
        <v>אשלג</v>
      </c>
      <c r="AI55" s="619">
        <f>AJ55/$AJ$61</f>
        <v>0.33417085427135679</v>
      </c>
      <c r="AJ55" s="543">
        <f t="shared" ref="AJ55:AJ60" si="217">F33</f>
        <v>399</v>
      </c>
      <c r="AK55" s="543"/>
      <c r="AL55" s="543"/>
      <c r="AM55" s="543"/>
      <c r="AN55" s="543" t="str">
        <f>B33</f>
        <v>אשלג</v>
      </c>
      <c r="AO55" s="619">
        <f t="shared" ref="AO55:AO61" si="218">AP55/$AP$61</f>
        <v>0.37679269882659711</v>
      </c>
      <c r="AP55" s="543">
        <f>H33</f>
        <v>289</v>
      </c>
      <c r="AR55" s="543">
        <f>K33</f>
        <v>245</v>
      </c>
      <c r="AS55" s="619">
        <f t="shared" ref="AS55:AS61" si="219">AT55/$AT$61</f>
        <v>0.63101200295087045</v>
      </c>
      <c r="AT55" s="543">
        <v>996.49099999999999</v>
      </c>
    </row>
    <row r="56" spans="2:46" x14ac:dyDescent="0.25">
      <c r="B56" s="536" t="s">
        <v>769</v>
      </c>
      <c r="C56" s="543">
        <f t="shared" si="216"/>
        <v>8</v>
      </c>
      <c r="D56" s="543">
        <v>13</v>
      </c>
      <c r="E56" s="543">
        <v>9</v>
      </c>
      <c r="F56" s="543">
        <v>6</v>
      </c>
      <c r="G56" s="543">
        <v>6</v>
      </c>
      <c r="H56" s="543">
        <v>4</v>
      </c>
      <c r="I56" s="543">
        <v>1</v>
      </c>
      <c r="J56" s="543">
        <v>19</v>
      </c>
      <c r="K56" s="543">
        <v>1</v>
      </c>
      <c r="M56" s="543"/>
      <c r="N56" s="543"/>
      <c r="P56" s="543"/>
      <c r="Q56" s="543"/>
      <c r="R56" s="543"/>
      <c r="T56" s="543">
        <v>3</v>
      </c>
      <c r="U56" s="543">
        <v>2</v>
      </c>
      <c r="V56" s="543">
        <v>2</v>
      </c>
      <c r="W56" s="543">
        <v>1</v>
      </c>
      <c r="Y56" s="543"/>
      <c r="Z56" s="543"/>
      <c r="AA56" s="543"/>
      <c r="AC56" s="543" t="str">
        <f t="shared" ref="AC56:AC61" si="220">AH56</f>
        <v>פתרונות פוספט</v>
      </c>
      <c r="AD56" s="619">
        <f>AE56/$AE$61</f>
        <v>0.22727272727272727</v>
      </c>
      <c r="AE56" s="543">
        <f t="shared" ref="AE56:AE60" si="221">W34</f>
        <v>200</v>
      </c>
      <c r="AF56" s="543"/>
      <c r="AH56" s="543" t="str">
        <f t="shared" ref="AH56:AH61" si="222">AN56</f>
        <v>פתרונות פוספט</v>
      </c>
      <c r="AI56" s="619">
        <f>AJ56/$AJ$61</f>
        <v>0.25711892797319935</v>
      </c>
      <c r="AJ56" s="543">
        <f t="shared" si="217"/>
        <v>307</v>
      </c>
      <c r="AK56" s="543"/>
      <c r="AL56" s="543"/>
      <c r="AM56" s="543"/>
      <c r="AN56" s="543" t="str">
        <f>B34</f>
        <v>פתרונות פוספט</v>
      </c>
      <c r="AO56" s="619">
        <f t="shared" si="218"/>
        <v>0.1303780964797914</v>
      </c>
      <c r="AP56" s="543">
        <f>H34</f>
        <v>100</v>
      </c>
      <c r="AR56" s="543">
        <f>K34</f>
        <v>75</v>
      </c>
      <c r="AS56" s="619">
        <f t="shared" si="219"/>
        <v>0.10289989519976948</v>
      </c>
      <c r="AT56" s="543">
        <v>162.499</v>
      </c>
    </row>
    <row r="57" spans="2:46" x14ac:dyDescent="0.25">
      <c r="B57" s="544" t="s">
        <v>761</v>
      </c>
      <c r="C57" s="543">
        <f t="shared" si="216"/>
        <v>28</v>
      </c>
      <c r="D57" s="545">
        <v>23</v>
      </c>
      <c r="E57" s="545">
        <v>17</v>
      </c>
      <c r="F57" s="545">
        <v>17</v>
      </c>
      <c r="G57" s="545">
        <v>15</v>
      </c>
      <c r="H57" s="545">
        <v>6</v>
      </c>
      <c r="I57" s="545">
        <v>3</v>
      </c>
      <c r="J57" s="545">
        <v>3</v>
      </c>
      <c r="K57" s="545">
        <v>58</v>
      </c>
      <c r="M57" s="543"/>
      <c r="N57" s="543"/>
      <c r="P57" s="543"/>
      <c r="Q57" s="543"/>
      <c r="R57" s="543"/>
      <c r="T57" s="545">
        <v>12</v>
      </c>
      <c r="U57" s="545">
        <v>7</v>
      </c>
      <c r="V57" s="545">
        <v>4</v>
      </c>
      <c r="W57" s="545">
        <v>5</v>
      </c>
      <c r="Y57" s="543"/>
      <c r="Z57" s="543"/>
      <c r="AA57" s="543"/>
      <c r="AC57" s="543" t="str">
        <f t="shared" si="220"/>
        <v>מוצרים תעשייתיים</v>
      </c>
      <c r="AD57" s="619">
        <f>AE57/$AE$61</f>
        <v>0.21363636363636362</v>
      </c>
      <c r="AE57" s="543">
        <f t="shared" si="221"/>
        <v>188</v>
      </c>
      <c r="AF57" s="543"/>
      <c r="AH57" s="543" t="str">
        <f t="shared" si="222"/>
        <v>מוצרים תעשייתיים</v>
      </c>
      <c r="AI57" s="619">
        <f>AJ57/$AJ$61</f>
        <v>0.36432160804020103</v>
      </c>
      <c r="AJ57" s="543">
        <f t="shared" si="217"/>
        <v>435</v>
      </c>
      <c r="AK57" s="543"/>
      <c r="AL57" s="543"/>
      <c r="AM57" s="543"/>
      <c r="AN57" s="543" t="str">
        <f>B35</f>
        <v>מוצרים תעשייתיים</v>
      </c>
      <c r="AO57" s="619">
        <f t="shared" si="218"/>
        <v>0.44067796610169491</v>
      </c>
      <c r="AP57" s="543">
        <f>H35</f>
        <v>338</v>
      </c>
      <c r="AR57" s="543">
        <f>K35</f>
        <v>241</v>
      </c>
      <c r="AS57" s="619">
        <f t="shared" si="219"/>
        <v>0.14609215454709518</v>
      </c>
      <c r="AT57" s="543">
        <v>230.708</v>
      </c>
    </row>
    <row r="58" spans="2:46" x14ac:dyDescent="0.25">
      <c r="B58" s="547" t="s">
        <v>103</v>
      </c>
      <c r="C58" s="555">
        <f>SUM(C52:C57)</f>
        <v>899</v>
      </c>
      <c r="D58" s="548">
        <f t="shared" ref="D58:E58" si="223">SUM(D52:D57)</f>
        <v>873</v>
      </c>
      <c r="E58" s="548">
        <f t="shared" si="223"/>
        <v>822</v>
      </c>
      <c r="F58" s="548">
        <f t="shared" ref="F58:K58" si="224">SUM(F52:F57)</f>
        <v>669</v>
      </c>
      <c r="G58" s="548">
        <f t="shared" si="224"/>
        <v>696</v>
      </c>
      <c r="H58" s="548">
        <f t="shared" si="224"/>
        <v>693</v>
      </c>
      <c r="I58" s="548">
        <f t="shared" si="224"/>
        <v>605</v>
      </c>
      <c r="J58" s="548">
        <f t="shared" si="224"/>
        <v>507</v>
      </c>
      <c r="K58" s="548">
        <f t="shared" si="224"/>
        <v>652</v>
      </c>
      <c r="M58" s="548"/>
      <c r="N58" s="548"/>
      <c r="P58" s="548"/>
      <c r="Q58" s="548"/>
      <c r="R58" s="548"/>
      <c r="T58" s="548">
        <f t="shared" ref="T58:U58" si="225">SUM(T52:T57)</f>
        <v>360</v>
      </c>
      <c r="U58" s="548">
        <f t="shared" si="225"/>
        <v>207</v>
      </c>
      <c r="V58" s="548">
        <f t="shared" ref="V58:W58" si="226">SUM(V52:V57)</f>
        <v>177</v>
      </c>
      <c r="W58" s="548">
        <f t="shared" si="226"/>
        <v>155</v>
      </c>
      <c r="Y58" s="548"/>
      <c r="Z58" s="548"/>
      <c r="AA58" s="548"/>
      <c r="AC58" s="543" t="str">
        <f t="shared" si="220"/>
        <v>פתרונות חדשניים לחקלאות</v>
      </c>
      <c r="AD58" s="619">
        <f>AE58/$AE$61</f>
        <v>0.10568181818181818</v>
      </c>
      <c r="AE58" s="543">
        <f t="shared" si="221"/>
        <v>93</v>
      </c>
      <c r="AF58" s="548"/>
      <c r="AH58" s="543" t="str">
        <f t="shared" si="222"/>
        <v>פתרונות חדשניים לחקלאות</v>
      </c>
      <c r="AI58" s="619">
        <f>AJ58/$AJ$61</f>
        <v>0.10134003350083752</v>
      </c>
      <c r="AJ58" s="543">
        <f t="shared" si="217"/>
        <v>121</v>
      </c>
      <c r="AK58" s="548"/>
      <c r="AL58" s="548"/>
      <c r="AM58" s="548"/>
      <c r="AN58" s="543" t="str">
        <f>B36</f>
        <v>פתרונות חדשניים לחקלאות</v>
      </c>
      <c r="AO58" s="619">
        <f t="shared" si="218"/>
        <v>2.7379400260756193E-2</v>
      </c>
      <c r="AP58" s="543">
        <f>H36</f>
        <v>21</v>
      </c>
      <c r="AR58" s="543">
        <f>K36</f>
        <v>28</v>
      </c>
      <c r="AS58" s="619">
        <f t="shared" si="219"/>
        <v>0.11392829891178732</v>
      </c>
      <c r="AT58" s="543">
        <v>179.91499999999999</v>
      </c>
    </row>
    <row r="59" spans="2:46" x14ac:dyDescent="0.25">
      <c r="B59" s="707" t="s">
        <v>839</v>
      </c>
      <c r="C59" s="548">
        <f>U59+T59</f>
        <v>92</v>
      </c>
      <c r="D59" s="548"/>
      <c r="E59" s="548"/>
      <c r="F59" s="548">
        <v>377</v>
      </c>
      <c r="G59" s="548"/>
      <c r="H59" s="548"/>
      <c r="I59" s="548"/>
      <c r="J59" s="548"/>
      <c r="K59" s="548"/>
      <c r="M59" s="548"/>
      <c r="N59" s="548"/>
      <c r="P59" s="548"/>
      <c r="Q59" s="548"/>
      <c r="R59" s="548"/>
      <c r="T59" s="548">
        <v>4</v>
      </c>
      <c r="U59" s="25">
        <v>88</v>
      </c>
      <c r="V59" s="25"/>
      <c r="W59" s="25"/>
      <c r="Y59" s="548"/>
      <c r="Z59" s="548"/>
      <c r="AA59" s="548"/>
      <c r="AC59" s="543">
        <f t="shared" si="220"/>
        <v>0</v>
      </c>
      <c r="AD59" s="619"/>
      <c r="AE59" s="543">
        <f t="shared" si="221"/>
        <v>-3</v>
      </c>
      <c r="AF59" s="548"/>
      <c r="AH59" s="543">
        <f t="shared" si="222"/>
        <v>0</v>
      </c>
      <c r="AI59" s="619"/>
      <c r="AJ59" s="543">
        <f t="shared" si="217"/>
        <v>-8</v>
      </c>
      <c r="AK59" s="548"/>
      <c r="AL59" s="548"/>
      <c r="AM59" s="548"/>
      <c r="AN59" s="543"/>
      <c r="AO59" s="619"/>
      <c r="AP59" s="543"/>
      <c r="AR59" s="543"/>
      <c r="AS59" s="619"/>
      <c r="AT59" s="543"/>
    </row>
    <row r="60" spans="2:46" x14ac:dyDescent="0.25">
      <c r="B60" s="588" t="s">
        <v>766</v>
      </c>
      <c r="C60" s="589">
        <f>-'IC&amp;CF&amp;BS'!C75-C58</f>
        <v>-186</v>
      </c>
      <c r="D60" s="589">
        <f>-'IC&amp;CF&amp;BS'!D75-D58</f>
        <v>-93</v>
      </c>
      <c r="E60" s="589">
        <f>-'IC&amp;CF&amp;BS'!E75-E58</f>
        <v>-75</v>
      </c>
      <c r="F60" s="589">
        <f>-'IC&amp;CF&amp;BS'!F75-F58</f>
        <v>-58</v>
      </c>
      <c r="G60" s="589">
        <f>-'IC&amp;CF&amp;BS'!G75-G58</f>
        <v>-70</v>
      </c>
      <c r="H60" s="589">
        <f>-'IC&amp;CF&amp;BS'!H75-H58</f>
        <v>-117</v>
      </c>
      <c r="I60" s="589">
        <f>-'IC&amp;CF&amp;BS'!I75-I58</f>
        <v>-33</v>
      </c>
      <c r="J60" s="589">
        <f>-'IC&amp;CF&amp;BS'!J75-J58</f>
        <v>-50</v>
      </c>
      <c r="K60" s="589">
        <f>-'IC&amp;CF&amp;BS'!K75-K58</f>
        <v>-20</v>
      </c>
      <c r="M60" s="589"/>
      <c r="N60" s="589"/>
      <c r="P60" s="589"/>
      <c r="Q60" s="589"/>
      <c r="R60" s="589"/>
      <c r="T60" s="589">
        <f>-'IC&amp;CF&amp;BS'!T75-T58</f>
        <v>-215</v>
      </c>
      <c r="U60" s="589">
        <f>-'IC&amp;CF&amp;BS'!U75-U58</f>
        <v>48</v>
      </c>
      <c r="V60" s="589">
        <f>-'IC&amp;CF&amp;BS'!V75-V58</f>
        <v>14</v>
      </c>
      <c r="W60" s="589">
        <f>-'IC&amp;CF&amp;BS'!W75-W58</f>
        <v>15</v>
      </c>
      <c r="Y60" s="589"/>
      <c r="Z60" s="589"/>
      <c r="AA60" s="589"/>
      <c r="AC60" s="543" t="str">
        <f t="shared" si="220"/>
        <v>פעילויות אחרות</v>
      </c>
      <c r="AD60" s="619">
        <f>AE60/$AE$61</f>
        <v>-9.0909090909090905E-3</v>
      </c>
      <c r="AE60" s="543">
        <f t="shared" si="221"/>
        <v>-8</v>
      </c>
      <c r="AF60" s="589"/>
      <c r="AH60" s="543" t="str">
        <f t="shared" si="222"/>
        <v>פעילויות אחרות</v>
      </c>
      <c r="AI60" s="619">
        <f>AJ60/$AJ$61</f>
        <v>-5.0251256281407038E-2</v>
      </c>
      <c r="AJ60" s="543">
        <f t="shared" si="217"/>
        <v>-60</v>
      </c>
      <c r="AK60" s="589"/>
      <c r="AL60" s="589"/>
      <c r="AM60" s="589"/>
      <c r="AN60" s="543" t="str">
        <f>B37</f>
        <v>פעילויות אחרות</v>
      </c>
      <c r="AO60" s="619">
        <f t="shared" si="218"/>
        <v>2.4771838331160364E-2</v>
      </c>
      <c r="AP60" s="543">
        <f>H37</f>
        <v>19</v>
      </c>
      <c r="AR60" s="543">
        <f>K37</f>
        <v>41</v>
      </c>
      <c r="AS60" s="619">
        <f t="shared" si="219"/>
        <v>6.0676483904774266E-3</v>
      </c>
      <c r="AT60" s="543">
        <v>9.5820000000000007</v>
      </c>
    </row>
    <row r="61" spans="2:46" x14ac:dyDescent="0.25">
      <c r="U61" s="646"/>
      <c r="V61" s="646"/>
      <c r="W61" s="646"/>
      <c r="AC61" s="543">
        <f t="shared" si="220"/>
        <v>0</v>
      </c>
      <c r="AD61" s="619">
        <f>AE61/$AE$61</f>
        <v>1</v>
      </c>
      <c r="AE61" s="543">
        <f>SUM(AE55:AE60)</f>
        <v>880</v>
      </c>
      <c r="AH61" s="543">
        <f t="shared" si="222"/>
        <v>0</v>
      </c>
      <c r="AI61" s="619">
        <f>AJ61/$AJ$61</f>
        <v>1</v>
      </c>
      <c r="AJ61" s="543">
        <f>SUM(AJ55:AJ60)</f>
        <v>1194</v>
      </c>
      <c r="AO61" s="619">
        <f t="shared" si="218"/>
        <v>1</v>
      </c>
      <c r="AP61" s="543">
        <f>SUM(AP55:AP60)</f>
        <v>767</v>
      </c>
      <c r="AS61" s="619">
        <f t="shared" si="219"/>
        <v>1</v>
      </c>
      <c r="AT61" s="543">
        <f>SUM(AT55:AT60)</f>
        <v>1579.1950000000002</v>
      </c>
    </row>
    <row r="62" spans="2:46" x14ac:dyDescent="0.25">
      <c r="B62" s="585" t="s">
        <v>102</v>
      </c>
      <c r="C62" s="543"/>
      <c r="D62" s="543"/>
      <c r="E62" s="543"/>
      <c r="F62" s="543"/>
      <c r="G62" s="543"/>
      <c r="H62" s="543"/>
      <c r="I62" s="543"/>
      <c r="J62" s="543"/>
      <c r="K62" s="543"/>
      <c r="M62" s="543"/>
      <c r="N62" s="543"/>
      <c r="O62" s="543"/>
      <c r="P62" s="543"/>
      <c r="Q62" s="543"/>
      <c r="R62" s="543"/>
      <c r="S62" s="543"/>
      <c r="T62" s="543"/>
      <c r="U62" s="543"/>
      <c r="V62" s="543"/>
      <c r="W62" s="543"/>
      <c r="X62" s="543"/>
      <c r="Y62" s="543"/>
      <c r="Z62" s="543"/>
      <c r="AA62" s="543"/>
      <c r="AB62" s="543"/>
      <c r="AC62" s="543"/>
      <c r="AD62" s="543"/>
      <c r="AE62" s="543"/>
      <c r="AF62" s="543"/>
      <c r="AG62" s="543"/>
      <c r="AH62" s="543"/>
      <c r="AI62" s="543"/>
      <c r="AJ62" s="543"/>
      <c r="AK62" s="543"/>
      <c r="AL62" s="543"/>
      <c r="AM62" s="543"/>
    </row>
    <row r="63" spans="2:46" x14ac:dyDescent="0.25">
      <c r="B63" s="536" t="s">
        <v>97</v>
      </c>
      <c r="C63" s="543">
        <f>W63+V63+U63+T63</f>
        <v>230</v>
      </c>
      <c r="D63" s="543">
        <v>175</v>
      </c>
      <c r="E63" s="543">
        <v>166</v>
      </c>
      <c r="F63" s="543">
        <v>165</v>
      </c>
      <c r="G63" s="543">
        <v>166</v>
      </c>
      <c r="H63" s="543">
        <v>149</v>
      </c>
      <c r="I63" s="543">
        <f>141</f>
        <v>141</v>
      </c>
      <c r="J63" s="543">
        <v>128</v>
      </c>
      <c r="K63" s="543">
        <v>127</v>
      </c>
      <c r="M63" s="543"/>
      <c r="N63" s="543"/>
      <c r="O63" s="543"/>
      <c r="P63" s="543"/>
      <c r="Q63" s="543"/>
      <c r="R63" s="543"/>
      <c r="S63" s="543"/>
      <c r="T63" s="543">
        <v>61</v>
      </c>
      <c r="U63" s="543">
        <v>61</v>
      </c>
      <c r="V63" s="543">
        <v>46</v>
      </c>
      <c r="W63" s="543">
        <v>62</v>
      </c>
      <c r="X63" s="543"/>
      <c r="Y63" s="543"/>
      <c r="Z63" s="543"/>
      <c r="AA63" s="543"/>
      <c r="AB63" s="543"/>
      <c r="AC63" s="543"/>
      <c r="AD63" s="543"/>
      <c r="AE63" s="543"/>
      <c r="AF63" s="543"/>
      <c r="AG63" s="543"/>
      <c r="AH63" s="543"/>
      <c r="AI63" s="543"/>
      <c r="AJ63" s="543"/>
      <c r="AK63" s="543"/>
      <c r="AL63" s="543"/>
      <c r="AM63" s="543"/>
    </row>
    <row r="64" spans="2:46" x14ac:dyDescent="0.25">
      <c r="B64" s="536" t="s">
        <v>767</v>
      </c>
      <c r="C64" s="543">
        <f t="shared" ref="C64:C68" si="227">W64+V64+U64+T64</f>
        <v>194</v>
      </c>
      <c r="D64" s="543">
        <v>207</v>
      </c>
      <c r="E64" s="543">
        <v>189</v>
      </c>
      <c r="F64" s="543">
        <v>215</v>
      </c>
      <c r="G64" s="543">
        <v>210</v>
      </c>
      <c r="H64" s="543">
        <v>177</v>
      </c>
      <c r="I64" s="543">
        <v>172</v>
      </c>
      <c r="J64" s="543">
        <v>172</v>
      </c>
      <c r="K64" s="543">
        <v>203</v>
      </c>
      <c r="M64" s="543"/>
      <c r="N64" s="543"/>
      <c r="O64" s="543"/>
      <c r="P64" s="543"/>
      <c r="Q64" s="543"/>
      <c r="R64" s="543"/>
      <c r="S64" s="543"/>
      <c r="T64" s="543">
        <v>51</v>
      </c>
      <c r="U64" s="543">
        <v>40</v>
      </c>
      <c r="V64" s="543">
        <v>56</v>
      </c>
      <c r="W64" s="543">
        <v>47</v>
      </c>
      <c r="X64" s="543"/>
      <c r="Y64" s="543"/>
      <c r="Z64" s="543"/>
      <c r="AA64" s="543"/>
      <c r="AB64" s="543"/>
      <c r="AC64" s="543"/>
      <c r="AD64" s="543"/>
      <c r="AE64" s="543"/>
      <c r="AF64" s="543"/>
      <c r="AG64" s="543"/>
      <c r="AH64" s="543"/>
      <c r="AI64" s="543"/>
      <c r="AJ64" s="543"/>
      <c r="AK64" s="543"/>
      <c r="AL64" s="543"/>
      <c r="AM64" s="543"/>
    </row>
    <row r="65" spans="2:39" x14ac:dyDescent="0.25">
      <c r="B65" s="536" t="s">
        <v>99</v>
      </c>
      <c r="C65" s="543">
        <f t="shared" si="227"/>
        <v>57</v>
      </c>
      <c r="D65" s="543">
        <v>57</v>
      </c>
      <c r="E65" s="543">
        <v>61</v>
      </c>
      <c r="F65" s="543">
        <v>65</v>
      </c>
      <c r="G65" s="543">
        <v>77</v>
      </c>
      <c r="H65" s="543">
        <v>67</v>
      </c>
      <c r="I65" s="543">
        <v>63</v>
      </c>
      <c r="J65" s="543">
        <v>61</v>
      </c>
      <c r="K65" s="543">
        <v>52</v>
      </c>
      <c r="M65" s="543"/>
      <c r="N65" s="543"/>
      <c r="O65" s="543"/>
      <c r="P65" s="543"/>
      <c r="Q65" s="543"/>
      <c r="R65" s="543"/>
      <c r="S65" s="543"/>
      <c r="T65" s="543">
        <v>15</v>
      </c>
      <c r="U65" s="543">
        <v>15</v>
      </c>
      <c r="V65" s="543">
        <v>14</v>
      </c>
      <c r="W65" s="543">
        <v>13</v>
      </c>
      <c r="X65" s="543"/>
      <c r="Y65" s="543"/>
      <c r="Z65" s="543"/>
      <c r="AA65" s="543"/>
      <c r="AB65" s="543"/>
      <c r="AC65" s="543"/>
      <c r="AD65" s="543"/>
      <c r="AE65" s="543"/>
      <c r="AF65" s="543"/>
      <c r="AG65" s="543"/>
      <c r="AH65" s="543"/>
      <c r="AI65" s="543"/>
      <c r="AJ65" s="543"/>
      <c r="AK65" s="543"/>
      <c r="AL65" s="543"/>
      <c r="AM65" s="543"/>
    </row>
    <row r="66" spans="2:39" x14ac:dyDescent="0.25">
      <c r="B66" s="536" t="s">
        <v>768</v>
      </c>
      <c r="C66" s="543">
        <f t="shared" si="227"/>
        <v>72</v>
      </c>
      <c r="D66" s="543">
        <v>68</v>
      </c>
      <c r="E66" s="543">
        <v>70</v>
      </c>
      <c r="F66" s="543">
        <v>38</v>
      </c>
      <c r="G66" s="543">
        <v>25</v>
      </c>
      <c r="H66" s="543">
        <v>21</v>
      </c>
      <c r="I66" s="543">
        <v>19</v>
      </c>
      <c r="J66" s="543">
        <v>19</v>
      </c>
      <c r="K66" s="543">
        <v>17</v>
      </c>
      <c r="M66" s="543"/>
      <c r="N66" s="543"/>
      <c r="O66" s="543"/>
      <c r="P66" s="543"/>
      <c r="Q66" s="543"/>
      <c r="R66" s="543"/>
      <c r="S66" s="543"/>
      <c r="T66" s="543">
        <v>20</v>
      </c>
      <c r="U66" s="543">
        <v>15</v>
      </c>
      <c r="V66" s="543">
        <v>18</v>
      </c>
      <c r="W66" s="543">
        <v>19</v>
      </c>
      <c r="X66" s="543"/>
      <c r="Y66" s="543"/>
      <c r="Z66" s="543"/>
      <c r="AA66" s="543"/>
      <c r="AB66" s="543"/>
      <c r="AC66" s="543"/>
      <c r="AD66" s="543"/>
      <c r="AE66" s="543"/>
      <c r="AF66" s="543"/>
      <c r="AG66" s="543"/>
      <c r="AH66" s="543"/>
      <c r="AI66" s="543"/>
      <c r="AJ66" s="543"/>
      <c r="AK66" s="543"/>
      <c r="AL66" s="543"/>
      <c r="AM66" s="543"/>
    </row>
    <row r="67" spans="2:39" x14ac:dyDescent="0.25">
      <c r="B67" s="536" t="s">
        <v>769</v>
      </c>
      <c r="C67" s="543">
        <f t="shared" si="227"/>
        <v>14</v>
      </c>
      <c r="D67" s="543">
        <v>17</v>
      </c>
      <c r="E67" s="543">
        <v>3</v>
      </c>
      <c r="F67" s="543">
        <v>2</v>
      </c>
      <c r="G67" s="543">
        <v>3</v>
      </c>
      <c r="H67" s="543">
        <v>22</v>
      </c>
      <c r="I67" s="543">
        <v>4</v>
      </c>
      <c r="J67" s="543">
        <v>8</v>
      </c>
      <c r="K67" s="543">
        <v>3</v>
      </c>
      <c r="M67" s="543"/>
      <c r="N67" s="543"/>
      <c r="O67" s="543"/>
      <c r="P67" s="543"/>
      <c r="Q67" s="543"/>
      <c r="R67" s="543"/>
      <c r="S67" s="543"/>
      <c r="T67" s="543">
        <v>4</v>
      </c>
      <c r="U67" s="543">
        <v>3</v>
      </c>
      <c r="V67" s="543">
        <v>3</v>
      </c>
      <c r="W67" s="543">
        <v>4</v>
      </c>
      <c r="X67" s="543"/>
      <c r="Y67" s="543"/>
      <c r="Z67" s="543"/>
      <c r="AA67" s="543"/>
      <c r="AB67" s="543"/>
      <c r="AC67" s="543"/>
      <c r="AD67" s="543"/>
      <c r="AE67" s="543"/>
      <c r="AF67" s="543"/>
      <c r="AG67" s="543"/>
      <c r="AH67" s="543"/>
      <c r="AI67" s="543"/>
      <c r="AJ67" s="543"/>
      <c r="AK67" s="543"/>
      <c r="AL67" s="543"/>
      <c r="AM67" s="543"/>
    </row>
    <row r="68" spans="2:39" x14ac:dyDescent="0.25">
      <c r="B68" s="544" t="s">
        <v>761</v>
      </c>
      <c r="C68" s="545">
        <f t="shared" si="227"/>
        <v>32</v>
      </c>
      <c r="D68" s="545">
        <v>12</v>
      </c>
      <c r="E68" s="545">
        <v>9</v>
      </c>
      <c r="F68" s="545">
        <v>-1</v>
      </c>
      <c r="G68" s="545">
        <v>98</v>
      </c>
      <c r="H68" s="545">
        <v>-3</v>
      </c>
      <c r="I68" s="545">
        <v>21</v>
      </c>
      <c r="J68" s="545">
        <v>3</v>
      </c>
      <c r="K68" s="545">
        <v>4</v>
      </c>
      <c r="M68" s="543"/>
      <c r="N68" s="543"/>
      <c r="O68" s="543"/>
      <c r="P68" s="543"/>
      <c r="Q68" s="543"/>
      <c r="R68" s="543"/>
      <c r="S68" s="543"/>
      <c r="T68" s="545">
        <v>13</v>
      </c>
      <c r="U68" s="545">
        <v>13</v>
      </c>
      <c r="V68" s="545">
        <v>4</v>
      </c>
      <c r="W68" s="545">
        <v>2</v>
      </c>
      <c r="X68" s="543"/>
      <c r="Y68" s="543"/>
      <c r="Z68" s="543"/>
      <c r="AA68" s="543"/>
      <c r="AB68" s="543"/>
      <c r="AC68" s="543"/>
      <c r="AD68" s="543"/>
      <c r="AE68" s="543"/>
      <c r="AF68" s="543"/>
      <c r="AG68" s="543"/>
      <c r="AH68" s="543"/>
      <c r="AI68" s="543"/>
      <c r="AJ68" s="543"/>
      <c r="AK68" s="543"/>
      <c r="AL68" s="543"/>
      <c r="AM68" s="543"/>
    </row>
    <row r="69" spans="2:39" x14ac:dyDescent="0.25">
      <c r="B69" s="547" t="s">
        <v>103</v>
      </c>
      <c r="C69" s="548">
        <f t="shared" ref="C69" si="228">SUM(C63:C68)</f>
        <v>599</v>
      </c>
      <c r="D69" s="548">
        <f t="shared" ref="D69:E69" si="229">SUM(D63:D68)</f>
        <v>536</v>
      </c>
      <c r="E69" s="548">
        <f t="shared" si="229"/>
        <v>498</v>
      </c>
      <c r="F69" s="548">
        <f t="shared" ref="F69:K69" si="230">SUM(F63:F68)</f>
        <v>484</v>
      </c>
      <c r="G69" s="548">
        <f t="shared" si="230"/>
        <v>579</v>
      </c>
      <c r="H69" s="548">
        <f t="shared" si="230"/>
        <v>433</v>
      </c>
      <c r="I69" s="548">
        <f t="shared" si="230"/>
        <v>420</v>
      </c>
      <c r="J69" s="548">
        <f t="shared" si="230"/>
        <v>391</v>
      </c>
      <c r="K69" s="548">
        <f t="shared" si="230"/>
        <v>406</v>
      </c>
      <c r="M69" s="548"/>
      <c r="N69" s="548"/>
      <c r="O69" s="548"/>
      <c r="P69" s="548"/>
      <c r="Q69" s="548"/>
      <c r="R69" s="548"/>
      <c r="S69" s="548"/>
      <c r="T69" s="548">
        <f t="shared" ref="T69:U69" si="231">SUM(T63:T68)</f>
        <v>164</v>
      </c>
      <c r="U69" s="548">
        <f t="shared" si="231"/>
        <v>147</v>
      </c>
      <c r="V69" s="548">
        <f t="shared" ref="V69:W69" si="232">SUM(V63:V68)</f>
        <v>141</v>
      </c>
      <c r="W69" s="548">
        <f t="shared" si="232"/>
        <v>147</v>
      </c>
      <c r="X69" s="548"/>
      <c r="Y69" s="548"/>
      <c r="Z69" s="548"/>
      <c r="AA69" s="548"/>
      <c r="AB69" s="548"/>
      <c r="AC69" s="548"/>
      <c r="AD69" s="548"/>
      <c r="AE69" s="548"/>
      <c r="AF69" s="548"/>
      <c r="AG69" s="548"/>
      <c r="AH69" s="548"/>
      <c r="AI69" s="548"/>
      <c r="AJ69" s="548"/>
      <c r="AK69" s="548"/>
      <c r="AL69" s="548"/>
      <c r="AM69" s="548"/>
    </row>
    <row r="70" spans="2:39" x14ac:dyDescent="0.25">
      <c r="B70" s="588" t="s">
        <v>766</v>
      </c>
      <c r="C70" s="589">
        <f>'IC&amp;CF&amp;BS'!C46+'IC&amp;CF&amp;BS'!C47-C69</f>
        <v>11</v>
      </c>
      <c r="D70" s="589">
        <f>'IC&amp;CF&amp;BS'!D46+'IC&amp;CF&amp;BS'!D47-D69</f>
        <v>0</v>
      </c>
      <c r="E70" s="589">
        <f>'IC&amp;CF&amp;BS'!E46+'IC&amp;CF&amp;BS'!E47-E69</f>
        <v>0</v>
      </c>
      <c r="F70" s="589">
        <f>'IC&amp;CF&amp;BS'!F46+'IC&amp;CF&amp;BS'!F47-F69</f>
        <v>0</v>
      </c>
      <c r="G70" s="589">
        <f>'IC&amp;CF&amp;BS'!G46+'IC&amp;CF&amp;BS'!G47-G69</f>
        <v>0</v>
      </c>
      <c r="H70" s="589">
        <f>'IC&amp;CF&amp;BS'!H46+'IC&amp;CF&amp;BS'!H47-H69</f>
        <v>0</v>
      </c>
      <c r="I70" s="589">
        <f>'IC&amp;CF&amp;BS'!I46+'IC&amp;CF&amp;BS'!I47-I69</f>
        <v>0</v>
      </c>
      <c r="J70" s="589">
        <f>'IC&amp;CF&amp;BS'!J46+'IC&amp;CF&amp;BS'!J47-J69</f>
        <v>27</v>
      </c>
      <c r="K70" s="589">
        <f>'IC&amp;CF&amp;BS'!K46+'IC&amp;CF&amp;BS'!K47-K69</f>
        <v>0</v>
      </c>
      <c r="M70" s="589"/>
      <c r="N70" s="589"/>
      <c r="O70" s="589"/>
      <c r="P70" s="589"/>
      <c r="Q70" s="589"/>
      <c r="R70" s="589"/>
      <c r="S70" s="589"/>
      <c r="T70" s="589"/>
      <c r="U70" s="589"/>
      <c r="V70" s="589"/>
      <c r="W70" s="589"/>
      <c r="X70" s="589"/>
      <c r="Y70" s="589"/>
      <c r="Z70" s="589"/>
      <c r="AA70" s="589"/>
      <c r="AB70" s="589"/>
      <c r="AC70" s="589"/>
      <c r="AD70" s="589"/>
      <c r="AE70" s="589"/>
      <c r="AF70" s="589"/>
      <c r="AG70" s="589"/>
      <c r="AH70" s="589"/>
      <c r="AI70" s="589"/>
      <c r="AJ70" s="589"/>
      <c r="AK70" s="589"/>
      <c r="AL70" s="589"/>
      <c r="AM70" s="589"/>
    </row>
    <row r="72" spans="2:39" x14ac:dyDescent="0.25">
      <c r="B72" s="585"/>
      <c r="C72" s="543"/>
      <c r="D72" s="543"/>
      <c r="E72" s="543"/>
      <c r="F72" s="543"/>
      <c r="G72" s="543"/>
      <c r="H72" s="543"/>
      <c r="I72" s="543"/>
      <c r="J72" s="543"/>
      <c r="K72" s="543"/>
      <c r="M72" s="543"/>
      <c r="N72" s="543"/>
      <c r="O72" s="543"/>
      <c r="P72" s="543"/>
      <c r="Q72" s="543"/>
      <c r="R72" s="543"/>
      <c r="S72" s="543"/>
      <c r="T72" s="543"/>
      <c r="U72" s="543"/>
      <c r="V72" s="543"/>
      <c r="W72" s="543"/>
      <c r="X72" s="543"/>
      <c r="Y72" s="543"/>
      <c r="Z72" s="543"/>
      <c r="AA72" s="543"/>
      <c r="AB72" s="543"/>
      <c r="AC72" s="543"/>
      <c r="AD72" s="543"/>
      <c r="AE72" s="543"/>
      <c r="AF72" s="543"/>
      <c r="AG72" s="543"/>
      <c r="AH72" s="543"/>
      <c r="AI72" s="543"/>
      <c r="AJ72" s="543"/>
      <c r="AK72" s="543"/>
      <c r="AL72" s="543"/>
      <c r="AM72" s="543"/>
    </row>
    <row r="73" spans="2:39" x14ac:dyDescent="0.25">
      <c r="C73" s="543"/>
      <c r="D73" s="543"/>
      <c r="E73" s="543"/>
      <c r="F73" s="543"/>
      <c r="G73" s="543"/>
      <c r="H73" s="543"/>
      <c r="I73" s="543"/>
      <c r="J73" s="543"/>
      <c r="K73" s="543"/>
      <c r="M73" s="543"/>
      <c r="N73" s="543"/>
      <c r="O73" s="543"/>
      <c r="P73" s="543"/>
      <c r="Q73" s="543"/>
      <c r="R73" s="543"/>
      <c r="S73" s="543"/>
      <c r="T73" s="543"/>
      <c r="U73" s="543"/>
      <c r="V73" s="543"/>
      <c r="W73" s="543"/>
      <c r="X73" s="543"/>
      <c r="Y73" s="543"/>
      <c r="Z73" s="543"/>
      <c r="AA73" s="543"/>
      <c r="AB73" s="543"/>
      <c r="AC73" s="543"/>
      <c r="AD73" s="543"/>
      <c r="AE73" s="543"/>
      <c r="AF73" s="543"/>
      <c r="AG73" s="543"/>
      <c r="AH73" s="543"/>
      <c r="AI73" s="543"/>
      <c r="AJ73" s="543"/>
      <c r="AK73" s="543"/>
      <c r="AL73" s="543"/>
      <c r="AM73" s="543"/>
    </row>
    <row r="74" spans="2:39" x14ac:dyDescent="0.25">
      <c r="C74" s="543"/>
      <c r="D74" s="543"/>
      <c r="E74" s="543"/>
      <c r="F74" s="543"/>
      <c r="G74" s="543"/>
      <c r="H74" s="543"/>
      <c r="I74" s="543"/>
      <c r="J74" s="543"/>
      <c r="K74" s="543"/>
      <c r="M74" s="543"/>
      <c r="N74" s="543"/>
      <c r="O74" s="543"/>
      <c r="P74" s="543"/>
      <c r="Q74" s="543"/>
      <c r="R74" s="543"/>
      <c r="S74" s="543"/>
      <c r="T74" s="543"/>
      <c r="U74" s="543"/>
      <c r="V74" s="543"/>
      <c r="W74" s="543"/>
      <c r="X74" s="543"/>
      <c r="Y74" s="543"/>
      <c r="Z74" s="543"/>
      <c r="AA74" s="543"/>
      <c r="AB74" s="543"/>
      <c r="AC74" s="543"/>
      <c r="AD74" s="543"/>
      <c r="AE74" s="543"/>
      <c r="AF74" s="543"/>
      <c r="AG74" s="543"/>
      <c r="AH74" s="543"/>
      <c r="AI74" s="543"/>
      <c r="AJ74" s="543"/>
      <c r="AK74" s="543"/>
      <c r="AL74" s="543"/>
      <c r="AM74" s="543"/>
    </row>
    <row r="75" spans="2:39" x14ac:dyDescent="0.25">
      <c r="C75" s="543"/>
      <c r="D75" s="543"/>
      <c r="E75" s="543"/>
      <c r="F75" s="543"/>
      <c r="G75" s="543"/>
      <c r="H75" s="543"/>
      <c r="I75" s="543"/>
      <c r="J75" s="543"/>
      <c r="K75" s="543"/>
      <c r="M75" s="543"/>
      <c r="N75" s="543"/>
      <c r="O75" s="543"/>
      <c r="P75" s="543"/>
      <c r="Q75" s="543"/>
      <c r="R75" s="543"/>
      <c r="S75" s="543"/>
      <c r="T75" s="543"/>
      <c r="U75" s="543"/>
      <c r="V75" s="543"/>
      <c r="W75" s="543"/>
      <c r="X75" s="543"/>
      <c r="Y75" s="543"/>
      <c r="Z75" s="543"/>
      <c r="AA75" s="543"/>
      <c r="AB75" s="543"/>
      <c r="AC75" s="543"/>
      <c r="AD75" s="543"/>
      <c r="AE75" s="543"/>
      <c r="AF75" s="543"/>
      <c r="AG75" s="543"/>
      <c r="AH75" s="543"/>
      <c r="AI75" s="543"/>
      <c r="AJ75" s="543"/>
      <c r="AK75" s="543"/>
      <c r="AL75" s="543"/>
      <c r="AM75" s="543"/>
    </row>
    <row r="76" spans="2:39" x14ac:dyDescent="0.25">
      <c r="C76" s="543"/>
      <c r="D76" s="543"/>
      <c r="E76" s="543"/>
      <c r="F76" s="543"/>
      <c r="G76" s="543"/>
      <c r="H76" s="543"/>
      <c r="I76" s="543"/>
      <c r="J76" s="543"/>
      <c r="K76" s="543"/>
      <c r="M76" s="543"/>
      <c r="N76" s="543"/>
      <c r="O76" s="543"/>
      <c r="P76" s="543"/>
      <c r="Q76" s="543"/>
      <c r="R76" s="543"/>
      <c r="S76" s="543"/>
      <c r="T76" s="543"/>
      <c r="U76" s="543"/>
      <c r="V76" s="543"/>
      <c r="W76" s="543"/>
      <c r="X76" s="543"/>
      <c r="Y76" s="543"/>
      <c r="Z76" s="543"/>
      <c r="AA76" s="543"/>
      <c r="AB76" s="543"/>
      <c r="AC76" s="543"/>
      <c r="AD76" s="543"/>
      <c r="AE76" s="543"/>
      <c r="AF76" s="543"/>
      <c r="AG76" s="543"/>
      <c r="AH76" s="543"/>
      <c r="AI76" s="543"/>
      <c r="AJ76" s="543"/>
      <c r="AK76" s="543"/>
      <c r="AL76" s="543"/>
      <c r="AM76" s="543"/>
    </row>
    <row r="77" spans="2:39" x14ac:dyDescent="0.25">
      <c r="C77" s="543"/>
      <c r="D77" s="543"/>
      <c r="E77" s="543"/>
      <c r="F77" s="543"/>
      <c r="G77" s="543"/>
      <c r="H77" s="543"/>
      <c r="I77" s="543"/>
      <c r="J77" s="543"/>
      <c r="K77" s="543"/>
      <c r="M77" s="543"/>
      <c r="N77" s="543"/>
      <c r="O77" s="543"/>
      <c r="P77" s="543"/>
      <c r="Q77" s="543"/>
      <c r="R77" s="543"/>
      <c r="S77" s="543"/>
      <c r="T77" s="543"/>
      <c r="U77" s="543"/>
      <c r="V77" s="543"/>
      <c r="W77" s="543"/>
      <c r="X77" s="543"/>
      <c r="Y77" s="543"/>
      <c r="Z77" s="543"/>
      <c r="AA77" s="543"/>
      <c r="AB77" s="543"/>
      <c r="AC77" s="543"/>
      <c r="AD77" s="543"/>
      <c r="AE77" s="543"/>
      <c r="AF77" s="543"/>
      <c r="AG77" s="543"/>
      <c r="AH77" s="543"/>
      <c r="AI77" s="543"/>
      <c r="AJ77" s="543"/>
      <c r="AK77" s="543"/>
      <c r="AL77" s="543"/>
      <c r="AM77" s="543"/>
    </row>
    <row r="78" spans="2:39" x14ac:dyDescent="0.25">
      <c r="C78" s="543"/>
      <c r="D78" s="543"/>
      <c r="E78" s="543"/>
      <c r="F78" s="543"/>
      <c r="G78" s="543"/>
      <c r="H78" s="543"/>
      <c r="I78" s="543"/>
      <c r="J78" s="543"/>
      <c r="K78" s="543"/>
      <c r="M78" s="543"/>
      <c r="N78" s="543"/>
      <c r="O78" s="543"/>
      <c r="P78" s="543"/>
      <c r="Q78" s="543"/>
      <c r="R78" s="543"/>
      <c r="S78" s="543"/>
      <c r="T78" s="543"/>
      <c r="U78" s="543"/>
      <c r="V78" s="543"/>
      <c r="W78" s="543"/>
      <c r="X78" s="543"/>
      <c r="Y78" s="543"/>
      <c r="Z78" s="543"/>
      <c r="AA78" s="543"/>
      <c r="AB78" s="543"/>
      <c r="AC78" s="543"/>
      <c r="AD78" s="543"/>
      <c r="AE78" s="543"/>
      <c r="AF78" s="543"/>
      <c r="AG78" s="543"/>
      <c r="AH78" s="543"/>
      <c r="AI78" s="543"/>
      <c r="AJ78" s="543"/>
      <c r="AK78" s="543"/>
      <c r="AL78" s="543"/>
      <c r="AM78" s="543"/>
    </row>
    <row r="79" spans="2:39" x14ac:dyDescent="0.25">
      <c r="B79" s="547"/>
      <c r="C79" s="548"/>
      <c r="D79" s="548"/>
      <c r="E79" s="548"/>
      <c r="F79" s="548"/>
      <c r="G79" s="548"/>
      <c r="H79" s="548"/>
      <c r="I79" s="548"/>
      <c r="J79" s="548"/>
      <c r="K79" s="548"/>
      <c r="M79" s="548"/>
      <c r="N79" s="548"/>
      <c r="O79" s="548"/>
      <c r="P79" s="548"/>
      <c r="Q79" s="548"/>
      <c r="R79" s="548"/>
      <c r="S79" s="548"/>
      <c r="T79" s="548"/>
      <c r="U79" s="548"/>
      <c r="V79" s="548"/>
      <c r="W79" s="548"/>
      <c r="X79" s="548"/>
      <c r="Y79" s="548"/>
      <c r="Z79" s="548"/>
      <c r="AA79" s="548"/>
      <c r="AB79" s="548"/>
      <c r="AC79" s="548"/>
      <c r="AD79" s="548"/>
      <c r="AE79" s="548"/>
      <c r="AF79" s="548"/>
      <c r="AG79" s="548"/>
      <c r="AH79" s="548"/>
      <c r="AI79" s="548"/>
      <c r="AJ79" s="548"/>
      <c r="AK79" s="548"/>
      <c r="AL79" s="548"/>
      <c r="AM79" s="548"/>
    </row>
    <row r="80" spans="2:39" x14ac:dyDescent="0.25">
      <c r="B80" s="588"/>
      <c r="C80" s="589"/>
      <c r="D80" s="589"/>
      <c r="E80" s="589"/>
      <c r="F80" s="589"/>
      <c r="G80" s="589"/>
      <c r="H80" s="589"/>
      <c r="I80" s="589"/>
      <c r="J80" s="589"/>
      <c r="K80" s="589"/>
      <c r="M80" s="589"/>
      <c r="N80" s="589"/>
      <c r="O80" s="589"/>
      <c r="P80" s="589"/>
      <c r="Q80" s="589"/>
      <c r="R80" s="589"/>
      <c r="S80" s="589"/>
      <c r="T80" s="589"/>
      <c r="U80" s="589"/>
      <c r="V80" s="589"/>
      <c r="W80" s="589"/>
      <c r="X80" s="589"/>
      <c r="Y80" s="589"/>
      <c r="Z80" s="589"/>
      <c r="AA80" s="589"/>
      <c r="AB80" s="589"/>
      <c r="AC80" s="589"/>
      <c r="AD80" s="589"/>
      <c r="AE80" s="589"/>
      <c r="AF80" s="589"/>
      <c r="AG80" s="589"/>
      <c r="AH80" s="589"/>
      <c r="AI80" s="589"/>
      <c r="AJ80" s="589"/>
      <c r="AK80" s="589"/>
      <c r="AL80" s="589"/>
      <c r="AM80" s="589"/>
    </row>
    <row r="83" spans="2:2" x14ac:dyDescent="0.25">
      <c r="B83" s="685"/>
    </row>
  </sheetData>
  <mergeCells count="1">
    <mergeCell ref="U59:W59"/>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96600"/>
  </sheetPr>
  <dimension ref="A1:DK447"/>
  <sheetViews>
    <sheetView showGridLines="0" rightToLeft="1" zoomScale="85" zoomScaleNormal="85" workbookViewId="0"/>
  </sheetViews>
  <sheetFormatPr defaultColWidth="9.140625" defaultRowHeight="14.25" outlineLevelCol="1" x14ac:dyDescent="0.2"/>
  <cols>
    <col min="1" max="1" width="24.140625" style="46" customWidth="1"/>
    <col min="2" max="2" width="8.42578125" style="46" hidden="1" customWidth="1"/>
    <col min="3" max="3" width="7.5703125" style="46" hidden="1" customWidth="1"/>
    <col min="4" max="7" width="9.140625" style="46" hidden="1" customWidth="1"/>
    <col min="8" max="8" width="0.28515625" style="46" hidden="1" customWidth="1"/>
    <col min="9" max="9" width="8.28515625" style="46" hidden="1" customWidth="1"/>
    <col min="10" max="10" width="9" style="46" hidden="1" customWidth="1"/>
    <col min="11" max="11" width="8.140625" style="46" hidden="1" customWidth="1"/>
    <col min="12" max="13" width="7.85546875" style="46" hidden="1" customWidth="1"/>
    <col min="14" max="14" width="8.7109375" style="46" hidden="1" customWidth="1" outlineLevel="1"/>
    <col min="15" max="15" width="7.85546875" style="46" hidden="1" customWidth="1" outlineLevel="1"/>
    <col min="16" max="16" width="8.42578125" style="46" hidden="1" customWidth="1" outlineLevel="1"/>
    <col min="17" max="17" width="7.85546875" style="46" hidden="1" customWidth="1" outlineLevel="1"/>
    <col min="18" max="18" width="7.85546875" style="46" hidden="1" customWidth="1" collapsed="1"/>
    <col min="19" max="19" width="8.28515625" style="46" hidden="1" customWidth="1" outlineLevel="1"/>
    <col min="20" max="22" width="7.85546875" style="46" hidden="1" customWidth="1" outlineLevel="1"/>
    <col min="23" max="23" width="7.85546875" style="46" hidden="1" customWidth="1" collapsed="1"/>
    <col min="24" max="24" width="8" style="46" hidden="1" customWidth="1" outlineLevel="1"/>
    <col min="25" max="26" width="7.85546875" style="46" hidden="1" customWidth="1" outlineLevel="1"/>
    <col min="27" max="27" width="8.42578125" style="46" hidden="1" customWidth="1" outlineLevel="1"/>
    <col min="28" max="28" width="7.85546875" style="46" hidden="1" customWidth="1" collapsed="1"/>
    <col min="29" max="29" width="8.42578125" style="46" hidden="1" customWidth="1" outlineLevel="1"/>
    <col min="30" max="31" width="7.85546875" style="46" hidden="1" customWidth="1" outlineLevel="1"/>
    <col min="32" max="32" width="8.42578125" style="46" hidden="1" customWidth="1" outlineLevel="1"/>
    <col min="33" max="33" width="8.28515625" style="46" hidden="1" customWidth="1" collapsed="1"/>
    <col min="34" max="34" width="9.42578125" style="46" customWidth="1"/>
    <col min="35" max="35" width="7.85546875" style="46" customWidth="1"/>
    <col min="36" max="39" width="7.5703125" style="46" customWidth="1"/>
    <col min="40" max="40" width="8.140625" style="46" hidden="1" customWidth="1"/>
    <col min="41" max="41" width="7.5703125" style="46" customWidth="1"/>
    <col min="42" max="44" width="8.5703125" style="46" hidden="1" customWidth="1" outlineLevel="1"/>
    <col min="45" max="45" width="10" style="46" hidden="1" customWidth="1" outlineLevel="1"/>
    <col min="46" max="46" width="7.5703125" style="46" customWidth="1" collapsed="1"/>
    <col min="47" max="47" width="8.28515625" style="46" customWidth="1" outlineLevel="1"/>
    <col min="48" max="48" width="8.28515625" style="931" customWidth="1" outlineLevel="1"/>
    <col min="49" max="50" width="8.5703125" style="931" customWidth="1" outlineLevel="1"/>
    <col min="51" max="51" width="7.5703125" style="46" customWidth="1"/>
    <col min="52" max="52" width="8.5703125" style="46" customWidth="1" outlineLevel="1"/>
    <col min="53" max="54" width="8.7109375" style="931" customWidth="1" outlineLevel="1"/>
    <col min="55" max="55" width="9" style="46" customWidth="1"/>
    <col min="56" max="56" width="8.42578125" style="46" customWidth="1"/>
    <col min="57" max="57" width="10.28515625" style="46" customWidth="1"/>
    <col min="58" max="64" width="7.42578125" style="46" customWidth="1"/>
    <col min="65" max="65" width="8.7109375" style="46" bestFit="1" customWidth="1"/>
    <col min="66" max="66" width="8.28515625" style="46" customWidth="1"/>
    <col min="67" max="16384" width="9.140625" style="46"/>
  </cols>
  <sheetData>
    <row r="1" spans="1:65" ht="15" thickBot="1" x14ac:dyDescent="0.25">
      <c r="AV1" s="46"/>
      <c r="AW1" s="46"/>
      <c r="AX1" s="46"/>
      <c r="BA1" s="46"/>
      <c r="BB1" s="46"/>
    </row>
    <row r="2" spans="1:65" ht="16.5" customHeight="1" thickTop="1" x14ac:dyDescent="0.2">
      <c r="A2" s="35" t="s">
        <v>884</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row>
    <row r="3" spans="1:65" ht="33" customHeight="1" x14ac:dyDescent="0.2">
      <c r="A3" s="953" t="s">
        <v>91</v>
      </c>
      <c r="B3" s="488" t="s">
        <v>6</v>
      </c>
      <c r="C3" s="489" t="s">
        <v>7</v>
      </c>
      <c r="D3" s="489" t="s">
        <v>8</v>
      </c>
      <c r="E3" s="489" t="s">
        <v>9</v>
      </c>
      <c r="F3" s="489" t="s">
        <v>10</v>
      </c>
      <c r="G3" s="489" t="s">
        <v>11</v>
      </c>
      <c r="H3" s="489" t="s">
        <v>13</v>
      </c>
      <c r="I3" s="489" t="s">
        <v>12</v>
      </c>
      <c r="J3" s="489" t="s">
        <v>13</v>
      </c>
      <c r="K3" s="489" t="s">
        <v>14</v>
      </c>
      <c r="L3" s="489" t="s">
        <v>15</v>
      </c>
      <c r="M3" s="489" t="s">
        <v>16</v>
      </c>
      <c r="N3" s="489" t="s">
        <v>31</v>
      </c>
      <c r="O3" s="489" t="s">
        <v>32</v>
      </c>
      <c r="P3" s="489" t="s">
        <v>209</v>
      </c>
      <c r="Q3" s="488" t="s">
        <v>310</v>
      </c>
      <c r="R3" s="489" t="s">
        <v>311</v>
      </c>
      <c r="S3" s="489" t="s">
        <v>312</v>
      </c>
      <c r="T3" s="489" t="s">
        <v>324</v>
      </c>
      <c r="U3" s="489" t="s">
        <v>340</v>
      </c>
      <c r="V3" s="488" t="s">
        <v>342</v>
      </c>
      <c r="W3" s="488" t="s">
        <v>343</v>
      </c>
      <c r="X3" s="490" t="s">
        <v>345</v>
      </c>
      <c r="Y3" s="490" t="s">
        <v>348</v>
      </c>
      <c r="Z3" s="489" t="s">
        <v>351</v>
      </c>
      <c r="AA3" s="489" t="s">
        <v>354</v>
      </c>
      <c r="AB3" s="488" t="s">
        <v>353</v>
      </c>
      <c r="AC3" s="490" t="s">
        <v>438</v>
      </c>
      <c r="AD3" s="490" t="s">
        <v>485</v>
      </c>
      <c r="AE3" s="489" t="s">
        <v>486</v>
      </c>
      <c r="AF3" s="488" t="s">
        <v>499</v>
      </c>
      <c r="AG3" s="489" t="s">
        <v>500</v>
      </c>
      <c r="AH3" s="489" t="s">
        <v>604</v>
      </c>
      <c r="AI3" s="489" t="s">
        <v>605</v>
      </c>
      <c r="AJ3" s="489" t="s">
        <v>606</v>
      </c>
      <c r="AK3" s="489" t="s">
        <v>607</v>
      </c>
      <c r="AL3" s="489" t="s">
        <v>845</v>
      </c>
      <c r="AM3" s="489" t="s">
        <v>851</v>
      </c>
      <c r="AN3" s="759" t="s">
        <v>852</v>
      </c>
      <c r="AO3" s="488" t="s">
        <v>877</v>
      </c>
      <c r="AP3" s="873" t="s">
        <v>886</v>
      </c>
      <c r="AQ3" s="873" t="s">
        <v>892</v>
      </c>
      <c r="AR3" s="759" t="s">
        <v>893</v>
      </c>
      <c r="AS3" s="907" t="s">
        <v>895</v>
      </c>
      <c r="AT3" s="488" t="s">
        <v>905</v>
      </c>
      <c r="AU3" s="873" t="s">
        <v>911</v>
      </c>
      <c r="AV3" s="873" t="s">
        <v>917</v>
      </c>
      <c r="AW3" s="873" t="s">
        <v>918</v>
      </c>
      <c r="AX3" s="873" t="s">
        <v>922</v>
      </c>
      <c r="AY3" s="873" t="s">
        <v>924</v>
      </c>
      <c r="AZ3" s="1039" t="s">
        <v>980</v>
      </c>
      <c r="BA3" s="1040" t="s">
        <v>981</v>
      </c>
      <c r="BB3" s="1060" t="s">
        <v>982</v>
      </c>
      <c r="BC3" s="1049" t="s">
        <v>611</v>
      </c>
      <c r="BD3" s="980" t="s">
        <v>612</v>
      </c>
      <c r="BE3" s="980" t="s">
        <v>613</v>
      </c>
      <c r="BG3" s="47" t="s">
        <v>1028</v>
      </c>
    </row>
    <row r="4" spans="1:65" ht="3.75" customHeight="1" x14ac:dyDescent="0.2">
      <c r="A4" s="136"/>
      <c r="B4" s="75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t="s">
        <v>5</v>
      </c>
      <c r="AF4" s="385"/>
      <c r="AH4" s="385"/>
      <c r="AI4" s="385"/>
      <c r="AJ4" s="385"/>
      <c r="AK4" s="385"/>
      <c r="AL4" s="385"/>
      <c r="AM4" s="385"/>
      <c r="AN4" s="760"/>
      <c r="AO4" s="755"/>
      <c r="AP4" s="874"/>
      <c r="AQ4" s="875"/>
      <c r="AR4" s="910"/>
      <c r="AS4" s="874"/>
      <c r="AT4" s="755"/>
      <c r="AU4" s="874"/>
      <c r="AV4" s="755"/>
      <c r="AW4" s="755"/>
      <c r="AX4" s="755"/>
      <c r="AY4" s="385"/>
      <c r="AZ4" s="755"/>
      <c r="BA4" s="1041"/>
      <c r="BB4" s="760"/>
      <c r="BC4" s="755"/>
      <c r="BD4" s="385"/>
      <c r="BE4" s="385"/>
    </row>
    <row r="5" spans="1:65" ht="17.25" customHeight="1" x14ac:dyDescent="0.2">
      <c r="A5" s="761" t="s">
        <v>319</v>
      </c>
      <c r="B5" s="756"/>
      <c r="C5" s="384"/>
      <c r="D5" s="384"/>
      <c r="E5" s="384"/>
      <c r="F5" s="384"/>
      <c r="G5" s="384"/>
      <c r="H5" s="384"/>
      <c r="I5" s="384"/>
      <c r="J5" s="384"/>
      <c r="K5" s="384"/>
      <c r="L5" s="384"/>
      <c r="M5" s="384"/>
      <c r="N5" s="384"/>
      <c r="O5" s="384"/>
      <c r="P5" s="384"/>
      <c r="Q5" s="384"/>
      <c r="R5" s="384"/>
      <c r="S5" s="384"/>
      <c r="T5" s="384"/>
      <c r="U5" s="384"/>
      <c r="V5" s="384"/>
      <c r="W5" s="384"/>
      <c r="X5" s="384"/>
      <c r="Y5" s="384"/>
      <c r="Z5" s="384"/>
      <c r="AA5" s="384"/>
      <c r="AB5" s="384"/>
      <c r="AC5" s="384"/>
      <c r="AD5" s="384"/>
      <c r="AE5" s="384"/>
      <c r="AF5" s="384"/>
      <c r="AG5" s="384"/>
      <c r="AH5" s="815"/>
      <c r="AI5" s="876"/>
      <c r="AJ5" s="876"/>
      <c r="AK5" s="876"/>
      <c r="AL5" s="876"/>
      <c r="AM5" s="876"/>
      <c r="AN5" s="876"/>
      <c r="AO5" s="876"/>
      <c r="AP5" s="876"/>
      <c r="AQ5" s="876"/>
      <c r="AR5" s="876"/>
      <c r="AS5" s="876"/>
      <c r="AT5" s="876"/>
      <c r="AU5" s="876"/>
      <c r="AV5" s="876"/>
      <c r="AW5" s="876"/>
      <c r="AX5" s="876"/>
      <c r="AY5" s="876"/>
      <c r="AZ5" s="947"/>
      <c r="BA5" s="1042"/>
      <c r="BB5" s="1061"/>
      <c r="BC5" s="815"/>
      <c r="BD5" s="947"/>
      <c r="BE5" s="947"/>
      <c r="BF5" s="305"/>
      <c r="BG5" s="305"/>
      <c r="BH5" s="305"/>
      <c r="BI5" s="305"/>
      <c r="BJ5" s="305"/>
      <c r="BK5" s="305"/>
      <c r="BL5" s="305"/>
      <c r="BM5" s="305"/>
    </row>
    <row r="6" spans="1:65" ht="27" x14ac:dyDescent="0.2">
      <c r="A6" s="742" t="s">
        <v>791</v>
      </c>
      <c r="B6" s="69"/>
      <c r="C6" s="53"/>
      <c r="D6" s="53"/>
      <c r="E6" s="53"/>
      <c r="F6" s="53"/>
      <c r="G6" s="53"/>
      <c r="H6" s="53"/>
      <c r="I6" s="53" t="e">
        <f>#REF!*1000</f>
        <v>#REF!</v>
      </c>
      <c r="J6" s="53" t="e">
        <f>#REF!*1000</f>
        <v>#REF!</v>
      </c>
      <c r="K6" s="53" t="e">
        <f>#REF!*1000</f>
        <v>#REF!</v>
      </c>
      <c r="L6" s="53" t="e">
        <f>#REF!*1000</f>
        <v>#REF!</v>
      </c>
      <c r="M6" s="53" t="e">
        <f>#REF!*1000</f>
        <v>#REF!</v>
      </c>
      <c r="N6" s="53" t="e">
        <f>#REF!*1000</f>
        <v>#REF!</v>
      </c>
      <c r="O6" s="53" t="e">
        <f>#REF!*1000</f>
        <v>#REF!</v>
      </c>
      <c r="P6" s="53" t="e">
        <f>#REF!*1000</f>
        <v>#REF!</v>
      </c>
      <c r="Q6" s="53" t="e">
        <f>#REF!*1000</f>
        <v>#REF!</v>
      </c>
      <c r="R6" s="53" t="e">
        <f>#REF!*1000</f>
        <v>#REF!</v>
      </c>
      <c r="S6" s="53" t="e">
        <f>#REF!*1000</f>
        <v>#REF!</v>
      </c>
      <c r="T6" s="53" t="e">
        <f>#REF!*1000</f>
        <v>#REF!</v>
      </c>
      <c r="U6" s="53" t="e">
        <f>#REF!*1000</f>
        <v>#REF!</v>
      </c>
      <c r="V6" s="53" t="e">
        <f>#REF!*1000</f>
        <v>#REF!</v>
      </c>
      <c r="W6" s="53" t="e">
        <f>#REF!*1000</f>
        <v>#REF!</v>
      </c>
      <c r="X6" s="53" t="e">
        <f>#REF!*1000</f>
        <v>#REF!</v>
      </c>
      <c r="Y6" s="53" t="e">
        <f>#REF!*1000</f>
        <v>#REF!</v>
      </c>
      <c r="Z6" s="53" t="e">
        <f>#REF!*1000</f>
        <v>#REF!</v>
      </c>
      <c r="AA6" s="53" t="e">
        <f>#REF!*1000</f>
        <v>#REF!</v>
      </c>
      <c r="AB6" s="53" t="e">
        <f>#REF!*1000</f>
        <v>#REF!</v>
      </c>
      <c r="AC6" s="53" t="e">
        <f>#REF!*1000</f>
        <v>#REF!</v>
      </c>
      <c r="AD6" s="53" t="e">
        <f>#REF!*1000</f>
        <v>#REF!</v>
      </c>
      <c r="AE6" s="53" t="e">
        <f>#REF!*1000</f>
        <v>#REF!</v>
      </c>
      <c r="AF6" s="69" t="e">
        <f>#REF!*1000</f>
        <v>#REF!</v>
      </c>
      <c r="AG6" s="53" t="e">
        <f>#REF!*1000</f>
        <v>#REF!</v>
      </c>
      <c r="AH6" s="53">
        <f>'Final Potash Pricing Q1.25'!AI16*1000</f>
        <v>4818</v>
      </c>
      <c r="AI6" s="53">
        <f>'Final Potash Pricing Q1.25'!AN16*1000</f>
        <v>4738</v>
      </c>
      <c r="AJ6" s="53">
        <f>'Final Potash Pricing Q1.25'!AS16*1000</f>
        <v>4610</v>
      </c>
      <c r="AK6" s="53">
        <f>'Final Potash Pricing Q1.25'!AX16*1000</f>
        <v>3780</v>
      </c>
      <c r="AL6" s="53">
        <f>'Final Potash Pricing Q1.25'!BC16*1000</f>
        <v>4100.9494799405647</v>
      </c>
      <c r="AM6" s="53">
        <f>'Final Potash Pricing Q1.25'!BH16*1000</f>
        <v>4059.7162092180224</v>
      </c>
      <c r="AN6" s="367">
        <f>'Final Potash Pricing Q1.25'!BI16*1000</f>
        <v>1053.0817610062893</v>
      </c>
      <c r="AO6" s="69">
        <f>'Final Potash Pricing Q1.25'!BJ16*1000</f>
        <v>4125</v>
      </c>
      <c r="AP6" s="462">
        <f>'Final Potash Pricing Q1.25'!BK16*1000</f>
        <v>869.49999999999989</v>
      </c>
      <c r="AQ6" s="462">
        <f>'Final Potash Pricing Q1.25'!BL16*1000</f>
        <v>1164</v>
      </c>
      <c r="AR6" s="881">
        <f>'Final Potash Pricing Q1.25'!BM16*1000</f>
        <v>1182</v>
      </c>
      <c r="AS6" s="915">
        <f>AT6-AP6-AQ6-AR6</f>
        <v>1093.5</v>
      </c>
      <c r="AT6" s="69">
        <f>'Final Potash Pricing Q1.25'!BO16*1000</f>
        <v>4309</v>
      </c>
      <c r="AU6" s="462">
        <f>'Final Potash Pricing Q1.25'!BP16*1000</f>
        <v>989.00000000000011</v>
      </c>
      <c r="AV6" s="462">
        <f>'Final Potash Pricing Q1.25'!BQ16*1000</f>
        <v>1060</v>
      </c>
      <c r="AW6" s="462">
        <f>'Final Potash Pricing Q1.25'!BR16*1000</f>
        <v>980.00000000000011</v>
      </c>
      <c r="AX6" s="462">
        <f>'Final Potash Pricing Q1.25'!BS16*1000</f>
        <v>1160.0000000000002</v>
      </c>
      <c r="AY6" s="462">
        <f>AU6+AV6+AW6+AX6</f>
        <v>4189</v>
      </c>
      <c r="AZ6" s="632">
        <f>'Final Potash Pricing Q1.25'!BU16*1000</f>
        <v>1004.9999999999999</v>
      </c>
      <c r="BA6" s="915">
        <f>'Final Potash Pricing Q1.25'!BV16*1000</f>
        <v>876</v>
      </c>
      <c r="BB6" s="1068">
        <f>BC6-BA6-AZ6</f>
        <v>2119</v>
      </c>
      <c r="BC6" s="1050">
        <v>4000</v>
      </c>
      <c r="BD6" s="981">
        <v>4170</v>
      </c>
      <c r="BE6" s="981">
        <v>4350</v>
      </c>
      <c r="BF6" s="62"/>
      <c r="BG6" s="62"/>
      <c r="BH6" s="1037"/>
      <c r="BI6" s="62"/>
      <c r="BJ6" s="62"/>
      <c r="BK6" s="62"/>
      <c r="BL6" s="62"/>
      <c r="BM6" s="62"/>
    </row>
    <row r="7" spans="1:65" ht="15" customHeight="1" x14ac:dyDescent="0.2">
      <c r="A7" s="64" t="s">
        <v>222</v>
      </c>
      <c r="B7" s="69"/>
      <c r="C7" s="53"/>
      <c r="D7" s="53"/>
      <c r="E7" s="53"/>
      <c r="F7" s="53"/>
      <c r="G7" s="53"/>
      <c r="H7" s="53"/>
      <c r="I7" s="53" t="e">
        <f>#REF!</f>
        <v>#REF!</v>
      </c>
      <c r="J7" s="53" t="e">
        <f>#REF!</f>
        <v>#REF!</v>
      </c>
      <c r="K7" s="53" t="e">
        <f>#REF!</f>
        <v>#REF!</v>
      </c>
      <c r="L7" s="53" t="e">
        <f>#REF!</f>
        <v>#REF!</v>
      </c>
      <c r="M7" s="53" t="e">
        <f>#REF!</f>
        <v>#REF!</v>
      </c>
      <c r="N7" s="53" t="e">
        <f>#REF!</f>
        <v>#REF!</v>
      </c>
      <c r="O7" s="53" t="e">
        <f>#REF!</f>
        <v>#REF!</v>
      </c>
      <c r="P7" s="53" t="e">
        <f>#REF!</f>
        <v>#REF!</v>
      </c>
      <c r="Q7" s="53" t="e">
        <f>#REF!</f>
        <v>#REF!</v>
      </c>
      <c r="R7" s="53" t="e">
        <f>#REF!</f>
        <v>#REF!</v>
      </c>
      <c r="S7" s="53" t="e">
        <f>#REF!</f>
        <v>#REF!</v>
      </c>
      <c r="T7" s="53" t="e">
        <f>#REF!</f>
        <v>#REF!</v>
      </c>
      <c r="U7" s="53" t="e">
        <f>#REF!</f>
        <v>#REF!</v>
      </c>
      <c r="V7" s="53" t="e">
        <f>#REF!</f>
        <v>#REF!</v>
      </c>
      <c r="W7" s="53" t="e">
        <f>#REF!</f>
        <v>#REF!</v>
      </c>
      <c r="X7" s="53" t="e">
        <f>#REF!</f>
        <v>#REF!</v>
      </c>
      <c r="Y7" s="53" t="e">
        <f>#REF!</f>
        <v>#REF!</v>
      </c>
      <c r="Z7" s="53" t="e">
        <f>#REF!</f>
        <v>#REF!</v>
      </c>
      <c r="AA7" s="53" t="e">
        <f>#REF!</f>
        <v>#REF!</v>
      </c>
      <c r="AB7" s="53" t="e">
        <f>#REF!</f>
        <v>#REF!</v>
      </c>
      <c r="AC7" s="53" t="e">
        <f>#REF!</f>
        <v>#REF!</v>
      </c>
      <c r="AD7" s="53" t="e">
        <f>#REF!</f>
        <v>#REF!</v>
      </c>
      <c r="AE7" s="53" t="e">
        <f>#REF!</f>
        <v>#REF!</v>
      </c>
      <c r="AF7" s="69" t="e">
        <f>#REF!</f>
        <v>#REF!</v>
      </c>
      <c r="AG7" s="53" t="e">
        <f>#REF!</f>
        <v>#REF!</v>
      </c>
      <c r="AH7" s="53">
        <f>'Final Potash Pricing Q1.25'!AI31</f>
        <v>259.05</v>
      </c>
      <c r="AI7" s="53">
        <f>'Final Potash Pricing Q1.25'!AN31</f>
        <v>236.2</v>
      </c>
      <c r="AJ7" s="53">
        <f>'Final Potash Pricing Q1.25'!AS31</f>
        <v>277.60000000000002</v>
      </c>
      <c r="AK7" s="53">
        <f>'Final Potash Pricing Q1.25'!AX31</f>
        <v>286</v>
      </c>
      <c r="AL7" s="53">
        <f>'Final Potash Pricing Q1.25'!BC31</f>
        <v>230</v>
      </c>
      <c r="AM7" s="53">
        <f>'Final Potash Pricing Q1.25'!BH31</f>
        <v>337</v>
      </c>
      <c r="AN7" s="367">
        <f>'Final Potash Pricing Q1.25'!BI31</f>
        <v>601</v>
      </c>
      <c r="AO7" s="69">
        <v>682</v>
      </c>
      <c r="AP7" s="69">
        <f>'Final Potash Pricing Q1.25'!BK37</f>
        <v>541</v>
      </c>
      <c r="AQ7" s="69">
        <f>'Final Potash Pricing Q1.25'!BL37</f>
        <v>403</v>
      </c>
      <c r="AR7" s="367">
        <f>'Final Potash Pricing Q1.25'!BM37</f>
        <v>342</v>
      </c>
      <c r="AS7" s="916">
        <v>330</v>
      </c>
      <c r="AT7" s="53">
        <f>'Final Potash Pricing Q1.25'!BO31</f>
        <v>393</v>
      </c>
      <c r="AU7" s="53">
        <f>'Final Potash Pricing Q1.25'!BP31</f>
        <v>324</v>
      </c>
      <c r="AV7" s="53">
        <f>'Final Potash Pricing Q1.25'!BQ31</f>
        <v>300</v>
      </c>
      <c r="AW7" s="53">
        <f>'Final Potash Pricing Q1.25'!BR31</f>
        <v>297</v>
      </c>
      <c r="AX7" s="53">
        <f>'Final Potash Pricing Q1.25'!BS31</f>
        <v>285</v>
      </c>
      <c r="AY7" s="53">
        <f>'Final Potash Pricing Q1.25'!BT31</f>
        <v>302</v>
      </c>
      <c r="AZ7" s="62">
        <f>'Final Potash Pricing Q1.25'!BU31</f>
        <v>300</v>
      </c>
      <c r="BA7" s="916">
        <f>'Final Potash Pricing Q1.25'!BV31</f>
        <v>333</v>
      </c>
      <c r="BB7" s="1069">
        <f>'Final Potash Pricing Q1.25'!AX58</f>
        <v>359.69565217391306</v>
      </c>
      <c r="BC7" s="1051">
        <v>320</v>
      </c>
      <c r="BD7" s="982">
        <f>'Final Potash Pricing Q1.25'!AX65</f>
        <v>339.963768115942</v>
      </c>
      <c r="BE7" s="982">
        <v>310</v>
      </c>
    </row>
    <row r="8" spans="1:65" ht="15" customHeight="1" x14ac:dyDescent="0.2">
      <c r="A8" s="64" t="s">
        <v>793</v>
      </c>
      <c r="B8" s="69"/>
      <c r="C8" s="53"/>
      <c r="D8" s="53"/>
      <c r="E8" s="53"/>
      <c r="F8" s="53"/>
      <c r="G8" s="53"/>
      <c r="H8" s="53" t="e">
        <f>#REF!</f>
        <v>#REF!</v>
      </c>
      <c r="I8" s="53" t="e">
        <f>#REF!</f>
        <v>#REF!</v>
      </c>
      <c r="J8" s="53" t="e">
        <f>#REF!</f>
        <v>#REF!</v>
      </c>
      <c r="K8" s="53" t="e">
        <f>#REF!</f>
        <v>#REF!</v>
      </c>
      <c r="L8" s="53" t="e">
        <f>#REF!</f>
        <v>#REF!</v>
      </c>
      <c r="M8" s="53" t="e">
        <f>#REF!</f>
        <v>#REF!</v>
      </c>
      <c r="N8" s="53" t="e">
        <f>#REF!</f>
        <v>#REF!</v>
      </c>
      <c r="O8" s="53" t="e">
        <f>#REF!</f>
        <v>#REF!</v>
      </c>
      <c r="P8" s="53" t="e">
        <f>#REF!</f>
        <v>#REF!</v>
      </c>
      <c r="Q8" s="53" t="e">
        <f>#REF!</f>
        <v>#REF!</v>
      </c>
      <c r="R8" s="53" t="e">
        <f>#REF!</f>
        <v>#REF!</v>
      </c>
      <c r="S8" s="53" t="e">
        <f>#REF!</f>
        <v>#REF!</v>
      </c>
      <c r="T8" s="53" t="e">
        <f>#REF!</f>
        <v>#REF!</v>
      </c>
      <c r="U8" s="53" t="e">
        <f>#REF!</f>
        <v>#REF!</v>
      </c>
      <c r="V8" s="53" t="e">
        <f>#REF!</f>
        <v>#REF!</v>
      </c>
      <c r="W8" s="53" t="e">
        <f>#REF!</f>
        <v>#REF!</v>
      </c>
      <c r="X8" s="53" t="e">
        <f>#REF!</f>
        <v>#REF!</v>
      </c>
      <c r="Y8" s="53" t="e">
        <f>#REF!</f>
        <v>#REF!</v>
      </c>
      <c r="Z8" s="53" t="e">
        <f>#REF!</f>
        <v>#REF!</v>
      </c>
      <c r="AA8" s="53" t="e">
        <f>#REF!</f>
        <v>#REF!</v>
      </c>
      <c r="AB8" s="53" t="e">
        <f>#REF!</f>
        <v>#REF!</v>
      </c>
      <c r="AC8" s="53" t="e">
        <f>#REF!</f>
        <v>#REF!</v>
      </c>
      <c r="AD8" s="53" t="e">
        <f>#REF!</f>
        <v>#REF!</v>
      </c>
      <c r="AE8" s="53" t="e">
        <f>#REF!</f>
        <v>#REF!</v>
      </c>
      <c r="AF8" s="69" t="e">
        <f>#REF!</f>
        <v>#REF!</v>
      </c>
      <c r="AG8" s="53" t="e">
        <f>#REF!</f>
        <v>#REF!</v>
      </c>
      <c r="AH8" s="53">
        <f>'Final Potash Pricing Q1.25'!AI33</f>
        <v>1213</v>
      </c>
      <c r="AI8" s="53">
        <f>'Final Potash Pricing Q1.25'!AN33</f>
        <v>1258</v>
      </c>
      <c r="AJ8" s="53">
        <f>'Final Potash Pricing Q1.25'!AS33</f>
        <v>1481</v>
      </c>
      <c r="AK8" s="53">
        <f>'Final Potash Pricing Q1.25'!AX33</f>
        <v>1330</v>
      </c>
      <c r="AL8" s="53">
        <f>'Final Potash Pricing Q1.25'!BC33</f>
        <v>1183</v>
      </c>
      <c r="AM8" s="53">
        <f>'Final Potash Pricing Q1.25'!BH33</f>
        <v>1768</v>
      </c>
      <c r="AN8" s="367">
        <f>'Final Potash Pricing Q1.25'!BI33</f>
        <v>728</v>
      </c>
      <c r="AO8" s="69">
        <f>'Reported Rev.. Split'!E6</f>
        <v>3031</v>
      </c>
      <c r="AP8" s="69">
        <f>'Reported Rev.. Split'!V6</f>
        <v>530</v>
      </c>
      <c r="AQ8" s="69">
        <f>'Reported Rev.. Split'!U6</f>
        <v>505</v>
      </c>
      <c r="AR8" s="367">
        <f>'Reported Rev.. Split'!T6</f>
        <v>477</v>
      </c>
      <c r="AS8" s="917">
        <f>AT8-AP8-AQ8-AR8</f>
        <v>461</v>
      </c>
      <c r="AT8" s="53">
        <f>'Reported Rev.. Split'!D6</f>
        <v>1973</v>
      </c>
      <c r="AU8" s="53">
        <f>'Reported Rev.. Split'!R6</f>
        <v>367</v>
      </c>
      <c r="AV8" s="53">
        <f>'Reported Rev.. Split'!Q6</f>
        <v>381</v>
      </c>
      <c r="AW8" s="53">
        <f>'Reported Rev.. Split'!P6</f>
        <v>341</v>
      </c>
      <c r="AX8" s="53">
        <f>'Reported Rev.. Split'!O6</f>
        <v>373</v>
      </c>
      <c r="AY8" s="53">
        <f>AU8+AV8+AW8+AX8</f>
        <v>1462</v>
      </c>
      <c r="AZ8" s="62">
        <f>'Reported Rev.. Split'!N6</f>
        <v>358</v>
      </c>
      <c r="BA8" s="916">
        <f>'Reported Rev.. Split'!M6</f>
        <v>347</v>
      </c>
      <c r="BB8" s="1069">
        <f>BB6*BB7/1000+58*2</f>
        <v>878.19508695652178</v>
      </c>
      <c r="BC8" s="1051">
        <f>BB8+BA8+AZ8</f>
        <v>1583.1950869565217</v>
      </c>
      <c r="BD8" s="982">
        <f>BD6*BD7/1000+200</f>
        <v>1617.6489130434779</v>
      </c>
      <c r="BE8" s="982">
        <f>BE6*BE7/1000+200</f>
        <v>1548.5</v>
      </c>
      <c r="BI8" s="62"/>
    </row>
    <row r="9" spans="1:65" ht="15" customHeight="1" x14ac:dyDescent="0.2">
      <c r="A9" s="742" t="s">
        <v>98</v>
      </c>
      <c r="B9" s="462"/>
      <c r="C9" s="463"/>
      <c r="D9" s="463"/>
      <c r="E9" s="463"/>
      <c r="F9" s="463"/>
      <c r="G9" s="463"/>
      <c r="H9" s="463"/>
      <c r="I9" s="463" t="e">
        <f>#REF!</f>
        <v>#REF!</v>
      </c>
      <c r="J9" s="463" t="e">
        <f>#REF!</f>
        <v>#REF!</v>
      </c>
      <c r="K9" s="463" t="e">
        <f>#REF!</f>
        <v>#REF!</v>
      </c>
      <c r="L9" s="463" t="e">
        <f>#REF!</f>
        <v>#REF!</v>
      </c>
      <c r="M9" s="463" t="e">
        <f>#REF!</f>
        <v>#REF!</v>
      </c>
      <c r="N9" s="463" t="e">
        <f>#REF!</f>
        <v>#REF!</v>
      </c>
      <c r="O9" s="463" t="e">
        <f>#REF!</f>
        <v>#REF!</v>
      </c>
      <c r="P9" s="463" t="e">
        <f>#REF!</f>
        <v>#REF!</v>
      </c>
      <c r="Q9" s="462" t="e">
        <f>R9-(N9+O9+P9)</f>
        <v>#REF!</v>
      </c>
      <c r="R9" s="463" t="e">
        <f>#REF!</f>
        <v>#REF!</v>
      </c>
      <c r="S9" s="463" t="e">
        <f>#REF!</f>
        <v>#REF!</v>
      </c>
      <c r="T9" s="463" t="e">
        <f>#REF!</f>
        <v>#REF!</v>
      </c>
      <c r="U9" s="463" t="e">
        <f>#REF!</f>
        <v>#REF!</v>
      </c>
      <c r="V9" s="462" t="e">
        <f>W9-(S9+T9+U9)</f>
        <v>#REF!</v>
      </c>
      <c r="W9" s="462" t="e">
        <f>#REF!</f>
        <v>#REF!</v>
      </c>
      <c r="X9" s="462" t="e">
        <f>#REF!</f>
        <v>#REF!</v>
      </c>
      <c r="Y9" s="462" t="e">
        <f>#REF!</f>
        <v>#REF!</v>
      </c>
      <c r="Z9" s="462" t="e">
        <f>#REF!</f>
        <v>#REF!</v>
      </c>
      <c r="AA9" s="462" t="e">
        <f>AB9-(X9+Y9+Z9)</f>
        <v>#REF!</v>
      </c>
      <c r="AB9" s="463" t="e">
        <f>#REF!</f>
        <v>#REF!</v>
      </c>
      <c r="AC9" s="463" t="e">
        <f>#REF!</f>
        <v>#REF!</v>
      </c>
      <c r="AD9" s="463" t="e">
        <f>#REF!</f>
        <v>#REF!</v>
      </c>
      <c r="AE9" s="463" t="e">
        <f>#REF!</f>
        <v>#REF!</v>
      </c>
      <c r="AF9" s="462" t="e">
        <f>AG9-(AC9+AD9+AE9)</f>
        <v>#REF!</v>
      </c>
      <c r="AG9" s="463" t="e">
        <f>#REF!</f>
        <v>#REF!</v>
      </c>
      <c r="AH9" s="463">
        <f>'Reported Rev.. Split'!K7</f>
        <v>2082</v>
      </c>
      <c r="AI9" s="463">
        <f>'Reported Rev.. Split'!J7</f>
        <v>1938</v>
      </c>
      <c r="AJ9" s="463">
        <f>'Reported Rev.. Split'!I7</f>
        <v>2001</v>
      </c>
      <c r="AK9" s="463">
        <f>'Reported Rev.. Split'!H7</f>
        <v>1901</v>
      </c>
      <c r="AL9" s="463">
        <f>'Reported Rev.. Split'!G7</f>
        <v>1871</v>
      </c>
      <c r="AM9" s="463">
        <f>'Reported Rev.. Split'!F7</f>
        <v>2334</v>
      </c>
      <c r="AN9" s="881">
        <f>'Reported Rev.. Split'!W7</f>
        <v>748</v>
      </c>
      <c r="AO9" s="462">
        <f>'Reported Rev.. Split'!E7</f>
        <v>2851</v>
      </c>
      <c r="AP9" s="462">
        <f>'Reported Rev.. Split'!V7</f>
        <v>659</v>
      </c>
      <c r="AQ9" s="463">
        <f>'Reported Rev.. Split'!U7</f>
        <v>553</v>
      </c>
      <c r="AR9" s="881">
        <f>'Reported Rev.. Split'!T7</f>
        <v>559</v>
      </c>
      <c r="AS9" s="915">
        <v>580</v>
      </c>
      <c r="AT9" s="463">
        <f>'Reported Rev.. Split'!D7</f>
        <v>2141</v>
      </c>
      <c r="AU9" s="463">
        <f>'Reported Rev.. Split'!R7</f>
        <v>517</v>
      </c>
      <c r="AV9" s="463">
        <f>'Reported Rev.. Split'!Q7</f>
        <v>528</v>
      </c>
      <c r="AW9" s="463">
        <f>'Reported Rev.. Split'!P7</f>
        <v>529</v>
      </c>
      <c r="AX9" s="463">
        <f>'Reported Rev.. Split'!O7</f>
        <v>475</v>
      </c>
      <c r="AY9" s="463">
        <f>AU9+AV9+AW9+AX9</f>
        <v>2049</v>
      </c>
      <c r="AZ9" s="632">
        <f>'Reported Rev.. Split'!N7</f>
        <v>536</v>
      </c>
      <c r="BA9" s="915">
        <f>'Reported Rev.. Split'!M7</f>
        <v>589</v>
      </c>
      <c r="BB9" s="1068">
        <f>(AW9+AX9)*1.03</f>
        <v>1034.1200000000001</v>
      </c>
      <c r="BC9" s="1093">
        <f>SUM(AZ9:BB9)</f>
        <v>2159.12</v>
      </c>
      <c r="BD9" s="981">
        <f t="shared" ref="BD9:BE9" si="0">BC9*(1+0.02)</f>
        <v>2202.3024</v>
      </c>
      <c r="BE9" s="981">
        <f t="shared" si="0"/>
        <v>2246.3484480000002</v>
      </c>
      <c r="BF9" s="261"/>
      <c r="BG9" s="261"/>
      <c r="BI9" s="261"/>
      <c r="BJ9" s="261"/>
      <c r="BK9" s="261"/>
      <c r="BL9" s="261"/>
      <c r="BM9" s="261"/>
    </row>
    <row r="10" spans="1:65" ht="15" customHeight="1" x14ac:dyDescent="0.2">
      <c r="A10" s="64" t="s">
        <v>99</v>
      </c>
      <c r="B10" s="69"/>
      <c r="C10" s="53"/>
      <c r="D10" s="53"/>
      <c r="E10" s="53"/>
      <c r="F10" s="53"/>
      <c r="G10" s="53"/>
      <c r="H10" s="53"/>
      <c r="I10" s="53" t="e">
        <f>#REF!</f>
        <v>#REF!</v>
      </c>
      <c r="J10" s="53" t="e">
        <f>#REF!</f>
        <v>#REF!</v>
      </c>
      <c r="K10" s="53" t="e">
        <f>#REF!</f>
        <v>#REF!</v>
      </c>
      <c r="L10" s="53" t="e">
        <f>#REF!</f>
        <v>#REF!</v>
      </c>
      <c r="M10" s="53" t="e">
        <f>#REF!</f>
        <v>#REF!</v>
      </c>
      <c r="N10" s="53" t="e">
        <f>#REF!</f>
        <v>#REF!</v>
      </c>
      <c r="O10" s="53" t="e">
        <f>#REF!</f>
        <v>#REF!</v>
      </c>
      <c r="P10" s="53" t="e">
        <f>#REF!</f>
        <v>#REF!</v>
      </c>
      <c r="Q10" s="69" t="e">
        <f>R10-(N10+O10+P10)</f>
        <v>#REF!</v>
      </c>
      <c r="R10" s="53" t="e">
        <f>M10*(1+#REF!)</f>
        <v>#REF!</v>
      </c>
      <c r="S10" s="54" t="e">
        <f>#REF!</f>
        <v>#REF!</v>
      </c>
      <c r="T10" s="53" t="e">
        <f>#REF!</f>
        <v>#REF!</v>
      </c>
      <c r="U10" s="53" t="e">
        <f>#REF!</f>
        <v>#REF!</v>
      </c>
      <c r="V10" s="69" t="e">
        <f>W10-(S10+T10+U10)</f>
        <v>#REF!</v>
      </c>
      <c r="W10" s="69" t="e">
        <f>#REF!</f>
        <v>#REF!</v>
      </c>
      <c r="X10" s="69" t="e">
        <f>#REF!</f>
        <v>#REF!</v>
      </c>
      <c r="Y10" s="69" t="e">
        <f>#REF!</f>
        <v>#REF!</v>
      </c>
      <c r="Z10" s="69" t="e">
        <f>#REF!</f>
        <v>#REF!</v>
      </c>
      <c r="AA10" s="69" t="e">
        <f>#REF!</f>
        <v>#REF!</v>
      </c>
      <c r="AB10" s="53" t="e">
        <f>#REF!</f>
        <v>#REF!</v>
      </c>
      <c r="AC10" s="53" t="e">
        <f>#REF!</f>
        <v>#REF!</v>
      </c>
      <c r="AD10" s="53" t="e">
        <f>#REF!</f>
        <v>#REF!</v>
      </c>
      <c r="AE10" s="53" t="e">
        <f>#REF!</f>
        <v>#REF!</v>
      </c>
      <c r="AF10" s="53" t="e">
        <f>#REF!</f>
        <v>#REF!</v>
      </c>
      <c r="AG10" s="53" t="e">
        <f>#REF!</f>
        <v>#REF!</v>
      </c>
      <c r="AH10" s="53">
        <f>'Reported Rev.. Split'!K8</f>
        <v>1111</v>
      </c>
      <c r="AI10" s="53">
        <f>'Reported Rev.. Split'!J8</f>
        <v>1179</v>
      </c>
      <c r="AJ10" s="53">
        <f>'Reported Rev.. Split'!I8</f>
        <v>1281</v>
      </c>
      <c r="AK10" s="53">
        <f>'Reported Rev.. Split'!H8</f>
        <v>1307</v>
      </c>
      <c r="AL10" s="53">
        <f>'Reported Rev.. Split'!G8</f>
        <v>1242</v>
      </c>
      <c r="AM10" s="53">
        <f>'Reported Rev.. Split'!F8</f>
        <v>1601</v>
      </c>
      <c r="AN10" s="367">
        <f>'Reported Rev.. Split'!W8</f>
        <v>488</v>
      </c>
      <c r="AO10" s="69">
        <f>'Reported Rev.. Split'!E8</f>
        <v>1737</v>
      </c>
      <c r="AP10" s="69">
        <f>'Reported Rev.. Split'!V8</f>
        <v>351</v>
      </c>
      <c r="AQ10" s="53">
        <f>'Reported Rev.. Split'!U8</f>
        <v>297</v>
      </c>
      <c r="AR10" s="367">
        <f>'Reported Rev.. Split'!T8</f>
        <v>264</v>
      </c>
      <c r="AS10" s="916">
        <f>240</f>
        <v>240</v>
      </c>
      <c r="AT10" s="53">
        <f>'Reported Rev.. Split'!D8</f>
        <v>1206</v>
      </c>
      <c r="AU10" s="53">
        <f>'Reported Rev.. Split'!R8</f>
        <v>331</v>
      </c>
      <c r="AV10" s="53">
        <f>'Reported Rev.. Split'!Q8</f>
        <v>309</v>
      </c>
      <c r="AW10" s="53">
        <f>'Reported Rev.. Split'!P8</f>
        <v>305</v>
      </c>
      <c r="AX10" s="53">
        <f>'Reported Rev.. Split'!O8</f>
        <v>275</v>
      </c>
      <c r="AY10" s="53">
        <f>AU10+AV10+AW10+AX10</f>
        <v>1220</v>
      </c>
      <c r="AZ10" s="62">
        <f>'Reported Rev.. Split'!N8</f>
        <v>338</v>
      </c>
      <c r="BA10" s="916">
        <f>'Reported Rev.. Split'!M8</f>
        <v>315</v>
      </c>
      <c r="BB10" s="1069">
        <f>(AW10+AX10)*1.08</f>
        <v>626.40000000000009</v>
      </c>
      <c r="BC10" s="1051">
        <f>SUM(AZ10:BB10)</f>
        <v>1279.4000000000001</v>
      </c>
      <c r="BD10" s="982">
        <f>BC10*(1+0.03)</f>
        <v>1317.7820000000002</v>
      </c>
      <c r="BE10" s="982">
        <f>BD10*(1+0.05)</f>
        <v>1383.6711000000003</v>
      </c>
    </row>
    <row r="11" spans="1:65" ht="15" customHeight="1" x14ac:dyDescent="0.2">
      <c r="A11" s="64" t="s">
        <v>792</v>
      </c>
      <c r="B11" s="69"/>
      <c r="C11" s="53"/>
      <c r="D11" s="53"/>
      <c r="E11" s="53"/>
      <c r="F11" s="53"/>
      <c r="G11" s="53"/>
      <c r="H11" s="53"/>
      <c r="I11" s="53" t="e">
        <f>#REF!</f>
        <v>#REF!</v>
      </c>
      <c r="J11" s="53" t="e">
        <f>#REF!</f>
        <v>#REF!</v>
      </c>
      <c r="K11" s="53" t="e">
        <f>#REF!</f>
        <v>#REF!</v>
      </c>
      <c r="L11" s="53" t="e">
        <f>#REF!</f>
        <v>#REF!</v>
      </c>
      <c r="M11" s="53" t="e">
        <f>#REF!</f>
        <v>#REF!</v>
      </c>
      <c r="N11" s="53" t="e">
        <f>#REF!</f>
        <v>#REF!</v>
      </c>
      <c r="O11" s="53" t="e">
        <f>#REF!</f>
        <v>#REF!</v>
      </c>
      <c r="P11" s="53" t="e">
        <f>#REF!</f>
        <v>#REF!</v>
      </c>
      <c r="Q11" s="69" t="e">
        <f>R11-(N11+O11+P11)</f>
        <v>#REF!</v>
      </c>
      <c r="R11" s="53" t="e">
        <f>M11*(1+#REF!)</f>
        <v>#REF!</v>
      </c>
      <c r="S11" s="54" t="e">
        <f>#REF!</f>
        <v>#REF!</v>
      </c>
      <c r="T11" s="53" t="e">
        <f>#REF!</f>
        <v>#REF!</v>
      </c>
      <c r="U11" s="53" t="e">
        <f>#REF!</f>
        <v>#REF!</v>
      </c>
      <c r="V11" s="69" t="e">
        <f>W11-(S11+T11+U11)</f>
        <v>#REF!</v>
      </c>
      <c r="W11" s="69" t="e">
        <f>#REF!</f>
        <v>#REF!</v>
      </c>
      <c r="X11" s="69" t="e">
        <f>#REF!</f>
        <v>#REF!</v>
      </c>
      <c r="Y11" s="69" t="e">
        <f>#REF!</f>
        <v>#REF!</v>
      </c>
      <c r="Z11" s="69" t="e">
        <f>#REF!</f>
        <v>#REF!</v>
      </c>
      <c r="AA11" s="69" t="e">
        <f>AB11-(X11+Y11+Z11)</f>
        <v>#REF!</v>
      </c>
      <c r="AB11" s="53" t="e">
        <f>#REF!</f>
        <v>#REF!</v>
      </c>
      <c r="AC11" s="53" t="e">
        <f>#REF!</f>
        <v>#REF!</v>
      </c>
      <c r="AD11" s="53" t="e">
        <f>#REF!</f>
        <v>#REF!</v>
      </c>
      <c r="AE11" s="53" t="e">
        <f>#REF!</f>
        <v>#REF!</v>
      </c>
      <c r="AF11" s="53" t="e">
        <f>#REF!</f>
        <v>#REF!</v>
      </c>
      <c r="AG11" s="53" t="e">
        <f>#REF!</f>
        <v>#REF!</v>
      </c>
      <c r="AH11" s="53">
        <f>'Reported Rev.. Split'!K9</f>
        <v>632</v>
      </c>
      <c r="AI11" s="53">
        <f>'Reported Rev.. Split'!J9</f>
        <v>671</v>
      </c>
      <c r="AJ11" s="53">
        <f>'Reported Rev.. Split'!I9</f>
        <v>719</v>
      </c>
      <c r="AK11" s="53">
        <f>'Reported Rev.. Split'!H9</f>
        <v>699</v>
      </c>
      <c r="AL11" s="53">
        <f>'Reported Rev.. Split'!G9</f>
        <v>715</v>
      </c>
      <c r="AM11" s="53">
        <f>'Reported Rev.. Split'!F9</f>
        <v>1226</v>
      </c>
      <c r="AN11" s="367">
        <f>'Reported Rev.. Split'!W9</f>
        <v>556</v>
      </c>
      <c r="AO11" s="69">
        <f>'Reported Rev.. Split'!E9</f>
        <v>2376</v>
      </c>
      <c r="AP11" s="69">
        <f>'Reported Rev.. Split'!V9</f>
        <v>553</v>
      </c>
      <c r="AQ11" s="53">
        <f>'Reported Rev.. Split'!U9</f>
        <v>473</v>
      </c>
      <c r="AR11" s="367">
        <f>'Reported Rev.. Split'!T9</f>
        <v>546</v>
      </c>
      <c r="AS11" s="916">
        <f>530</f>
        <v>530</v>
      </c>
      <c r="AT11" s="53">
        <f>'Reported Rev.. Split'!D9</f>
        <v>2047</v>
      </c>
      <c r="AU11" s="53">
        <f>'Reported Rev.. Split'!R9</f>
        <v>474</v>
      </c>
      <c r="AV11" s="53">
        <f>'Reported Rev.. Split'!Q9</f>
        <v>489</v>
      </c>
      <c r="AW11" s="53">
        <f>'Reported Rev.. Split'!P9</f>
        <v>534</v>
      </c>
      <c r="AX11" s="53">
        <f>'Reported Rev.. Split'!O9</f>
        <v>435</v>
      </c>
      <c r="AY11" s="53">
        <f>AU11+AV11+AW11+AX11</f>
        <v>1932</v>
      </c>
      <c r="AZ11" s="62">
        <f>'Reported Rev.. Split'!N9</f>
        <v>491</v>
      </c>
      <c r="BA11" s="916">
        <f>'Reported Rev.. Split'!M9</f>
        <v>534</v>
      </c>
      <c r="BB11" s="1069">
        <f>(AW11+AX11)*1.04</f>
        <v>1007.76</v>
      </c>
      <c r="BC11" s="1051">
        <f>AZ11+BA11+BB11</f>
        <v>2032.76</v>
      </c>
      <c r="BD11" s="982">
        <f>BC11*(1+0.04)</f>
        <v>2114.0704000000001</v>
      </c>
      <c r="BE11" s="982">
        <f>BD11*(1+0.04)</f>
        <v>2198.6332160000002</v>
      </c>
      <c r="BF11" s="62"/>
      <c r="BG11" s="62"/>
      <c r="BI11" s="62"/>
      <c r="BJ11" s="62"/>
      <c r="BK11" s="62"/>
      <c r="BL11" s="62"/>
      <c r="BM11" s="62"/>
    </row>
    <row r="12" spans="1:65" ht="15" customHeight="1" x14ac:dyDescent="0.2">
      <c r="A12" s="64" t="s">
        <v>866</v>
      </c>
      <c r="B12" s="69"/>
      <c r="C12" s="53"/>
      <c r="D12" s="53"/>
      <c r="E12" s="53"/>
      <c r="F12" s="53"/>
      <c r="G12" s="53"/>
      <c r="H12" s="53"/>
      <c r="I12" s="53" t="e">
        <f>#REF!+#REF!</f>
        <v>#REF!</v>
      </c>
      <c r="J12" s="53" t="e">
        <f>#REF!+#REF!</f>
        <v>#REF!</v>
      </c>
      <c r="K12" s="53" t="e">
        <f>#REF!+#REF!</f>
        <v>#REF!</v>
      </c>
      <c r="L12" s="53" t="e">
        <f>#REF!+#REF!</f>
        <v>#REF!</v>
      </c>
      <c r="M12" s="53" t="e">
        <f>#REF!+#REF!</f>
        <v>#REF!</v>
      </c>
      <c r="N12" s="53" t="e">
        <f>#REF!+#REF!</f>
        <v>#REF!</v>
      </c>
      <c r="O12" s="53" t="e">
        <f>#REF!+#REF!</f>
        <v>#REF!</v>
      </c>
      <c r="P12" s="71" t="e">
        <f>#REF!+#REF!</f>
        <v>#REF!</v>
      </c>
      <c r="Q12" s="69" t="e">
        <f>R12-(N12+O12+P12)</f>
        <v>#REF!</v>
      </c>
      <c r="R12" s="53">
        <v>215</v>
      </c>
      <c r="S12" s="54" t="e">
        <f>#REF!+#REF!</f>
        <v>#REF!</v>
      </c>
      <c r="T12" s="71" t="e">
        <f>#REF!+#REF!</f>
        <v>#REF!</v>
      </c>
      <c r="U12" s="71" t="e">
        <f>#REF!+#REF!</f>
        <v>#REF!</v>
      </c>
      <c r="V12" s="69" t="e">
        <f>W12-(S12+T12+U12)</f>
        <v>#REF!</v>
      </c>
      <c r="W12" s="69" t="e">
        <f>#REF!</f>
        <v>#REF!</v>
      </c>
      <c r="X12" s="69" t="e">
        <f>#REF!+#REF!</f>
        <v>#REF!</v>
      </c>
      <c r="Y12" s="69" t="e">
        <f>#REF!+#REF!</f>
        <v>#REF!</v>
      </c>
      <c r="Z12" s="69" t="e">
        <f>#REF!+#REF!</f>
        <v>#REF!</v>
      </c>
      <c r="AA12" s="69" t="e">
        <f>AB12-(X12+Y12+Z12)</f>
        <v>#REF!</v>
      </c>
      <c r="AB12" s="53" t="e">
        <f>#REF!+#REF!</f>
        <v>#REF!</v>
      </c>
      <c r="AC12" s="53" t="e">
        <f>#REF!+#REF!</f>
        <v>#REF!</v>
      </c>
      <c r="AD12" s="53" t="e">
        <f>#REF!+#REF!</f>
        <v>#REF!</v>
      </c>
      <c r="AE12" s="53" t="e">
        <f>#REF!+#REF!</f>
        <v>#REF!</v>
      </c>
      <c r="AF12" s="53" t="e">
        <f>#REF!+#REF!</f>
        <v>#REF!</v>
      </c>
      <c r="AG12" s="53" t="e">
        <f>#REF!+#REF!</f>
        <v>#REF!</v>
      </c>
      <c r="AH12" s="53">
        <f>'Reported Rev.. Split'!K10+'Reported Rev.. Split'!K11</f>
        <v>325</v>
      </c>
      <c r="AI12" s="53">
        <f>'Reported Rev.. Split'!J10+'Reported Rev.. Split'!J11</f>
        <v>372</v>
      </c>
      <c r="AJ12" s="53">
        <f>'Reported Rev.. Split'!I10+'Reported Rev.. Split'!I11</f>
        <v>74</v>
      </c>
      <c r="AK12" s="53">
        <f>'Reported Rev.. Split'!H10+'Reported Rev.. Split'!H11</f>
        <v>34</v>
      </c>
      <c r="AL12" s="53">
        <f>'Reported Rev.. Split'!G10+'Reported Rev.. Split'!G11</f>
        <v>32</v>
      </c>
      <c r="AM12" s="53">
        <f>'Reported Rev.. Split'!F10+'Reported Rev.. Split'!F11</f>
        <v>26</v>
      </c>
      <c r="AN12" s="367">
        <f>'Reported Rev.. Split'!W10+'Reported Rev.. Split'!W11</f>
        <v>5</v>
      </c>
      <c r="AO12" s="69">
        <f>'Reported Rev.. Split'!E10</f>
        <v>20</v>
      </c>
      <c r="AP12" s="69">
        <f>'Reported Rev.. Split'!V10</f>
        <v>5</v>
      </c>
      <c r="AQ12" s="53">
        <f>'Reported Rev.. Split'!U10</f>
        <v>6</v>
      </c>
      <c r="AR12" s="367">
        <f>'Reported Rev.. Split'!T10</f>
        <v>16</v>
      </c>
      <c r="AS12" s="917">
        <f>15</f>
        <v>15</v>
      </c>
      <c r="AT12" s="53">
        <f>'Reported Rev.. Split'!D10</f>
        <v>169</v>
      </c>
      <c r="AU12" s="53">
        <f>'Reported Rev.. Split'!R10</f>
        <v>46</v>
      </c>
      <c r="AV12" s="53">
        <f>'Reported Rev.. Split'!Q10</f>
        <v>45</v>
      </c>
      <c r="AW12" s="53">
        <f>'Reported Rev.. Split'!P10</f>
        <v>44</v>
      </c>
      <c r="AX12" s="53">
        <f>'Reported Rev.. Split'!O10</f>
        <v>43</v>
      </c>
      <c r="AY12" s="53">
        <f>AU12+AV12+AW12+AX12</f>
        <v>178</v>
      </c>
      <c r="AZ12" s="62">
        <f>'Reported Rev.. Split'!N10</f>
        <v>44</v>
      </c>
      <c r="BA12" s="917">
        <f>'Reported Rev.. Split'!M10</f>
        <v>47</v>
      </c>
      <c r="BB12" s="1069">
        <f>(AW12+AX12)*1.04</f>
        <v>90.48</v>
      </c>
      <c r="BC12" s="1051">
        <f>AZ12+BA12+BB12</f>
        <v>181.48000000000002</v>
      </c>
      <c r="BD12" s="982">
        <f>BC12</f>
        <v>181.48000000000002</v>
      </c>
      <c r="BE12" s="982">
        <f>BD12</f>
        <v>181.48000000000002</v>
      </c>
    </row>
    <row r="13" spans="1:65" ht="15" customHeight="1" x14ac:dyDescent="0.2">
      <c r="A13" s="660" t="s">
        <v>0</v>
      </c>
      <c r="B13" s="659" t="e">
        <f>#REF!+B6+#REF!+B8+B16</f>
        <v>#REF!</v>
      </c>
      <c r="C13" s="497" t="e">
        <f>#REF!+C6+#REF!+C8+C16</f>
        <v>#REF!</v>
      </c>
      <c r="D13" s="497" t="e">
        <f>#REF!+D6+#REF!+D8+D16</f>
        <v>#REF!</v>
      </c>
      <c r="E13" s="497" t="e">
        <f>#REF!+E6+#REF!+E8+E16</f>
        <v>#REF!</v>
      </c>
      <c r="F13" s="497" t="e">
        <f>#REF!+F6+#REF!+F8+F16</f>
        <v>#REF!</v>
      </c>
      <c r="G13" s="497" t="e">
        <f>#REF!+G6+#REF!+G8+G16</f>
        <v>#REF!</v>
      </c>
      <c r="H13" s="497" t="e">
        <f>#REF!+H6+#REF!+H8+H16</f>
        <v>#REF!</v>
      </c>
      <c r="I13" s="491" t="e">
        <f t="shared" ref="I13:BC13" si="1">I8+I9+I10+I11+I12</f>
        <v>#REF!</v>
      </c>
      <c r="J13" s="491" t="e">
        <f t="shared" si="1"/>
        <v>#REF!</v>
      </c>
      <c r="K13" s="491" t="e">
        <f t="shared" si="1"/>
        <v>#REF!</v>
      </c>
      <c r="L13" s="491" t="e">
        <f t="shared" si="1"/>
        <v>#REF!</v>
      </c>
      <c r="M13" s="491" t="e">
        <f t="shared" si="1"/>
        <v>#REF!</v>
      </c>
      <c r="N13" s="491" t="e">
        <f t="shared" si="1"/>
        <v>#REF!</v>
      </c>
      <c r="O13" s="491" t="e">
        <f t="shared" si="1"/>
        <v>#REF!</v>
      </c>
      <c r="P13" s="491" t="e">
        <f t="shared" si="1"/>
        <v>#REF!</v>
      </c>
      <c r="Q13" s="491" t="e">
        <f t="shared" si="1"/>
        <v>#REF!</v>
      </c>
      <c r="R13" s="491" t="e">
        <f t="shared" si="1"/>
        <v>#REF!</v>
      </c>
      <c r="S13" s="491" t="e">
        <f t="shared" si="1"/>
        <v>#REF!</v>
      </c>
      <c r="T13" s="491" t="e">
        <f t="shared" si="1"/>
        <v>#REF!</v>
      </c>
      <c r="U13" s="491" t="e">
        <f t="shared" si="1"/>
        <v>#REF!</v>
      </c>
      <c r="V13" s="491" t="e">
        <f t="shared" si="1"/>
        <v>#REF!</v>
      </c>
      <c r="W13" s="491" t="e">
        <f t="shared" si="1"/>
        <v>#REF!</v>
      </c>
      <c r="X13" s="491" t="e">
        <f t="shared" si="1"/>
        <v>#REF!</v>
      </c>
      <c r="Y13" s="491" t="e">
        <f t="shared" si="1"/>
        <v>#REF!</v>
      </c>
      <c r="Z13" s="491" t="e">
        <f t="shared" si="1"/>
        <v>#REF!</v>
      </c>
      <c r="AA13" s="491" t="e">
        <f t="shared" si="1"/>
        <v>#REF!</v>
      </c>
      <c r="AB13" s="491" t="e">
        <f t="shared" si="1"/>
        <v>#REF!</v>
      </c>
      <c r="AC13" s="491" t="e">
        <f t="shared" si="1"/>
        <v>#REF!</v>
      </c>
      <c r="AD13" s="491" t="e">
        <f t="shared" si="1"/>
        <v>#REF!</v>
      </c>
      <c r="AE13" s="491" t="e">
        <f t="shared" si="1"/>
        <v>#REF!</v>
      </c>
      <c r="AF13" s="491" t="e">
        <f t="shared" si="1"/>
        <v>#REF!</v>
      </c>
      <c r="AG13" s="491" t="e">
        <f t="shared" si="1"/>
        <v>#REF!</v>
      </c>
      <c r="AH13" s="491">
        <f t="shared" si="1"/>
        <v>5363</v>
      </c>
      <c r="AI13" s="491">
        <f t="shared" si="1"/>
        <v>5418</v>
      </c>
      <c r="AJ13" s="491">
        <f t="shared" si="1"/>
        <v>5556</v>
      </c>
      <c r="AK13" s="491">
        <f t="shared" si="1"/>
        <v>5271</v>
      </c>
      <c r="AL13" s="491">
        <f t="shared" ref="AL13:AM13" si="2">AL8+AL9+AL10+AL11+AL12</f>
        <v>5043</v>
      </c>
      <c r="AM13" s="491">
        <f t="shared" si="2"/>
        <v>6955</v>
      </c>
      <c r="AN13" s="762">
        <f t="shared" ref="AN13" si="3">AN8+AN9+AN10+AN11+AN12</f>
        <v>2525</v>
      </c>
      <c r="AO13" s="757">
        <f t="shared" si="1"/>
        <v>10015</v>
      </c>
      <c r="AP13" s="757">
        <f t="shared" si="1"/>
        <v>2098</v>
      </c>
      <c r="AQ13" s="877">
        <f t="shared" ref="AQ13:AR13" si="4">AQ8+AQ9+AQ10+AQ11+AQ12</f>
        <v>1834</v>
      </c>
      <c r="AR13" s="762">
        <f t="shared" si="4"/>
        <v>1862</v>
      </c>
      <c r="AS13" s="757">
        <f t="shared" ref="AS13" si="5">AS8+AS9+AS10+AS11+AS12</f>
        <v>1826</v>
      </c>
      <c r="AT13" s="877">
        <f t="shared" si="1"/>
        <v>7536</v>
      </c>
      <c r="AU13" s="877">
        <f t="shared" ref="AU13:AV13" si="6">AU8+AU9+AU10+AU11+AU12</f>
        <v>1735</v>
      </c>
      <c r="AV13" s="877">
        <f t="shared" si="6"/>
        <v>1752</v>
      </c>
      <c r="AW13" s="877">
        <f t="shared" ref="AW13:AX13" si="7">AW8+AW9+AW10+AW11+AW12</f>
        <v>1753</v>
      </c>
      <c r="AX13" s="877">
        <f t="shared" si="7"/>
        <v>1601</v>
      </c>
      <c r="AY13" s="770">
        <f t="shared" ref="AY13:BA13" si="8">AY8+AY9+AY10+AY11+AY12</f>
        <v>6841</v>
      </c>
      <c r="AZ13" s="866">
        <f t="shared" si="8"/>
        <v>1767</v>
      </c>
      <c r="BA13" s="927">
        <f t="shared" si="8"/>
        <v>1832</v>
      </c>
      <c r="BB13" s="1062">
        <f t="shared" ref="BB13" si="9">BB8+BB9+BB10+BB11+BB12</f>
        <v>3636.9550869565223</v>
      </c>
      <c r="BC13" s="866">
        <f t="shared" si="1"/>
        <v>7235.955086956521</v>
      </c>
      <c r="BD13" s="492">
        <f t="shared" ref="BD13:BE13" si="10">BD8+BD9+BD10+BD11+BD12</f>
        <v>7433.2837130434782</v>
      </c>
      <c r="BE13" s="492">
        <f t="shared" si="10"/>
        <v>7558.632764</v>
      </c>
    </row>
    <row r="14" spans="1:65" ht="15" hidden="1" x14ac:dyDescent="0.2">
      <c r="A14" s="256" t="s">
        <v>26</v>
      </c>
      <c r="B14" s="257"/>
      <c r="C14" s="258" t="e">
        <f>C13/B13-1</f>
        <v>#REF!</v>
      </c>
      <c r="D14" s="258" t="e">
        <f>D13/C13-1</f>
        <v>#REF!</v>
      </c>
      <c r="E14" s="258" t="e">
        <f>E13/D13-1</f>
        <v>#REF!</v>
      </c>
      <c r="F14" s="258" t="e">
        <f>F13/E13-1</f>
        <v>#REF!</v>
      </c>
      <c r="G14" s="258" t="e">
        <f>G13/F13-1</f>
        <v>#REF!</v>
      </c>
      <c r="H14" s="258" t="e">
        <f>H13/#REF!-1</f>
        <v>#REF!</v>
      </c>
      <c r="I14" s="258" t="e">
        <f>I13/#REF!-1</f>
        <v>#REF!</v>
      </c>
      <c r="J14" s="258" t="e">
        <f>J13/I13-1</f>
        <v>#REF!</v>
      </c>
      <c r="K14" s="258" t="e">
        <f>K13/J13-1</f>
        <v>#REF!</v>
      </c>
      <c r="L14" s="258" t="e">
        <f>L13/K13-1</f>
        <v>#REF!</v>
      </c>
      <c r="M14" s="258" t="e">
        <f>M13/L13-1</f>
        <v>#REF!</v>
      </c>
      <c r="N14" s="258" t="e">
        <f>N13/#REF!-1</f>
        <v>#REF!</v>
      </c>
      <c r="O14" s="258" t="e">
        <f>O13/#REF!-1</f>
        <v>#REF!</v>
      </c>
      <c r="P14" s="258" t="e">
        <f>P13/#REF!-1</f>
        <v>#REF!</v>
      </c>
      <c r="Q14" s="258" t="e">
        <f>Q13/#REF!-1</f>
        <v>#REF!</v>
      </c>
      <c r="R14" s="258" t="e">
        <f>R13/M13-1</f>
        <v>#REF!</v>
      </c>
      <c r="S14" s="258" t="e">
        <f>S13/#REF!-1</f>
        <v>#REF!</v>
      </c>
      <c r="T14" s="258" t="e">
        <f>T13/#REF!-1</f>
        <v>#REF!</v>
      </c>
      <c r="U14" s="258" t="e">
        <f>U13/#REF!-1</f>
        <v>#REF!</v>
      </c>
      <c r="V14" s="258" t="e">
        <f>V13/#REF!-1</f>
        <v>#REF!</v>
      </c>
      <c r="W14" s="258" t="e">
        <f>W13/R13-1</f>
        <v>#REF!</v>
      </c>
      <c r="X14" s="258" t="e">
        <f>X13/S13-1</f>
        <v>#REF!</v>
      </c>
      <c r="Y14" s="258" t="e">
        <f>Y13/#REF!-1</f>
        <v>#REF!</v>
      </c>
      <c r="Z14" s="258" t="e">
        <f>Z13/#REF!-1</f>
        <v>#REF!</v>
      </c>
      <c r="AA14" s="436" t="e">
        <f>AA13/#REF!-1</f>
        <v>#REF!</v>
      </c>
      <c r="AB14" s="437" t="e">
        <f>AB13/W13-1</f>
        <v>#REF!</v>
      </c>
      <c r="AC14" s="437" t="e">
        <f>AC13/X13-1</f>
        <v>#REF!</v>
      </c>
      <c r="AD14" s="438" t="e">
        <f>AD13/#REF!-1</f>
        <v>#REF!</v>
      </c>
      <c r="AE14" s="258" t="e">
        <f>AE13/#REF!-1</f>
        <v>#REF!</v>
      </c>
      <c r="AF14" s="436" t="e">
        <f>AF13/#REF!-1</f>
        <v>#REF!</v>
      </c>
      <c r="AG14" s="258" t="e">
        <f>AG13/AB13-1</f>
        <v>#REF!</v>
      </c>
      <c r="AH14" s="258"/>
      <c r="AI14" s="258"/>
      <c r="AJ14" s="258"/>
      <c r="AK14" s="258"/>
      <c r="AL14" s="258"/>
      <c r="AM14" s="258"/>
      <c r="AN14" s="763"/>
      <c r="AO14" s="258"/>
      <c r="AP14" s="878"/>
      <c r="AQ14" s="879"/>
      <c r="AR14" s="912"/>
      <c r="AS14" s="878"/>
      <c r="AT14" s="879"/>
      <c r="AU14" s="879"/>
      <c r="AV14" s="1075"/>
      <c r="AW14" s="1075"/>
      <c r="AX14" s="1075"/>
      <c r="AY14" s="1076"/>
      <c r="AZ14" s="258"/>
      <c r="BA14" s="1044"/>
      <c r="BB14" s="1063"/>
      <c r="BC14" s="258"/>
      <c r="BD14" s="258"/>
      <c r="BE14" s="258"/>
    </row>
    <row r="15" spans="1:65" ht="17.25" customHeight="1" x14ac:dyDescent="0.2">
      <c r="A15" s="761" t="s">
        <v>320</v>
      </c>
      <c r="B15" s="756"/>
      <c r="C15" s="384"/>
      <c r="D15" s="384"/>
      <c r="E15" s="384"/>
      <c r="F15" s="384"/>
      <c r="G15" s="384"/>
      <c r="H15" s="384"/>
      <c r="I15" s="384"/>
      <c r="J15" s="384"/>
      <c r="K15" s="384"/>
      <c r="L15" s="384"/>
      <c r="M15" s="384"/>
      <c r="N15" s="384"/>
      <c r="O15" s="384"/>
      <c r="P15" s="384"/>
      <c r="Q15" s="384"/>
      <c r="R15" s="384"/>
      <c r="S15" s="384"/>
      <c r="T15" s="384"/>
      <c r="U15" s="384"/>
      <c r="V15" s="384"/>
      <c r="W15" s="384"/>
      <c r="X15" s="384"/>
      <c r="Y15" s="384"/>
      <c r="Z15" s="384"/>
      <c r="AA15" s="384"/>
      <c r="AB15" s="384"/>
      <c r="AC15" s="384"/>
      <c r="AD15" s="384"/>
      <c r="AE15" s="384"/>
      <c r="AF15" s="384"/>
      <c r="AG15" s="384"/>
      <c r="AH15" s="384"/>
      <c r="AI15" s="384"/>
      <c r="AJ15" s="384"/>
      <c r="AK15" s="384"/>
      <c r="AL15" s="384"/>
      <c r="AM15" s="384"/>
      <c r="AN15" s="761"/>
      <c r="AO15" s="756"/>
      <c r="AP15" s="815"/>
      <c r="AQ15" s="876"/>
      <c r="AR15" s="911"/>
      <c r="AS15" s="815"/>
      <c r="AT15" s="876"/>
      <c r="AU15" s="876"/>
      <c r="AV15" s="876"/>
      <c r="AW15" s="876"/>
      <c r="AX15" s="876"/>
      <c r="AY15" s="947"/>
      <c r="AZ15" s="756"/>
      <c r="BA15" s="1045"/>
      <c r="BB15" s="1064"/>
      <c r="BC15" s="756"/>
      <c r="BD15" s="384"/>
      <c r="BE15" s="384"/>
    </row>
    <row r="16" spans="1:65" ht="15" x14ac:dyDescent="0.2">
      <c r="A16" s="64" t="s">
        <v>97</v>
      </c>
      <c r="B16" s="69"/>
      <c r="C16" s="53"/>
      <c r="D16" s="53"/>
      <c r="E16" s="53"/>
      <c r="F16" s="53"/>
      <c r="G16" s="53"/>
      <c r="H16" s="53"/>
      <c r="I16" s="53" t="e">
        <f>#REF!</f>
        <v>#REF!</v>
      </c>
      <c r="J16" s="53" t="e">
        <f>#REF!</f>
        <v>#REF!</v>
      </c>
      <c r="K16" s="53" t="e">
        <f>#REF!</f>
        <v>#REF!</v>
      </c>
      <c r="L16" s="53" t="e">
        <f>#REF!</f>
        <v>#REF!</v>
      </c>
      <c r="M16" s="53" t="e">
        <f>#REF!</f>
        <v>#REF!</v>
      </c>
      <c r="N16" s="53" t="e">
        <f>#REF!</f>
        <v>#REF!</v>
      </c>
      <c r="O16" s="53" t="e">
        <f>#REF!</f>
        <v>#REF!</v>
      </c>
      <c r="P16" s="53" t="e">
        <f>#REF!</f>
        <v>#REF!</v>
      </c>
      <c r="Q16" s="53" t="e">
        <f>#REF!</f>
        <v>#REF!</v>
      </c>
      <c r="R16" s="53" t="e">
        <f>#REF!</f>
        <v>#REF!</v>
      </c>
      <c r="S16" s="53" t="e">
        <f>#REF!</f>
        <v>#REF!</v>
      </c>
      <c r="T16" s="53" t="e">
        <f>#REF!</f>
        <v>#REF!</v>
      </c>
      <c r="U16" s="53" t="e">
        <f>#REF!</f>
        <v>#REF!</v>
      </c>
      <c r="V16" s="53" t="e">
        <f>#REF!</f>
        <v>#REF!</v>
      </c>
      <c r="W16" s="53" t="e">
        <f>#REF!</f>
        <v>#REF!</v>
      </c>
      <c r="X16" s="53" t="e">
        <f>#REF!</f>
        <v>#REF!</v>
      </c>
      <c r="Y16" s="53" t="e">
        <f>#REF!</f>
        <v>#REF!</v>
      </c>
      <c r="Z16" s="53" t="e">
        <f>#REF!</f>
        <v>#REF!</v>
      </c>
      <c r="AA16" s="53" t="e">
        <f>#REF!</f>
        <v>#REF!</v>
      </c>
      <c r="AB16" s="53" t="e">
        <f>#REF!</f>
        <v>#REF!</v>
      </c>
      <c r="AC16" s="53" t="e">
        <f>#REF!</f>
        <v>#REF!</v>
      </c>
      <c r="AD16" s="53" t="e">
        <f>#REF!</f>
        <v>#REF!</v>
      </c>
      <c r="AE16" s="53" t="e">
        <f>#REF!</f>
        <v>#REF!</v>
      </c>
      <c r="AF16" s="53" t="e">
        <f>#REF!</f>
        <v>#REF!</v>
      </c>
      <c r="AG16" s="53" t="e">
        <f>#REF!</f>
        <v>#REF!</v>
      </c>
      <c r="AH16" s="69">
        <f>'Reported Rev.. Split'!K33</f>
        <v>245</v>
      </c>
      <c r="AI16" s="69">
        <f>'Reported Rev.. Split'!J33</f>
        <v>198</v>
      </c>
      <c r="AJ16" s="69">
        <f>'Reported Rev.. Split'!I33</f>
        <v>315</v>
      </c>
      <c r="AK16" s="69">
        <f>'Reported Rev.. Split'!H33</f>
        <v>289</v>
      </c>
      <c r="AL16" s="69">
        <f>'Reported Rev.. Split'!G33</f>
        <v>120</v>
      </c>
      <c r="AM16" s="69">
        <f>'Reported Rev.. Split'!F33</f>
        <v>399</v>
      </c>
      <c r="AN16" s="764">
        <f>'Reported Rev.. Split'!W33</f>
        <v>410</v>
      </c>
      <c r="AO16" s="462">
        <f>'Reported Rev.. Split'!E33</f>
        <v>1822</v>
      </c>
      <c r="AP16" s="462">
        <f>'Reported Rev.. Split'!V33</f>
        <v>254</v>
      </c>
      <c r="AQ16" s="463">
        <f>'Reported Rev.. Split'!U33</f>
        <v>167</v>
      </c>
      <c r="AR16" s="881">
        <f>'Reported Rev.. Split'!T33</f>
        <v>125</v>
      </c>
      <c r="AS16" s="896">
        <f>AS8*AS17</f>
        <v>115.25</v>
      </c>
      <c r="AT16" s="463">
        <f>'Reported Rev.. Split'!D33</f>
        <v>668</v>
      </c>
      <c r="AU16" s="463">
        <f>'Reported Rev.. Split'!R33</f>
        <v>62</v>
      </c>
      <c r="AV16" s="463">
        <f>'Reported Rev.. Split'!Q33</f>
        <v>60</v>
      </c>
      <c r="AW16" s="463">
        <f>'Reported Rev.. Split'!P33</f>
        <v>59</v>
      </c>
      <c r="AX16" s="463">
        <f>'Reported Rev.. Split'!O33</f>
        <v>69</v>
      </c>
      <c r="AY16" s="53">
        <f>AU16+AV16+AW16+AX16</f>
        <v>250</v>
      </c>
      <c r="AZ16" s="632">
        <f>'Reported Rev.. Split'!N33</f>
        <v>56</v>
      </c>
      <c r="BA16" s="1120">
        <f>'Reported Rev.. Split'!M33</f>
        <v>52</v>
      </c>
      <c r="BB16" s="1070">
        <f>BB17*BB8</f>
        <v>247.37889773423149</v>
      </c>
      <c r="BC16" s="1050">
        <f>SUM(AZ16:BB16)</f>
        <v>355.37889773423149</v>
      </c>
      <c r="BD16" s="981">
        <f>BD8*BD17</f>
        <v>451.86590654235903</v>
      </c>
      <c r="BE16" s="981">
        <f>BE8*BE17</f>
        <v>362.9296875</v>
      </c>
      <c r="BG16" s="62">
        <f>BC16-AT16</f>
        <v>-312.62110226576851</v>
      </c>
      <c r="BH16" s="62"/>
    </row>
    <row r="17" spans="1:60" ht="12" customHeight="1" x14ac:dyDescent="0.2">
      <c r="A17" s="647" t="s">
        <v>315</v>
      </c>
      <c r="B17" s="69"/>
      <c r="C17" s="53"/>
      <c r="D17" s="53"/>
      <c r="E17" s="53"/>
      <c r="F17" s="53"/>
      <c r="G17" s="53"/>
      <c r="H17" s="53"/>
      <c r="I17" s="53"/>
      <c r="J17" s="53"/>
      <c r="K17" s="53"/>
      <c r="L17" s="53"/>
      <c r="M17" s="53"/>
      <c r="N17" s="53"/>
      <c r="O17" s="53"/>
      <c r="P17" s="53"/>
      <c r="Q17" s="69"/>
      <c r="R17" s="53"/>
      <c r="S17" s="53"/>
      <c r="T17" s="53"/>
      <c r="U17" s="53"/>
      <c r="V17" s="69"/>
      <c r="W17" s="140"/>
      <c r="X17" s="69"/>
      <c r="Y17" s="62"/>
      <c r="Z17" s="53"/>
      <c r="AA17" s="69"/>
      <c r="AB17" s="53"/>
      <c r="AC17" s="140"/>
      <c r="AD17" s="140"/>
      <c r="AE17" s="53"/>
      <c r="AF17" s="69"/>
      <c r="AG17" s="53"/>
      <c r="AH17" s="774">
        <f t="shared" ref="AH17:AK17" si="11">AH16/AH8</f>
        <v>0.2019785655399835</v>
      </c>
      <c r="AI17" s="774">
        <f t="shared" si="11"/>
        <v>0.15739268680445151</v>
      </c>
      <c r="AJ17" s="774">
        <f t="shared" si="11"/>
        <v>0.21269412559081702</v>
      </c>
      <c r="AK17" s="774">
        <f t="shared" si="11"/>
        <v>0.21729323308270676</v>
      </c>
      <c r="AL17" s="774">
        <f t="shared" ref="AL17:AO17" si="12">AL16/AL8</f>
        <v>0.10143702451394759</v>
      </c>
      <c r="AM17" s="774">
        <f t="shared" si="12"/>
        <v>0.22567873303167421</v>
      </c>
      <c r="AN17" s="775">
        <f t="shared" ref="AN17" si="13">AN16/AN8</f>
        <v>0.56318681318681318</v>
      </c>
      <c r="AO17" s="774">
        <f t="shared" si="12"/>
        <v>0.6011217419993401</v>
      </c>
      <c r="AP17" s="774">
        <f t="shared" ref="AP17:AQ17" si="14">AP16/AP8</f>
        <v>0.47924528301886793</v>
      </c>
      <c r="AQ17" s="880">
        <f t="shared" si="14"/>
        <v>0.33069306930693071</v>
      </c>
      <c r="AR17" s="913">
        <f t="shared" ref="AR17" si="15">AR16/AR8</f>
        <v>0.26205450733752622</v>
      </c>
      <c r="AS17" s="900">
        <v>0.25</v>
      </c>
      <c r="AT17" s="880">
        <f>AT16/AT8</f>
        <v>0.3385707045108971</v>
      </c>
      <c r="AU17" s="880">
        <f t="shared" ref="AU17:AV17" si="16">AU16/AU8</f>
        <v>0.16893732970027248</v>
      </c>
      <c r="AV17" s="880">
        <f t="shared" si="16"/>
        <v>0.15748031496062992</v>
      </c>
      <c r="AW17" s="880">
        <f t="shared" ref="AW17:BC17" si="17">AW16/AW8</f>
        <v>0.17302052785923755</v>
      </c>
      <c r="AX17" s="880">
        <f t="shared" si="17"/>
        <v>0.18498659517426275</v>
      </c>
      <c r="AY17" s="880">
        <f t="shared" si="17"/>
        <v>0.17099863201094392</v>
      </c>
      <c r="AZ17" s="1028">
        <f t="shared" si="17"/>
        <v>0.15642458100558659</v>
      </c>
      <c r="BA17" s="1121">
        <f t="shared" si="17"/>
        <v>0.14985590778097982</v>
      </c>
      <c r="BB17" s="1072">
        <f>'Final Potash Pricing Q1.25'!BZ42</f>
        <v>0.28169014084507044</v>
      </c>
      <c r="BC17" s="1052">
        <f t="shared" si="17"/>
        <v>0.22446942935971292</v>
      </c>
      <c r="BD17" s="983">
        <f>'Final Potash Pricing Q1.25'!CA42</f>
        <v>0.27933496749440473</v>
      </c>
      <c r="BE17" s="983">
        <f>'Final Potash Pricing Q1.25'!CB42</f>
        <v>0.234375</v>
      </c>
    </row>
    <row r="18" spans="1:60" ht="15" x14ac:dyDescent="0.2">
      <c r="A18" s="64" t="s">
        <v>98</v>
      </c>
      <c r="B18" s="69"/>
      <c r="C18" s="53"/>
      <c r="D18" s="53"/>
      <c r="E18" s="53"/>
      <c r="F18" s="53"/>
      <c r="G18" s="53"/>
      <c r="H18" s="53"/>
      <c r="I18" s="53" t="e">
        <f>#REF!</f>
        <v>#REF!</v>
      </c>
      <c r="J18" s="53" t="e">
        <f>#REF!</f>
        <v>#REF!</v>
      </c>
      <c r="K18" s="53" t="e">
        <f>#REF!</f>
        <v>#REF!</v>
      </c>
      <c r="L18" s="53" t="e">
        <f>#REF!</f>
        <v>#REF!</v>
      </c>
      <c r="M18" s="53" t="e">
        <f>#REF!</f>
        <v>#REF!</v>
      </c>
      <c r="N18" s="53" t="e">
        <f>#REF!</f>
        <v>#REF!</v>
      </c>
      <c r="O18" s="53" t="e">
        <f>#REF!</f>
        <v>#REF!</v>
      </c>
      <c r="P18" s="53" t="e">
        <f>#REF!</f>
        <v>#REF!</v>
      </c>
      <c r="Q18" s="69" t="e">
        <f>R18-(N18+O18+P18)</f>
        <v>#REF!</v>
      </c>
      <c r="R18" s="53" t="e">
        <f>R9*#REF!</f>
        <v>#REF!</v>
      </c>
      <c r="S18" s="53" t="e">
        <f>#REF!</f>
        <v>#REF!</v>
      </c>
      <c r="T18" s="53" t="e">
        <f>#REF!</f>
        <v>#REF!</v>
      </c>
      <c r="U18" s="53" t="e">
        <f>#REF!</f>
        <v>#REF!</v>
      </c>
      <c r="V18" s="69" t="e">
        <f>W18-(S18+T18+U18)</f>
        <v>#REF!</v>
      </c>
      <c r="W18" s="367" t="e">
        <f>W9*#REF!</f>
        <v>#REF!</v>
      </c>
      <c r="X18" s="69" t="e">
        <f>#REF!</f>
        <v>#REF!</v>
      </c>
      <c r="Y18" s="62" t="e">
        <f>#REF!</f>
        <v>#REF!</v>
      </c>
      <c r="Z18" s="53" t="e">
        <f>#REF!</f>
        <v>#REF!</v>
      </c>
      <c r="AA18" s="69" t="e">
        <f>AB18-(X18+Y18+Z18)</f>
        <v>#REF!</v>
      </c>
      <c r="AB18" s="53" t="e">
        <f>#REF!+33</f>
        <v>#REF!</v>
      </c>
      <c r="AC18" s="140" t="e">
        <f>#REF!</f>
        <v>#REF!</v>
      </c>
      <c r="AD18" s="140" t="e">
        <f>#REF!</f>
        <v>#REF!</v>
      </c>
      <c r="AE18" s="53" t="e">
        <f>#REF!</f>
        <v>#REF!</v>
      </c>
      <c r="AF18" s="69" t="e">
        <f>AG18-(AC18+AD18+AE18)</f>
        <v>#REF!</v>
      </c>
      <c r="AG18" s="53" t="e">
        <f>#REF!+60</f>
        <v>#REF!</v>
      </c>
      <c r="AH18" s="69">
        <f>'Reported Rev.. Split'!K34</f>
        <v>75</v>
      </c>
      <c r="AI18" s="69">
        <f>'Reported Rev.. Split'!J34</f>
        <v>53</v>
      </c>
      <c r="AJ18" s="69">
        <f>'Reported Rev.. Split'!I34</f>
        <v>113</v>
      </c>
      <c r="AK18" s="69">
        <f>'Reported Rev.. Split'!H34</f>
        <v>100</v>
      </c>
      <c r="AL18" s="69">
        <f>'Reported Rev.. Split'!G34</f>
        <v>66</v>
      </c>
      <c r="AM18" s="69">
        <f>'Reported Rev.. Split'!F34</f>
        <v>307</v>
      </c>
      <c r="AN18" s="764">
        <f>'Reported Rev.. Split'!W34</f>
        <v>200</v>
      </c>
      <c r="AO18" s="69">
        <f>'Reported Rev.. Split'!E34</f>
        <v>777</v>
      </c>
      <c r="AP18" s="69">
        <f>'Reported Rev.. Split'!V34</f>
        <v>115</v>
      </c>
      <c r="AQ18" s="53">
        <f>'Reported Rev.. Split'!U34</f>
        <v>71</v>
      </c>
      <c r="AR18" s="367">
        <f>'Reported Rev.. Split'!T34</f>
        <v>69</v>
      </c>
      <c r="AS18" s="897">
        <f>AS9*AS19</f>
        <v>78.300000000000011</v>
      </c>
      <c r="AT18" s="53">
        <f>'Reported Rev.. Split'!D34</f>
        <v>350</v>
      </c>
      <c r="AU18" s="53">
        <f>'Reported Rev.. Split'!R34</f>
        <v>84</v>
      </c>
      <c r="AV18" s="53">
        <f>'Reported Rev.. Split'!Q34</f>
        <v>93</v>
      </c>
      <c r="AW18" s="53">
        <f>'Reported Rev.. Split'!P34</f>
        <v>100</v>
      </c>
      <c r="AX18" s="53">
        <f>'Reported Rev.. Split'!O34</f>
        <v>81</v>
      </c>
      <c r="AY18" s="53">
        <f>AU18+AV18+AW18+AX18</f>
        <v>358</v>
      </c>
      <c r="AZ18" s="62">
        <f>'Reported Rev.. Split'!N34</f>
        <v>91</v>
      </c>
      <c r="BA18" s="1122">
        <f>'Reported Rev.. Split'!M34</f>
        <v>90</v>
      </c>
      <c r="BB18" s="1073">
        <v>195</v>
      </c>
      <c r="BC18" s="1051">
        <f>AZ18+BA18+BB18</f>
        <v>376</v>
      </c>
      <c r="BD18" s="982">
        <f t="shared" ref="BD18:BE18" si="18">BD9*BD19</f>
        <v>374.39140800000001</v>
      </c>
      <c r="BE18" s="982">
        <f t="shared" si="18"/>
        <v>381.87923616000006</v>
      </c>
      <c r="BG18" s="62">
        <f>BC18-AT18</f>
        <v>26</v>
      </c>
      <c r="BH18" s="62"/>
    </row>
    <row r="19" spans="1:60" ht="11.25" customHeight="1" x14ac:dyDescent="0.2">
      <c r="A19" s="647" t="s">
        <v>599</v>
      </c>
      <c r="B19" s="69"/>
      <c r="C19" s="53"/>
      <c r="D19" s="53"/>
      <c r="E19" s="53"/>
      <c r="F19" s="53"/>
      <c r="G19" s="53"/>
      <c r="H19" s="53"/>
      <c r="I19" s="53"/>
      <c r="J19" s="53"/>
      <c r="K19" s="53"/>
      <c r="L19" s="53"/>
      <c r="M19" s="53"/>
      <c r="N19" s="53"/>
      <c r="O19" s="53"/>
      <c r="P19" s="53"/>
      <c r="Q19" s="69"/>
      <c r="R19" s="53"/>
      <c r="S19" s="53"/>
      <c r="T19" s="53"/>
      <c r="U19" s="53"/>
      <c r="V19" s="69"/>
      <c r="W19" s="140"/>
      <c r="X19" s="69"/>
      <c r="Y19" s="62"/>
      <c r="Z19" s="53"/>
      <c r="AA19" s="69"/>
      <c r="AB19" s="53"/>
      <c r="AC19" s="140"/>
      <c r="AD19" s="140"/>
      <c r="AE19" s="53"/>
      <c r="AF19" s="69"/>
      <c r="AG19" s="53"/>
      <c r="AH19" s="774">
        <f t="shared" ref="AH19:AK19" si="19">AH18/AH9</f>
        <v>3.6023054755043228E-2</v>
      </c>
      <c r="AI19" s="774">
        <f t="shared" si="19"/>
        <v>2.7347781217750257E-2</v>
      </c>
      <c r="AJ19" s="774">
        <f t="shared" si="19"/>
        <v>5.6471764117941033E-2</v>
      </c>
      <c r="AK19" s="774">
        <f t="shared" si="19"/>
        <v>5.2603892688058915E-2</v>
      </c>
      <c r="AL19" s="774">
        <f t="shared" ref="AL19:AP19" si="20">AL18/AL9</f>
        <v>3.5275253874933188E-2</v>
      </c>
      <c r="AM19" s="774">
        <f t="shared" si="20"/>
        <v>0.13153384747215083</v>
      </c>
      <c r="AN19" s="775">
        <f t="shared" ref="AN19" si="21">AN18/AN9</f>
        <v>0.26737967914438504</v>
      </c>
      <c r="AO19" s="774">
        <f t="shared" si="20"/>
        <v>0.27253595229743949</v>
      </c>
      <c r="AP19" s="774">
        <f t="shared" si="20"/>
        <v>0.17450682852807284</v>
      </c>
      <c r="AQ19" s="880">
        <f t="shared" ref="AQ19:AR19" si="22">AQ18/AQ9</f>
        <v>0.12839059674502712</v>
      </c>
      <c r="AR19" s="913">
        <f t="shared" si="22"/>
        <v>0.12343470483005367</v>
      </c>
      <c r="AS19" s="900">
        <v>0.13500000000000001</v>
      </c>
      <c r="AT19" s="880">
        <f>AT18/AT9</f>
        <v>0.16347501167678655</v>
      </c>
      <c r="AU19" s="880">
        <f t="shared" ref="AU19:AV19" si="23">AU18/AU9</f>
        <v>0.16247582205029013</v>
      </c>
      <c r="AV19" s="880">
        <f t="shared" si="23"/>
        <v>0.17613636363636365</v>
      </c>
      <c r="AW19" s="880">
        <f t="shared" ref="AW19:BA19" si="24">AW18/AW9</f>
        <v>0.1890359168241966</v>
      </c>
      <c r="AX19" s="880">
        <f t="shared" si="24"/>
        <v>0.17052631578947369</v>
      </c>
      <c r="AY19" s="880">
        <f t="shared" si="24"/>
        <v>0.17471937530502685</v>
      </c>
      <c r="AZ19" s="1028">
        <f t="shared" si="24"/>
        <v>0.16977611940298507</v>
      </c>
      <c r="BA19" s="1071">
        <f t="shared" si="24"/>
        <v>0.15280135823429541</v>
      </c>
      <c r="BB19" s="1072">
        <f t="shared" ref="BB19" si="25">BB18/BB9</f>
        <v>0.18856612385409816</v>
      </c>
      <c r="BC19" s="1052">
        <v>0.17499999999999999</v>
      </c>
      <c r="BD19" s="983">
        <v>0.17</v>
      </c>
      <c r="BE19" s="983">
        <v>0.17</v>
      </c>
    </row>
    <row r="20" spans="1:60" ht="15" x14ac:dyDescent="0.2">
      <c r="A20" s="64" t="s">
        <v>99</v>
      </c>
      <c r="B20" s="69"/>
      <c r="C20" s="53"/>
      <c r="D20" s="53"/>
      <c r="E20" s="53"/>
      <c r="F20" s="53"/>
      <c r="G20" s="53"/>
      <c r="H20" s="53"/>
      <c r="I20" s="53" t="e">
        <f>#REF!</f>
        <v>#REF!</v>
      </c>
      <c r="J20" s="53" t="e">
        <f>#REF!</f>
        <v>#REF!</v>
      </c>
      <c r="K20" s="53" t="e">
        <f>#REF!</f>
        <v>#REF!</v>
      </c>
      <c r="L20" s="53" t="e">
        <f>#REF!</f>
        <v>#REF!</v>
      </c>
      <c r="M20" s="53" t="e">
        <f>#REF!</f>
        <v>#REF!</v>
      </c>
      <c r="N20" s="53" t="e">
        <f>#REF!</f>
        <v>#REF!</v>
      </c>
      <c r="O20" s="53" t="e">
        <f>#REF!</f>
        <v>#REF!</v>
      </c>
      <c r="P20" s="53" t="e">
        <f>#REF!</f>
        <v>#REF!</v>
      </c>
      <c r="Q20" s="69" t="e">
        <f>R20-(N20+O20+P20)</f>
        <v>#REF!</v>
      </c>
      <c r="R20" s="53" t="e">
        <f>#REF!</f>
        <v>#REF!</v>
      </c>
      <c r="S20" s="53" t="e">
        <f>#REF!</f>
        <v>#REF!</v>
      </c>
      <c r="T20" s="53" t="e">
        <f>#REF!</f>
        <v>#REF!</v>
      </c>
      <c r="U20" s="53" t="e">
        <f>#REF!</f>
        <v>#REF!</v>
      </c>
      <c r="V20" s="69" t="e">
        <f>W20-(S20+T20+U20)</f>
        <v>#REF!</v>
      </c>
      <c r="W20" s="69" t="e">
        <f>#REF!</f>
        <v>#REF!</v>
      </c>
      <c r="X20" s="69" t="e">
        <f>#REF!</f>
        <v>#REF!</v>
      </c>
      <c r="Y20" s="62" t="e">
        <f>#REF!</f>
        <v>#REF!</v>
      </c>
      <c r="Z20" s="53" t="e">
        <f>#REF!</f>
        <v>#REF!</v>
      </c>
      <c r="AA20" s="69" t="e">
        <f>AB20-(X20+Y20+Z20)</f>
        <v>#REF!</v>
      </c>
      <c r="AB20" s="53" t="e">
        <f>#REF!</f>
        <v>#REF!</v>
      </c>
      <c r="AC20" s="53" t="e">
        <f>#REF!</f>
        <v>#REF!</v>
      </c>
      <c r="AD20" s="140" t="e">
        <f>#REF!</f>
        <v>#REF!</v>
      </c>
      <c r="AE20" s="53" t="e">
        <f>#REF!</f>
        <v>#REF!</v>
      </c>
      <c r="AF20" s="69" t="e">
        <f>AG20-(AC20+AD20+AE20)</f>
        <v>#REF!</v>
      </c>
      <c r="AG20" s="53" t="e">
        <f>#REF!</f>
        <v>#REF!</v>
      </c>
      <c r="AH20" s="69">
        <f>'Reported Rev.. Split'!K35</f>
        <v>241</v>
      </c>
      <c r="AI20" s="69">
        <f>'Reported Rev.. Split'!J35</f>
        <v>247</v>
      </c>
      <c r="AJ20" s="69">
        <f>'Reported Rev.. Split'!I35</f>
        <v>300</v>
      </c>
      <c r="AK20" s="69">
        <f>'Reported Rev.. Split'!H35</f>
        <v>338</v>
      </c>
      <c r="AL20" s="69">
        <f>'Reported Rev.. Split'!G35</f>
        <v>303</v>
      </c>
      <c r="AM20" s="69">
        <f>'Reported Rev.. Split'!F35</f>
        <v>435</v>
      </c>
      <c r="AN20" s="764">
        <f>'Reported Rev.. Split'!W35</f>
        <v>188</v>
      </c>
      <c r="AO20" s="69">
        <f>'Reported Rev.. Split'!E35</f>
        <v>628</v>
      </c>
      <c r="AP20" s="69">
        <f>'Reported Rev.. Split'!V35</f>
        <v>90</v>
      </c>
      <c r="AQ20" s="53">
        <f>'Reported Rev.. Split'!U35</f>
        <v>60</v>
      </c>
      <c r="AR20" s="367">
        <f>'Reported Rev.. Split'!T35</f>
        <v>31</v>
      </c>
      <c r="AS20" s="897">
        <f>AS10*AS21</f>
        <v>25.2</v>
      </c>
      <c r="AT20" s="53">
        <f>'Reported Rev.. Split'!D35</f>
        <v>220</v>
      </c>
      <c r="AU20" s="53">
        <f>'Reported Rev.. Split'!R35</f>
        <v>59</v>
      </c>
      <c r="AV20" s="53">
        <f>'Reported Rev.. Split'!Q35</f>
        <v>60</v>
      </c>
      <c r="AW20" s="53">
        <f>'Reported Rev.. Split'!P35</f>
        <v>50</v>
      </c>
      <c r="AX20" s="53">
        <f>'Reported Rev.. Split'!O35</f>
        <v>55</v>
      </c>
      <c r="AY20" s="53">
        <f>AU20+AV20+AW20+AX20</f>
        <v>224</v>
      </c>
      <c r="AZ20" s="62">
        <f>'Reported Rev.. Split'!N35</f>
        <v>62</v>
      </c>
      <c r="BA20" s="1122">
        <f>'Reported Rev.. Split'!M35</f>
        <v>54</v>
      </c>
      <c r="BB20" s="1073">
        <v>120</v>
      </c>
      <c r="BC20" s="1051">
        <f>AZ20+BA20+BB20</f>
        <v>236</v>
      </c>
      <c r="BD20" s="982">
        <f t="shared" ref="BD20:BE20" si="26">BD10*BD21</f>
        <v>256.96749000000005</v>
      </c>
      <c r="BE20" s="982">
        <f t="shared" si="26"/>
        <v>290.57093100000003</v>
      </c>
      <c r="BG20" s="62">
        <f>BC20-AT20</f>
        <v>16</v>
      </c>
      <c r="BH20" s="62"/>
    </row>
    <row r="21" spans="1:60" ht="24.75" customHeight="1" x14ac:dyDescent="0.2">
      <c r="A21" s="647" t="s">
        <v>600</v>
      </c>
      <c r="B21" s="69"/>
      <c r="C21" s="53"/>
      <c r="D21" s="53"/>
      <c r="E21" s="53"/>
      <c r="F21" s="53"/>
      <c r="G21" s="53"/>
      <c r="H21" s="53"/>
      <c r="I21" s="53"/>
      <c r="J21" s="53"/>
      <c r="K21" s="53"/>
      <c r="L21" s="53"/>
      <c r="M21" s="53"/>
      <c r="N21" s="53"/>
      <c r="O21" s="53"/>
      <c r="P21" s="53"/>
      <c r="Q21" s="69"/>
      <c r="R21" s="53"/>
      <c r="S21" s="53"/>
      <c r="T21" s="53"/>
      <c r="U21" s="53"/>
      <c r="V21" s="69"/>
      <c r="W21" s="140"/>
      <c r="X21" s="69"/>
      <c r="Y21" s="62"/>
      <c r="Z21" s="53"/>
      <c r="AA21" s="69"/>
      <c r="AB21" s="53"/>
      <c r="AC21" s="140"/>
      <c r="AD21" s="140"/>
      <c r="AE21" s="53"/>
      <c r="AF21" s="69"/>
      <c r="AG21" s="53"/>
      <c r="AH21" s="774">
        <f t="shared" ref="AH21:AK21" si="27">AH20/AH10</f>
        <v>0.21692169216921692</v>
      </c>
      <c r="AI21" s="774">
        <f t="shared" si="27"/>
        <v>0.20949957591178966</v>
      </c>
      <c r="AJ21" s="774">
        <f t="shared" si="27"/>
        <v>0.23419203747072601</v>
      </c>
      <c r="AK21" s="774">
        <f t="shared" si="27"/>
        <v>0.25860749808722266</v>
      </c>
      <c r="AL21" s="774">
        <f t="shared" ref="AL21:AP21" si="28">AL20/AL10</f>
        <v>0.24396135265700483</v>
      </c>
      <c r="AM21" s="774">
        <f t="shared" si="28"/>
        <v>0.27170518425983758</v>
      </c>
      <c r="AN21" s="775">
        <f t="shared" ref="AN21" si="29">AN20/AN10</f>
        <v>0.38524590163934425</v>
      </c>
      <c r="AO21" s="774">
        <f t="shared" si="28"/>
        <v>0.36154289004029938</v>
      </c>
      <c r="AP21" s="774">
        <f t="shared" si="28"/>
        <v>0.25641025641025639</v>
      </c>
      <c r="AQ21" s="880">
        <f t="shared" ref="AQ21:AR21" si="30">AQ20/AQ10</f>
        <v>0.20202020202020202</v>
      </c>
      <c r="AR21" s="913">
        <f t="shared" si="30"/>
        <v>0.11742424242424243</v>
      </c>
      <c r="AS21" s="900">
        <v>0.105</v>
      </c>
      <c r="AT21" s="880">
        <f>AT20/AT10</f>
        <v>0.1824212271973466</v>
      </c>
      <c r="AU21" s="880">
        <f t="shared" ref="AU21:AV21" si="31">AU20/AU10</f>
        <v>0.1782477341389728</v>
      </c>
      <c r="AV21" s="880">
        <f t="shared" si="31"/>
        <v>0.1941747572815534</v>
      </c>
      <c r="AW21" s="880">
        <f t="shared" ref="AW21:BA21" si="32">AW20/AW10</f>
        <v>0.16393442622950818</v>
      </c>
      <c r="AX21" s="880">
        <f t="shared" si="32"/>
        <v>0.2</v>
      </c>
      <c r="AY21" s="880">
        <f t="shared" si="32"/>
        <v>0.18360655737704917</v>
      </c>
      <c r="AZ21" s="1028">
        <f t="shared" si="32"/>
        <v>0.18343195266272189</v>
      </c>
      <c r="BA21" s="1071">
        <f t="shared" si="32"/>
        <v>0.17142857142857143</v>
      </c>
      <c r="BB21" s="1072">
        <f t="shared" ref="BB21" si="33">BB20/BB10</f>
        <v>0.19157088122605362</v>
      </c>
      <c r="BC21" s="1052">
        <f>BC20/BC10</f>
        <v>0.1844614663123339</v>
      </c>
      <c r="BD21" s="983">
        <v>0.19500000000000001</v>
      </c>
      <c r="BE21" s="983">
        <v>0.21</v>
      </c>
    </row>
    <row r="22" spans="1:60" ht="15" x14ac:dyDescent="0.2">
      <c r="A22" s="64" t="s">
        <v>792</v>
      </c>
      <c r="B22" s="69"/>
      <c r="C22" s="53"/>
      <c r="D22" s="53"/>
      <c r="E22" s="53"/>
      <c r="F22" s="53"/>
      <c r="G22" s="53"/>
      <c r="H22" s="53"/>
      <c r="I22" s="53" t="e">
        <f>#REF!</f>
        <v>#REF!</v>
      </c>
      <c r="J22" s="53" t="e">
        <f>#REF!</f>
        <v>#REF!</v>
      </c>
      <c r="K22" s="53" t="e">
        <f>#REF!</f>
        <v>#REF!</v>
      </c>
      <c r="L22" s="53" t="e">
        <f>#REF!</f>
        <v>#REF!</v>
      </c>
      <c r="M22" s="53" t="e">
        <f>#REF!</f>
        <v>#REF!</v>
      </c>
      <c r="N22" s="53" t="e">
        <f>#REF!</f>
        <v>#REF!</v>
      </c>
      <c r="O22" s="53" t="e">
        <f>#REF!</f>
        <v>#REF!</v>
      </c>
      <c r="P22" s="53" t="e">
        <f>#REF!</f>
        <v>#REF!</v>
      </c>
      <c r="Q22" s="69" t="e">
        <f>R22-(N22+O22+P22)</f>
        <v>#REF!</v>
      </c>
      <c r="R22" s="53" t="e">
        <f>R11*#REF!</f>
        <v>#REF!</v>
      </c>
      <c r="S22" s="53" t="e">
        <f>#REF!</f>
        <v>#REF!</v>
      </c>
      <c r="T22" s="53" t="e">
        <f>#REF!</f>
        <v>#REF!</v>
      </c>
      <c r="U22" s="53" t="e">
        <f>#REF!</f>
        <v>#REF!</v>
      </c>
      <c r="V22" s="69" t="e">
        <f>W22-(S22+T22+U22)</f>
        <v>#REF!</v>
      </c>
      <c r="W22" s="69" t="e">
        <f>W11*#REF!</f>
        <v>#REF!</v>
      </c>
      <c r="X22" s="69" t="e">
        <f>#REF!</f>
        <v>#REF!</v>
      </c>
      <c r="Y22" s="62" t="e">
        <f>#REF!</f>
        <v>#REF!</v>
      </c>
      <c r="Z22" s="53" t="e">
        <f>#REF!</f>
        <v>#REF!</v>
      </c>
      <c r="AA22" s="69" t="e">
        <f>AB22-(X22+Y22+Z22)</f>
        <v>#REF!</v>
      </c>
      <c r="AB22" s="53" t="e">
        <f>#REF!-11</f>
        <v>#REF!</v>
      </c>
      <c r="AC22" s="53" t="e">
        <f>#REF!</f>
        <v>#REF!</v>
      </c>
      <c r="AD22" s="140" t="e">
        <f>#REF!</f>
        <v>#REF!</v>
      </c>
      <c r="AE22" s="140" t="e">
        <f>#REF!</f>
        <v>#REF!</v>
      </c>
      <c r="AF22" s="140" t="e">
        <f>#REF!</f>
        <v>#REF!</v>
      </c>
      <c r="AG22" s="140" t="e">
        <f>#REF!</f>
        <v>#REF!</v>
      </c>
      <c r="AH22" s="69">
        <f>'Reported Rev.. Split'!K36</f>
        <v>28</v>
      </c>
      <c r="AI22" s="69">
        <f>'Reported Rev.. Split'!J36</f>
        <v>29</v>
      </c>
      <c r="AJ22" s="69">
        <f>'Reported Rev.. Split'!I36</f>
        <v>29</v>
      </c>
      <c r="AK22" s="69">
        <f>'Reported Rev.. Split'!H36</f>
        <v>21</v>
      </c>
      <c r="AL22" s="69">
        <f>'Reported Rev.. Split'!G36</f>
        <v>40</v>
      </c>
      <c r="AM22" s="69">
        <f>'Reported Rev.. Split'!F36</f>
        <v>121</v>
      </c>
      <c r="AN22" s="764">
        <f>'Reported Rev.. Split'!W36</f>
        <v>93</v>
      </c>
      <c r="AO22" s="69">
        <f>'Reported Rev.. Split'!E36</f>
        <v>378</v>
      </c>
      <c r="AP22" s="69">
        <f>'Reported Rev.. Split'!V36</f>
        <v>32</v>
      </c>
      <c r="AQ22" s="53">
        <f>'Reported Rev.. Split'!U36</f>
        <v>4</v>
      </c>
      <c r="AR22" s="367">
        <f>'Reported Rev.. Split'!T36</f>
        <v>20</v>
      </c>
      <c r="AS22" s="897">
        <f>AS11*AS23</f>
        <v>18.55</v>
      </c>
      <c r="AT22" s="53">
        <f>'Reported Rev.. Split'!D36</f>
        <v>51</v>
      </c>
      <c r="AU22" s="53">
        <f>'Reported Rev.. Split'!R36</f>
        <v>23</v>
      </c>
      <c r="AV22" s="53">
        <f>'Reported Rev.. Split'!Q36</f>
        <v>25</v>
      </c>
      <c r="AW22" s="53">
        <f>'Reported Rev.. Split'!P36</f>
        <v>49</v>
      </c>
      <c r="AX22" s="53">
        <f>'Reported Rev.. Split'!O36</f>
        <v>31</v>
      </c>
      <c r="AY22" s="53">
        <f>AU22+AV22+AW22+AX22</f>
        <v>128</v>
      </c>
      <c r="AZ22" s="62">
        <f>'Reported Rev.. Split'!N36</f>
        <v>28</v>
      </c>
      <c r="BA22" s="1122">
        <f>'Reported Rev.. Split'!M36</f>
        <v>35</v>
      </c>
      <c r="BB22" s="1073">
        <v>67</v>
      </c>
      <c r="BC22" s="1051">
        <f>AZ22+BA22+BB22</f>
        <v>130</v>
      </c>
      <c r="BD22" s="982">
        <f t="shared" ref="BD22:BE22" si="34">BD11*BD23</f>
        <v>158.55528000000001</v>
      </c>
      <c r="BE22" s="982">
        <f t="shared" si="34"/>
        <v>186.88382336000004</v>
      </c>
      <c r="BG22" s="62">
        <f>BC22-AT22</f>
        <v>79</v>
      </c>
      <c r="BH22" s="62"/>
    </row>
    <row r="23" spans="1:60" ht="27" customHeight="1" x14ac:dyDescent="0.2">
      <c r="A23" s="647" t="s">
        <v>794</v>
      </c>
      <c r="B23" s="69"/>
      <c r="C23" s="53"/>
      <c r="D23" s="53"/>
      <c r="E23" s="53"/>
      <c r="F23" s="53"/>
      <c r="G23" s="53"/>
      <c r="H23" s="53"/>
      <c r="I23" s="53"/>
      <c r="J23" s="53"/>
      <c r="K23" s="53"/>
      <c r="L23" s="53"/>
      <c r="M23" s="53"/>
      <c r="N23" s="53"/>
      <c r="O23" s="53"/>
      <c r="P23" s="53"/>
      <c r="Q23" s="69"/>
      <c r="R23" s="53"/>
      <c r="S23" s="53"/>
      <c r="T23" s="53"/>
      <c r="U23" s="53"/>
      <c r="V23" s="69"/>
      <c r="W23" s="140"/>
      <c r="X23" s="69"/>
      <c r="Y23" s="62"/>
      <c r="Z23" s="53"/>
      <c r="AA23" s="69"/>
      <c r="AB23" s="53"/>
      <c r="AC23" s="140"/>
      <c r="AD23" s="140"/>
      <c r="AE23" s="53"/>
      <c r="AF23" s="69"/>
      <c r="AG23" s="53"/>
      <c r="AH23" s="774">
        <f t="shared" ref="AH23:AK23" si="35">AH22/AH11</f>
        <v>4.4303797468354431E-2</v>
      </c>
      <c r="AI23" s="774">
        <f t="shared" si="35"/>
        <v>4.3219076005961254E-2</v>
      </c>
      <c r="AJ23" s="774">
        <f t="shared" si="35"/>
        <v>4.0333796940194712E-2</v>
      </c>
      <c r="AK23" s="774">
        <f t="shared" si="35"/>
        <v>3.0042918454935622E-2</v>
      </c>
      <c r="AL23" s="774">
        <f t="shared" ref="AL23:AP23" si="36">AL22/AL11</f>
        <v>5.5944055944055944E-2</v>
      </c>
      <c r="AM23" s="774">
        <f t="shared" si="36"/>
        <v>9.8694942903752039E-2</v>
      </c>
      <c r="AN23" s="775">
        <f t="shared" ref="AN23" si="37">AN22/AN11</f>
        <v>0.1672661870503597</v>
      </c>
      <c r="AO23" s="774">
        <f t="shared" si="36"/>
        <v>0.15909090909090909</v>
      </c>
      <c r="AP23" s="774">
        <f t="shared" si="36"/>
        <v>5.7866184448462928E-2</v>
      </c>
      <c r="AQ23" s="880">
        <f t="shared" ref="AQ23:AR23" si="38">AQ22/AQ11</f>
        <v>8.4566596194503175E-3</v>
      </c>
      <c r="AR23" s="913">
        <f t="shared" si="38"/>
        <v>3.6630036630036632E-2</v>
      </c>
      <c r="AS23" s="900">
        <v>3.5000000000000003E-2</v>
      </c>
      <c r="AT23" s="880">
        <f>AT22/AT11</f>
        <v>2.4914509037616023E-2</v>
      </c>
      <c r="AU23" s="880">
        <f t="shared" ref="AU23:AV23" si="39">AU22/AU11</f>
        <v>4.852320675105485E-2</v>
      </c>
      <c r="AV23" s="880">
        <f t="shared" si="39"/>
        <v>5.112474437627812E-2</v>
      </c>
      <c r="AW23" s="880">
        <f t="shared" ref="AW23:BA23" si="40">AW22/AW11</f>
        <v>9.1760299625468167E-2</v>
      </c>
      <c r="AX23" s="880">
        <f t="shared" si="40"/>
        <v>7.1264367816091953E-2</v>
      </c>
      <c r="AY23" s="880">
        <f t="shared" si="40"/>
        <v>6.6252587991718431E-2</v>
      </c>
      <c r="AZ23" s="1028">
        <f t="shared" si="40"/>
        <v>5.7026476578411409E-2</v>
      </c>
      <c r="BA23" s="1071">
        <f t="shared" si="40"/>
        <v>6.5543071161048683E-2</v>
      </c>
      <c r="BB23" s="1072">
        <f t="shared" ref="BB23" si="41">BB22/BB11</f>
        <v>6.6484083511947289E-2</v>
      </c>
      <c r="BC23" s="1052">
        <f>BC22/BC11</f>
        <v>6.3952458726067016E-2</v>
      </c>
      <c r="BD23" s="983">
        <v>7.4999999999999997E-2</v>
      </c>
      <c r="BE23" s="983">
        <v>8.5000000000000006E-2</v>
      </c>
    </row>
    <row r="24" spans="1:60" ht="15" x14ac:dyDescent="0.2">
      <c r="A24" s="64" t="s">
        <v>86</v>
      </c>
      <c r="B24" s="69"/>
      <c r="C24" s="53"/>
      <c r="D24" s="53"/>
      <c r="E24" s="53"/>
      <c r="F24" s="53"/>
      <c r="G24" s="53"/>
      <c r="H24" s="53"/>
      <c r="I24" s="53" t="e">
        <f>#REF!+#REF!</f>
        <v>#REF!</v>
      </c>
      <c r="J24" s="53" t="e">
        <f>#REF!+#REF!</f>
        <v>#REF!</v>
      </c>
      <c r="K24" s="53" t="e">
        <f>#REF!+#REF!</f>
        <v>#REF!</v>
      </c>
      <c r="L24" s="53" t="e">
        <f>#REF!+#REF!</f>
        <v>#REF!</v>
      </c>
      <c r="M24" s="53" t="e">
        <f>#REF!+#REF!</f>
        <v>#REF!</v>
      </c>
      <c r="N24" s="53" t="e">
        <f>#REF!+#REF!</f>
        <v>#REF!</v>
      </c>
      <c r="O24" s="53" t="e">
        <f>#REF!+#REF!</f>
        <v>#REF!</v>
      </c>
      <c r="P24" s="53" t="e">
        <f>#REF!+#REF!</f>
        <v>#REF!</v>
      </c>
      <c r="Q24" s="53" t="e">
        <f>#REF!+#REF!</f>
        <v>#REF!</v>
      </c>
      <c r="R24" s="53" t="e">
        <f>#REF!+#REF!</f>
        <v>#REF!</v>
      </c>
      <c r="S24" s="53" t="e">
        <f>#REF!+#REF!</f>
        <v>#REF!</v>
      </c>
      <c r="T24" s="53" t="e">
        <f>#REF!+#REF!</f>
        <v>#REF!</v>
      </c>
      <c r="U24" s="53" t="e">
        <f>#REF!+#REF!</f>
        <v>#REF!</v>
      </c>
      <c r="V24" s="53" t="e">
        <f>#REF!+#REF!</f>
        <v>#REF!</v>
      </c>
      <c r="W24" s="69" t="e">
        <f>W12*#REF!</f>
        <v>#REF!</v>
      </c>
      <c r="X24" s="69" t="e">
        <f>#REF!+#REF!</f>
        <v>#REF!</v>
      </c>
      <c r="Y24" s="62" t="e">
        <f>#REF!+#REF!</f>
        <v>#REF!</v>
      </c>
      <c r="Z24" s="53" t="e">
        <f>#REF!+#REF!</f>
        <v>#REF!</v>
      </c>
      <c r="AA24" s="69" t="e">
        <f>AB24-(X24+Y24+Z24)</f>
        <v>#REF!</v>
      </c>
      <c r="AB24" s="53" t="e">
        <f>#REF!+#REF!</f>
        <v>#REF!</v>
      </c>
      <c r="AC24" s="53" t="e">
        <f>#REF!+#REF!</f>
        <v>#REF!</v>
      </c>
      <c r="AD24" s="140" t="e">
        <f>#REF!+#REF!</f>
        <v>#REF!</v>
      </c>
      <c r="AE24" s="140" t="e">
        <f>#REF!+#REF!</f>
        <v>#REF!</v>
      </c>
      <c r="AF24" s="140" t="e">
        <f>#REF!+#REF!</f>
        <v>#REF!</v>
      </c>
      <c r="AG24" s="140" t="e">
        <f>#REF!+#REF!</f>
        <v>#REF!</v>
      </c>
      <c r="AH24" s="69">
        <f>'Reported Rev.. Split'!K37</f>
        <v>41</v>
      </c>
      <c r="AI24" s="69">
        <f>'Reported Rev.. Split'!J37</f>
        <v>127</v>
      </c>
      <c r="AJ24" s="69">
        <f>'Reported Rev.. Split'!I37</f>
        <v>9</v>
      </c>
      <c r="AK24" s="69">
        <f>'Reported Rev.. Split'!H37</f>
        <v>19</v>
      </c>
      <c r="AL24" s="69">
        <f>'Reported Rev.. Split'!G37</f>
        <v>-5</v>
      </c>
      <c r="AM24" s="69">
        <f>'Reported Rev.. Split'!F37</f>
        <v>-8</v>
      </c>
      <c r="AN24" s="764">
        <f>'Reported Rev.. Split'!W37+'Reported Rev.. Split'!W38</f>
        <v>-11</v>
      </c>
      <c r="AO24" s="69">
        <f>'Reported Rev.. Split'!E37</f>
        <v>-9</v>
      </c>
      <c r="AP24" s="69">
        <f>'Reported Rev.. Split'!V37</f>
        <v>-2</v>
      </c>
      <c r="AQ24" s="53">
        <f>'Reported Rev.. Split'!U37</f>
        <v>-3</v>
      </c>
      <c r="AR24" s="367">
        <f>'Reported Rev.. Split'!T37</f>
        <v>-7</v>
      </c>
      <c r="AS24" s="897">
        <f>-5</f>
        <v>-5</v>
      </c>
      <c r="AT24" s="53">
        <f>'Reported Rev.. Split'!D37</f>
        <v>-34</v>
      </c>
      <c r="AU24" s="53">
        <f>'Reported Rev.. Split'!R37</f>
        <v>-3</v>
      </c>
      <c r="AV24" s="53">
        <f>'Reported Rev.. Split'!Q37</f>
        <v>-4</v>
      </c>
      <c r="AW24" s="53">
        <f>'Reported Rev.. Split'!P37</f>
        <v>-7</v>
      </c>
      <c r="AX24" s="53">
        <f>'Reported Rev.. Split'!O37</f>
        <v>-8</v>
      </c>
      <c r="AY24" s="53">
        <f>AU24+AV24+AW24+AX24</f>
        <v>-22</v>
      </c>
      <c r="AZ24" s="62">
        <f>'Reported Rev.. Split'!N37</f>
        <v>-3</v>
      </c>
      <c r="BA24" s="1122">
        <f>'Reported Rev.. Split'!M37</f>
        <v>-2</v>
      </c>
      <c r="BB24" s="1073">
        <f>BA24*2</f>
        <v>-4</v>
      </c>
      <c r="BC24" s="984">
        <f>AZ24+BA24+BB24</f>
        <v>-9</v>
      </c>
      <c r="BD24" s="982">
        <f>BC24</f>
        <v>-9</v>
      </c>
      <c r="BE24" s="982">
        <f>BD24</f>
        <v>-9</v>
      </c>
      <c r="BG24" s="62">
        <f>BC24-AT24</f>
        <v>25</v>
      </c>
    </row>
    <row r="25" spans="1:60" ht="30" x14ac:dyDescent="0.2">
      <c r="A25" s="64" t="s">
        <v>894</v>
      </c>
      <c r="B25" s="69"/>
      <c r="C25" s="53"/>
      <c r="D25" s="53"/>
      <c r="E25" s="53"/>
      <c r="F25" s="53"/>
      <c r="G25" s="53"/>
      <c r="H25" s="53"/>
      <c r="I25" s="53" t="e">
        <f>#REF!+#REF!</f>
        <v>#REF!</v>
      </c>
      <c r="J25" s="53" t="e">
        <f>#REF!+#REF!</f>
        <v>#REF!</v>
      </c>
      <c r="K25" s="53" t="e">
        <f>#REF!+#REF!</f>
        <v>#REF!</v>
      </c>
      <c r="L25" s="53" t="e">
        <f>#REF!+#REF!</f>
        <v>#REF!</v>
      </c>
      <c r="M25" s="53" t="e">
        <f>#REF!+#REF!</f>
        <v>#REF!</v>
      </c>
      <c r="N25" s="53" t="e">
        <f>#REF!+#REF!</f>
        <v>#REF!</v>
      </c>
      <c r="O25" s="53" t="e">
        <f>#REF!+#REF!</f>
        <v>#REF!</v>
      </c>
      <c r="P25" s="53" t="e">
        <f>#REF!+#REF!</f>
        <v>#REF!</v>
      </c>
      <c r="Q25" s="53" t="e">
        <f>#REF!+#REF!</f>
        <v>#REF!</v>
      </c>
      <c r="R25" s="53" t="e">
        <f>#REF!+#REF!</f>
        <v>#REF!</v>
      </c>
      <c r="S25" s="53" t="e">
        <f>#REF!+#REF!</f>
        <v>#REF!</v>
      </c>
      <c r="T25" s="53" t="e">
        <f>#REF!+#REF!</f>
        <v>#REF!</v>
      </c>
      <c r="U25" s="53" t="e">
        <f>#REF!+#REF!</f>
        <v>#REF!</v>
      </c>
      <c r="V25" s="53" t="e">
        <f>#REF!+#REF!</f>
        <v>#REF!</v>
      </c>
      <c r="W25" s="69" t="e">
        <f>W13*#REF!</f>
        <v>#REF!</v>
      </c>
      <c r="X25" s="69" t="e">
        <f>#REF!+#REF!</f>
        <v>#REF!</v>
      </c>
      <c r="Y25" s="62" t="e">
        <f>#REF!+#REF!</f>
        <v>#REF!</v>
      </c>
      <c r="Z25" s="53" t="e">
        <f>#REF!+#REF!</f>
        <v>#REF!</v>
      </c>
      <c r="AA25" s="69" t="e">
        <f>AB25-(X25+Y25+Z25)</f>
        <v>#REF!</v>
      </c>
      <c r="AB25" s="53" t="e">
        <f>#REF!+#REF!</f>
        <v>#REF!</v>
      </c>
      <c r="AC25" s="53" t="e">
        <f>#REF!+#REF!</f>
        <v>#REF!</v>
      </c>
      <c r="AD25" s="140" t="e">
        <f>#REF!+#REF!</f>
        <v>#REF!</v>
      </c>
      <c r="AE25" s="140" t="e">
        <f>#REF!+#REF!</f>
        <v>#REF!</v>
      </c>
      <c r="AF25" s="140" t="e">
        <f>#REF!+#REF!</f>
        <v>#REF!</v>
      </c>
      <c r="AG25" s="140" t="e">
        <f>#REF!+#REF!</f>
        <v>#REF!</v>
      </c>
      <c r="AH25" s="53">
        <f>'Reported Rev.. Split'!K38+'Reported Rev.. Split'!K40</f>
        <v>-360</v>
      </c>
      <c r="AI25" s="53">
        <f>'Reported Rev.. Split'!J38+'Reported Rev.. Split'!J40</f>
        <v>-25</v>
      </c>
      <c r="AJ25" s="53">
        <f>'Reported Rev.. Split'!I38+'Reported Rev.. Split'!I40</f>
        <v>753</v>
      </c>
      <c r="AK25" s="53">
        <f>'Reported Rev.. Split'!H38+'Reported Rev.. Split'!H40</f>
        <v>-11</v>
      </c>
      <c r="AL25" s="53">
        <f>'Reported Rev.. Split'!G38+'Reported Rev.. Split'!G40</f>
        <v>-322</v>
      </c>
      <c r="AM25" s="53">
        <f>'Reported Rev.. Split'!F38+'Reported Rev.. Split'!F40</f>
        <v>-44</v>
      </c>
      <c r="AN25" s="764"/>
      <c r="AO25" s="53">
        <f>'Reported Rev.. Split'!E38+'Reported Rev.. Split'!E40</f>
        <v>-80</v>
      </c>
      <c r="AP25" s="53">
        <f>'Reported Rev.. Split'!V38+'Reported Rev.. Split'!V40</f>
        <v>-24</v>
      </c>
      <c r="AQ25" s="53">
        <f>'Reported Rev.. Split'!U38+'Reported Rev.. Split'!U40</f>
        <v>1</v>
      </c>
      <c r="AR25" s="367">
        <f>'Reported Rev.. Split'!T38+'Reported Rev.. Split'!T40</f>
        <v>-11</v>
      </c>
      <c r="AS25" s="897">
        <v>-5</v>
      </c>
      <c r="AT25" s="53">
        <f>'Reported Rev.. Split'!D38+'Reported Rev.. Split'!D40</f>
        <v>-114</v>
      </c>
      <c r="AU25" s="53">
        <f>'Reported Rev.. Split'!R38+'Reported Rev.. Split'!R40</f>
        <v>-22</v>
      </c>
      <c r="AV25" s="53">
        <f>'Reported Rev.. Split'!Q38+'Reported Rev.. Split'!Q40</f>
        <v>-23</v>
      </c>
      <c r="AW25" s="53">
        <f>'Reported Rev.. Split'!P38+'Reported Rev.. Split'!P40</f>
        <v>-37</v>
      </c>
      <c r="AX25" s="53">
        <f>'Reported Rev.. Split'!O38+'Reported Rev.. Split'!O40</f>
        <v>-81</v>
      </c>
      <c r="AY25" s="53">
        <f>AU25+AV25+AW25+AX25</f>
        <v>-163</v>
      </c>
      <c r="AZ25" s="62">
        <f>'Reported Rev.. Split'!N38+'Reported Rev.. Split'!N40</f>
        <v>-49</v>
      </c>
      <c r="BA25" s="1122">
        <f>'Reported Rev.. Split'!M38+'Reported Rev.. Split'!M40</f>
        <v>-48</v>
      </c>
      <c r="BB25" s="1074">
        <f>BA25*2</f>
        <v>-96</v>
      </c>
      <c r="BC25" s="984">
        <f>AZ25+BA25+BB25</f>
        <v>-193</v>
      </c>
      <c r="BD25" s="985">
        <f>BC25</f>
        <v>-193</v>
      </c>
      <c r="BE25" s="985">
        <f>BD25</f>
        <v>-193</v>
      </c>
      <c r="BG25" s="62">
        <f>BC25-AT25</f>
        <v>-79</v>
      </c>
    </row>
    <row r="26" spans="1:60" ht="15" x14ac:dyDescent="0.2">
      <c r="A26" s="772" t="s">
        <v>101</v>
      </c>
      <c r="B26" s="659"/>
      <c r="C26" s="497"/>
      <c r="D26" s="497"/>
      <c r="E26" s="497"/>
      <c r="F26" s="497"/>
      <c r="G26" s="497"/>
      <c r="H26" s="497"/>
      <c r="I26" s="491" t="e">
        <f>I16+I18+I20+I22+I24</f>
        <v>#REF!</v>
      </c>
      <c r="J26" s="491" t="e">
        <f>J16+J18+J20+J22+J24</f>
        <v>#REF!</v>
      </c>
      <c r="K26" s="491" t="e">
        <f>K16+K18+K20+K22+K24</f>
        <v>#REF!</v>
      </c>
      <c r="L26" s="491" t="e">
        <f>L16+L18+L20+L22+L24</f>
        <v>#REF!</v>
      </c>
      <c r="M26" s="491" t="e">
        <f>M16+M18+M20+M22+M24</f>
        <v>#REF!</v>
      </c>
      <c r="N26" s="491" t="e">
        <f>#REF!</f>
        <v>#REF!</v>
      </c>
      <c r="O26" s="491" t="e">
        <f>#REF!</f>
        <v>#REF!</v>
      </c>
      <c r="P26" s="491" t="e">
        <f>#REF!</f>
        <v>#REF!</v>
      </c>
      <c r="Q26" s="491" t="e">
        <f>Q16+Q18+Q20+Q22</f>
        <v>#REF!</v>
      </c>
      <c r="R26" s="491" t="e">
        <f>R16+R18+R20+R22+R24</f>
        <v>#REF!</v>
      </c>
      <c r="S26" s="491" t="e">
        <f>#REF!</f>
        <v>#REF!</v>
      </c>
      <c r="T26" s="491" t="e">
        <f>#REF!</f>
        <v>#REF!</v>
      </c>
      <c r="U26" s="491" t="e">
        <f>#REF!</f>
        <v>#REF!</v>
      </c>
      <c r="V26" s="491" t="e">
        <f>V16+V18+V20+V22</f>
        <v>#REF!</v>
      </c>
      <c r="W26" s="491" t="e">
        <f>W16+W18+W20+W22+W24</f>
        <v>#REF!</v>
      </c>
      <c r="X26" s="491" t="e">
        <f>#REF!</f>
        <v>#REF!</v>
      </c>
      <c r="Y26" s="491" t="e">
        <f>#REF!</f>
        <v>#REF!</v>
      </c>
      <c r="Z26" s="491" t="e">
        <f>#REF!</f>
        <v>#REF!</v>
      </c>
      <c r="AA26" s="491" t="e">
        <f>AA16+AA18+AA20+AA22</f>
        <v>#REF!</v>
      </c>
      <c r="AB26" s="491" t="e">
        <f>AB16+AB18+AB20+AB22+AB24</f>
        <v>#REF!</v>
      </c>
      <c r="AC26" s="491" t="e">
        <f>#REF!</f>
        <v>#REF!</v>
      </c>
      <c r="AD26" s="491" t="e">
        <f>#REF!</f>
        <v>#REF!</v>
      </c>
      <c r="AE26" s="491" t="e">
        <f>#REF!</f>
        <v>#REF!</v>
      </c>
      <c r="AF26" s="491" t="e">
        <f>AF16+AF18+AF20+AF22</f>
        <v>#REF!</v>
      </c>
      <c r="AG26" s="491" t="e">
        <f>AG16+AG18+AG20+AG22+AG24</f>
        <v>#REF!</v>
      </c>
      <c r="AH26" s="877">
        <f t="shared" ref="AH26:AM26" si="42">AH16+AH18+AH20+AH22+AH24+AH25</f>
        <v>270</v>
      </c>
      <c r="AI26" s="877">
        <f t="shared" si="42"/>
        <v>629</v>
      </c>
      <c r="AJ26" s="877">
        <f t="shared" si="42"/>
        <v>1519</v>
      </c>
      <c r="AK26" s="877">
        <f t="shared" si="42"/>
        <v>756</v>
      </c>
      <c r="AL26" s="877">
        <f t="shared" si="42"/>
        <v>202</v>
      </c>
      <c r="AM26" s="877">
        <f t="shared" si="42"/>
        <v>1210</v>
      </c>
      <c r="AN26" s="762">
        <f t="shared" ref="AN26" si="43">AN16+AN18+AN20+AN22+AN24</f>
        <v>880</v>
      </c>
      <c r="AO26" s="877">
        <f t="shared" ref="AO26:BD26" si="44">AO16+AO18+AO20+AO22+AO24+AO25</f>
        <v>3516</v>
      </c>
      <c r="AP26" s="877">
        <f t="shared" si="44"/>
        <v>465</v>
      </c>
      <c r="AQ26" s="877">
        <f t="shared" si="44"/>
        <v>300</v>
      </c>
      <c r="AR26" s="762">
        <f t="shared" si="44"/>
        <v>227</v>
      </c>
      <c r="AS26" s="927">
        <f t="shared" si="44"/>
        <v>227.3</v>
      </c>
      <c r="AT26" s="877">
        <f t="shared" si="44"/>
        <v>1141</v>
      </c>
      <c r="AU26" s="877">
        <f t="shared" ref="AU26:AY26" si="45">AU16+AU18+AU20+AU22+AU24+AU25</f>
        <v>203</v>
      </c>
      <c r="AV26" s="877">
        <f t="shared" si="45"/>
        <v>211</v>
      </c>
      <c r="AW26" s="877">
        <f t="shared" si="45"/>
        <v>214</v>
      </c>
      <c r="AX26" s="877">
        <f t="shared" si="45"/>
        <v>147</v>
      </c>
      <c r="AY26" s="877">
        <f t="shared" si="45"/>
        <v>775</v>
      </c>
      <c r="AZ26" s="866">
        <f t="shared" ref="AZ26:BA26" si="46">AZ16+AZ18+AZ20+AZ22+AZ24+AZ25</f>
        <v>185</v>
      </c>
      <c r="BA26" s="927">
        <f t="shared" si="46"/>
        <v>181</v>
      </c>
      <c r="BB26" s="1065">
        <f t="shared" ref="BB26" si="47">BB16+BB18+BB20+BB22+BB24+BB25</f>
        <v>529.37889773423149</v>
      </c>
      <c r="BC26" s="866">
        <f>AZ26+BA26+BB26</f>
        <v>895.37889773423149</v>
      </c>
      <c r="BD26" s="492">
        <f t="shared" si="44"/>
        <v>1039.7800845423592</v>
      </c>
      <c r="BE26" s="492">
        <f t="shared" ref="BE26" si="48">BE16+BE18+BE20+BE22+BE24+BE25</f>
        <v>1020.26367802</v>
      </c>
      <c r="BG26" s="62">
        <f>BC26-AT26</f>
        <v>-245.62110226576851</v>
      </c>
      <c r="BH26" s="62"/>
    </row>
    <row r="27" spans="1:60" ht="15" x14ac:dyDescent="0.2">
      <c r="A27" s="64" t="s">
        <v>85</v>
      </c>
      <c r="B27" s="69"/>
      <c r="C27" s="53"/>
      <c r="D27" s="53"/>
      <c r="E27" s="53"/>
      <c r="F27" s="53"/>
      <c r="G27" s="53"/>
      <c r="H27" s="53"/>
      <c r="I27" s="53" t="e">
        <f>#REF!</f>
        <v>#REF!</v>
      </c>
      <c r="J27" s="53" t="e">
        <f>#REF!</f>
        <v>#REF!</v>
      </c>
      <c r="K27" s="53" t="e">
        <f>#REF!</f>
        <v>#REF!</v>
      </c>
      <c r="L27" s="53" t="e">
        <f>#REF!</f>
        <v>#REF!</v>
      </c>
      <c r="M27" s="53" t="e">
        <f>#REF!</f>
        <v>#REF!</v>
      </c>
      <c r="N27" s="53">
        <f>'השקעה ברכוש קבוע'!AH14</f>
        <v>52.112000000000002</v>
      </c>
      <c r="O27" s="53">
        <f>'השקעה ברכוש קבוע'!AI14</f>
        <v>52.31</v>
      </c>
      <c r="P27" s="53">
        <f>'השקעה ברכוש קבוע'!AJ14</f>
        <v>53.899000000000001</v>
      </c>
      <c r="Q27" s="69">
        <f t="shared" ref="Q27:Q35" si="49">R27-(N27+O27+P27)</f>
        <v>59.074000000000012</v>
      </c>
      <c r="R27" s="53">
        <f>'השקעה ברכוש קבוע'!AL14</f>
        <v>217.39500000000001</v>
      </c>
      <c r="S27" s="53">
        <f>'השקעה ברכוש קבוע'!AM14</f>
        <v>54.893000000000001</v>
      </c>
      <c r="T27" s="69">
        <f>'השקעה ברכוש קבוע'!AN14</f>
        <v>67.620999999999995</v>
      </c>
      <c r="U27" s="69">
        <f>'השקעה ברכוש קבוע'!AO14</f>
        <v>75.096999999999994</v>
      </c>
      <c r="V27" s="69">
        <f t="shared" ref="V27:V35" si="50">W27-(S27+T27+U27)</f>
        <v>69.829000000000008</v>
      </c>
      <c r="W27" s="69">
        <f>'השקעה ברכוש קבוע'!AQ14</f>
        <v>267.44</v>
      </c>
      <c r="X27" s="69">
        <f>'השקעה ברכוש קבוע'!AR14</f>
        <v>72.581999999999994</v>
      </c>
      <c r="Y27" s="69">
        <f>'השקעה ברכוש קבוע'!AS14</f>
        <v>65.244</v>
      </c>
      <c r="Z27" s="69">
        <f>'השקעה ברכוש קבוע'!AT14</f>
        <v>72.468999999999994</v>
      </c>
      <c r="AA27" s="69">
        <f t="shared" ref="AA27:AA35" si="51">AB27-(X27+Y27+Z27)</f>
        <v>76.768000000000001</v>
      </c>
      <c r="AB27" s="54">
        <f>'השקעה ברכוש קבוע'!AV14</f>
        <v>287.06299999999999</v>
      </c>
      <c r="AC27" s="53">
        <f>'השקעה ברכוש קבוע'!AW14</f>
        <v>82.5</v>
      </c>
      <c r="AD27" s="53">
        <f>'השקעה ברכוש קבוע'!AX14</f>
        <v>81.427999999999997</v>
      </c>
      <c r="AE27" s="53">
        <f>'השקעה ברכוש קבוע'!AY14</f>
        <v>81.727000000000004</v>
      </c>
      <c r="AF27" s="53">
        <f>'השקעה ברכוש קבוע'!AZ14</f>
        <v>102.08599999999998</v>
      </c>
      <c r="AG27" s="53">
        <f>'השקעה ברכוש קבוע'!BA14</f>
        <v>347.74099999999999</v>
      </c>
      <c r="AH27" s="54">
        <f>'Reported Rev.. Split'!K69</f>
        <v>406</v>
      </c>
      <c r="AI27" s="54">
        <f>'Reported Rev.. Split'!J69</f>
        <v>391</v>
      </c>
      <c r="AJ27" s="54">
        <f>'Reported Rev.. Split'!I69</f>
        <v>420</v>
      </c>
      <c r="AK27" s="54">
        <f>'Reported Rev.. Split'!H69</f>
        <v>433</v>
      </c>
      <c r="AL27" s="54">
        <f>'Reported Rev.. Split'!G69</f>
        <v>579</v>
      </c>
      <c r="AM27" s="54">
        <f>'Reported Rev.. Split'!F69</f>
        <v>484</v>
      </c>
      <c r="AN27" s="765">
        <f>'IC&amp;CF&amp;BS'!AB46</f>
        <v>122</v>
      </c>
      <c r="AO27" s="188">
        <f>'IC&amp;CF&amp;BS'!E46</f>
        <v>498</v>
      </c>
      <c r="AP27" s="188">
        <f>'IC&amp;CF&amp;BS'!X46</f>
        <v>130</v>
      </c>
      <c r="AQ27" s="54">
        <f>'IC&amp;CF&amp;BS'!W46</f>
        <v>141</v>
      </c>
      <c r="AR27" s="765">
        <f>'IC&amp;CF&amp;BS'!V46</f>
        <v>119</v>
      </c>
      <c r="AS27" s="908">
        <v>120</v>
      </c>
      <c r="AT27" s="1031">
        <f>'IC&amp;CF&amp;BS'!D46</f>
        <v>536</v>
      </c>
      <c r="AU27" s="54">
        <f>'IC&amp;CF&amp;BS'!T46</f>
        <v>147</v>
      </c>
      <c r="AV27" s="463">
        <f>'IC&amp;CF&amp;BS'!S46</f>
        <v>152</v>
      </c>
      <c r="AW27" s="188">
        <f>'IC&amp;CF&amp;BS'!R46</f>
        <v>140</v>
      </c>
      <c r="AX27" s="188">
        <f>'IC&amp;CF&amp;BS'!Q46</f>
        <v>157</v>
      </c>
      <c r="AY27" s="53">
        <f>AU27+AV27+AW27+AX27</f>
        <v>596</v>
      </c>
      <c r="AZ27" s="1031">
        <f>'IC&amp;CF&amp;BS'!P46</f>
        <v>151</v>
      </c>
      <c r="BA27" s="916">
        <f>'IC&amp;CF&amp;BS'!O46</f>
        <v>150</v>
      </c>
      <c r="BB27" s="1069">
        <f>BA27*2</f>
        <v>300</v>
      </c>
      <c r="BC27" s="1053">
        <f>AZ27+BA27+BB27</f>
        <v>601</v>
      </c>
      <c r="BD27" s="901">
        <v>620</v>
      </c>
      <c r="BE27" s="901">
        <v>600</v>
      </c>
    </row>
    <row r="28" spans="1:60" ht="15" x14ac:dyDescent="0.2">
      <c r="A28" s="772" t="s">
        <v>24</v>
      </c>
      <c r="B28" s="659"/>
      <c r="C28" s="497"/>
      <c r="D28" s="497"/>
      <c r="E28" s="497"/>
      <c r="F28" s="497"/>
      <c r="G28" s="497"/>
      <c r="H28" s="497"/>
      <c r="I28" s="491" t="e">
        <f t="shared" ref="I28:P28" si="52">I26+I27</f>
        <v>#REF!</v>
      </c>
      <c r="J28" s="491" t="e">
        <f t="shared" si="52"/>
        <v>#REF!</v>
      </c>
      <c r="K28" s="491" t="e">
        <f t="shared" si="52"/>
        <v>#REF!</v>
      </c>
      <c r="L28" s="491" t="e">
        <f t="shared" si="52"/>
        <v>#REF!</v>
      </c>
      <c r="M28" s="491" t="e">
        <f t="shared" si="52"/>
        <v>#REF!</v>
      </c>
      <c r="N28" s="491" t="e">
        <f t="shared" si="52"/>
        <v>#REF!</v>
      </c>
      <c r="O28" s="491" t="e">
        <f t="shared" si="52"/>
        <v>#REF!</v>
      </c>
      <c r="P28" s="491" t="e">
        <f t="shared" si="52"/>
        <v>#REF!</v>
      </c>
      <c r="Q28" s="491" t="e">
        <f t="shared" si="49"/>
        <v>#REF!</v>
      </c>
      <c r="R28" s="491" t="e">
        <f>R26+R27</f>
        <v>#REF!</v>
      </c>
      <c r="S28" s="491" t="e">
        <f>S26+S27</f>
        <v>#REF!</v>
      </c>
      <c r="T28" s="491" t="e">
        <f>T26+T27</f>
        <v>#REF!</v>
      </c>
      <c r="U28" s="491" t="e">
        <f>U26+U27</f>
        <v>#REF!</v>
      </c>
      <c r="V28" s="491" t="e">
        <f t="shared" si="50"/>
        <v>#REF!</v>
      </c>
      <c r="W28" s="491" t="e">
        <f>W26+W27</f>
        <v>#REF!</v>
      </c>
      <c r="X28" s="491" t="e">
        <f>X26+X27</f>
        <v>#REF!</v>
      </c>
      <c r="Y28" s="491" t="e">
        <f>Y26+Y27</f>
        <v>#REF!</v>
      </c>
      <c r="Z28" s="491" t="e">
        <f>Z26+Z27</f>
        <v>#REF!</v>
      </c>
      <c r="AA28" s="491" t="e">
        <f t="shared" si="51"/>
        <v>#REF!</v>
      </c>
      <c r="AB28" s="491" t="e">
        <f>AB26+AB27</f>
        <v>#REF!</v>
      </c>
      <c r="AC28" s="491" t="e">
        <f>AC26+AC27</f>
        <v>#REF!</v>
      </c>
      <c r="AD28" s="491" t="e">
        <f>AD26+AD27</f>
        <v>#REF!</v>
      </c>
      <c r="AE28" s="491" t="e">
        <f>AE26+AE27</f>
        <v>#REF!</v>
      </c>
      <c r="AF28" s="491" t="e">
        <f>AG28-(AC28+AD28+AE28)</f>
        <v>#REF!</v>
      </c>
      <c r="AG28" s="491" t="e">
        <f t="shared" ref="AG28:BA28" si="53">AG26+AG27</f>
        <v>#REF!</v>
      </c>
      <c r="AH28" s="491">
        <f t="shared" si="53"/>
        <v>676</v>
      </c>
      <c r="AI28" s="491">
        <f t="shared" si="53"/>
        <v>1020</v>
      </c>
      <c r="AJ28" s="491">
        <f t="shared" si="53"/>
        <v>1939</v>
      </c>
      <c r="AK28" s="491">
        <f t="shared" si="53"/>
        <v>1189</v>
      </c>
      <c r="AL28" s="491">
        <f t="shared" si="53"/>
        <v>781</v>
      </c>
      <c r="AM28" s="491">
        <f t="shared" si="53"/>
        <v>1694</v>
      </c>
      <c r="AN28" s="762">
        <f t="shared" si="53"/>
        <v>1002</v>
      </c>
      <c r="AO28" s="757">
        <f t="shared" si="53"/>
        <v>4014</v>
      </c>
      <c r="AP28" s="757">
        <f t="shared" si="53"/>
        <v>595</v>
      </c>
      <c r="AQ28" s="877">
        <f t="shared" ref="AQ28:AR28" si="54">AQ26+AQ27</f>
        <v>441</v>
      </c>
      <c r="AR28" s="762">
        <f t="shared" si="54"/>
        <v>346</v>
      </c>
      <c r="AS28" s="757">
        <f t="shared" ref="AS28" si="55">AS26+AS27</f>
        <v>347.3</v>
      </c>
      <c r="AT28" s="866">
        <f t="shared" si="53"/>
        <v>1677</v>
      </c>
      <c r="AU28" s="877">
        <f t="shared" ref="AU28:AV28" si="56">AU26+AU27</f>
        <v>350</v>
      </c>
      <c r="AV28" s="877">
        <f t="shared" si="56"/>
        <v>363</v>
      </c>
      <c r="AW28" s="757">
        <f t="shared" ref="AW28:AX28" si="57">AW26+AW27</f>
        <v>354</v>
      </c>
      <c r="AX28" s="757">
        <f t="shared" si="57"/>
        <v>304</v>
      </c>
      <c r="AY28" s="877">
        <f t="shared" si="53"/>
        <v>1371</v>
      </c>
      <c r="AZ28" s="866">
        <f t="shared" si="53"/>
        <v>336</v>
      </c>
      <c r="BA28" s="927">
        <f t="shared" si="53"/>
        <v>331</v>
      </c>
      <c r="BB28" s="1065">
        <f t="shared" ref="BB28" si="58">BB26+BB27</f>
        <v>829.37889773423149</v>
      </c>
      <c r="BC28" s="866">
        <f>BC26+BC27</f>
        <v>1496.3788977342315</v>
      </c>
      <c r="BD28" s="770">
        <f t="shared" ref="BD28:BE28" si="59">BD26+BD27</f>
        <v>1659.7800845423592</v>
      </c>
      <c r="BE28" s="770">
        <f t="shared" si="59"/>
        <v>1620.26367802</v>
      </c>
      <c r="BF28" s="209"/>
      <c r="BG28" s="209"/>
    </row>
    <row r="29" spans="1:60" ht="30" x14ac:dyDescent="0.2">
      <c r="A29" s="64" t="s">
        <v>868</v>
      </c>
      <c r="B29" s="69"/>
      <c r="C29" s="53"/>
      <c r="D29" s="53"/>
      <c r="E29" s="53"/>
      <c r="F29" s="53"/>
      <c r="G29" s="53"/>
      <c r="H29" s="53"/>
      <c r="I29" s="53"/>
      <c r="J29" s="53"/>
      <c r="K29" s="53"/>
      <c r="L29" s="53"/>
      <c r="M29" s="53"/>
      <c r="N29" s="53"/>
      <c r="O29" s="53"/>
      <c r="P29" s="53"/>
      <c r="Q29" s="69"/>
      <c r="R29" s="53"/>
      <c r="S29" s="53"/>
      <c r="T29" s="69"/>
      <c r="U29" s="69"/>
      <c r="V29" s="69"/>
      <c r="W29" s="69"/>
      <c r="X29" s="69"/>
      <c r="Y29" s="69"/>
      <c r="Z29" s="69"/>
      <c r="AA29" s="69"/>
      <c r="AB29" s="53"/>
      <c r="AC29" s="53"/>
      <c r="AD29" s="53"/>
      <c r="AE29" s="53"/>
      <c r="AF29" s="69"/>
      <c r="AG29" s="748">
        <v>0</v>
      </c>
      <c r="AH29" s="69">
        <f t="shared" ref="AH29:AO29" si="60">AH30-AH28</f>
        <v>274</v>
      </c>
      <c r="AI29" s="69">
        <f t="shared" si="60"/>
        <v>8</v>
      </c>
      <c r="AJ29" s="69">
        <f t="shared" si="60"/>
        <v>-775</v>
      </c>
      <c r="AK29" s="69">
        <f t="shared" si="60"/>
        <v>-10</v>
      </c>
      <c r="AL29" s="69">
        <f t="shared" si="60"/>
        <v>236</v>
      </c>
      <c r="AM29" s="69">
        <f t="shared" si="60"/>
        <v>-6</v>
      </c>
      <c r="AN29" s="764">
        <f t="shared" si="60"/>
        <v>-1</v>
      </c>
      <c r="AO29" s="69">
        <f t="shared" si="60"/>
        <v>-24</v>
      </c>
      <c r="AP29" s="758"/>
      <c r="AQ29" s="748"/>
      <c r="AR29" s="914"/>
      <c r="AS29" s="758"/>
      <c r="AT29" s="62">
        <f t="shared" ref="AT29:AY29" si="61">AT30-AT28</f>
        <v>106</v>
      </c>
      <c r="AU29" s="1032">
        <f t="shared" si="61"/>
        <v>0</v>
      </c>
      <c r="AV29" s="71">
        <f t="shared" si="61"/>
        <v>-1</v>
      </c>
      <c r="AW29" s="69">
        <f t="shared" si="61"/>
        <v>27</v>
      </c>
      <c r="AX29" s="69">
        <f t="shared" si="61"/>
        <v>27</v>
      </c>
      <c r="AY29" s="53">
        <f t="shared" si="61"/>
        <v>53</v>
      </c>
      <c r="AZ29" s="948">
        <f t="shared" ref="AZ29" si="62">AZ30-AZ28</f>
        <v>12</v>
      </c>
      <c r="BA29" s="916">
        <v>8</v>
      </c>
      <c r="BB29" s="1069"/>
      <c r="BC29" s="1054">
        <f>AZ29+BA29+BB29</f>
        <v>20</v>
      </c>
      <c r="BD29" s="986">
        <v>0</v>
      </c>
      <c r="BE29" s="986">
        <v>0</v>
      </c>
    </row>
    <row r="30" spans="1:60" ht="15" x14ac:dyDescent="0.2">
      <c r="A30" s="660" t="s">
        <v>828</v>
      </c>
      <c r="B30" s="749"/>
      <c r="C30" s="750"/>
      <c r="D30" s="750"/>
      <c r="E30" s="750"/>
      <c r="F30" s="750"/>
      <c r="G30" s="750"/>
      <c r="H30" s="750"/>
      <c r="I30" s="750"/>
      <c r="J30" s="750"/>
      <c r="K30" s="750"/>
      <c r="L30" s="750"/>
      <c r="M30" s="750"/>
      <c r="N30" s="750"/>
      <c r="O30" s="750"/>
      <c r="P30" s="750"/>
      <c r="Q30" s="749"/>
      <c r="R30" s="750"/>
      <c r="S30" s="750"/>
      <c r="T30" s="749"/>
      <c r="U30" s="749"/>
      <c r="V30" s="749"/>
      <c r="W30" s="749"/>
      <c r="X30" s="749"/>
      <c r="Y30" s="749"/>
      <c r="Z30" s="749"/>
      <c r="AA30" s="749"/>
      <c r="AB30" s="750"/>
      <c r="AC30" s="750"/>
      <c r="AD30" s="750"/>
      <c r="AE30" s="750"/>
      <c r="AF30" s="749"/>
      <c r="AG30" s="661" t="e">
        <f>AG28+AG29</f>
        <v>#REF!</v>
      </c>
      <c r="AH30" s="661">
        <f>'IC&amp;CF&amp;BS'!K235</f>
        <v>950</v>
      </c>
      <c r="AI30" s="661">
        <f>'IC&amp;CF&amp;BS'!J235</f>
        <v>1028</v>
      </c>
      <c r="AJ30" s="889">
        <f>'IC&amp;CF&amp;BS'!I235</f>
        <v>1164</v>
      </c>
      <c r="AK30" s="889">
        <f>'IC&amp;CF&amp;BS'!H235</f>
        <v>1179</v>
      </c>
      <c r="AL30" s="889">
        <f>'IC&amp;CF&amp;BS'!G235</f>
        <v>1017</v>
      </c>
      <c r="AM30" s="889">
        <f>'IC&amp;CF&amp;BS'!F235</f>
        <v>1688</v>
      </c>
      <c r="AN30" s="890">
        <f>'IC&amp;CF&amp;BS'!AB235</f>
        <v>1001</v>
      </c>
      <c r="AO30" s="661">
        <f>'IC&amp;CF&amp;BS'!E235</f>
        <v>3990</v>
      </c>
      <c r="AP30" s="661">
        <f>'IC&amp;CF&amp;BS'!X235</f>
        <v>608</v>
      </c>
      <c r="AQ30" s="889">
        <f>'IC&amp;CF&amp;BS'!W235</f>
        <v>433</v>
      </c>
      <c r="AR30" s="890">
        <f>'IC&amp;CF&amp;BS'!V235</f>
        <v>358</v>
      </c>
      <c r="AS30" s="902">
        <f>AS28</f>
        <v>347.3</v>
      </c>
      <c r="AT30" s="661">
        <f>'IC&amp;CF&amp;BS'!D235</f>
        <v>1783</v>
      </c>
      <c r="AU30" s="661">
        <f>'IC&amp;CF&amp;BS'!T235</f>
        <v>350</v>
      </c>
      <c r="AV30" s="661">
        <f>'IC&amp;CF&amp;BS'!S235</f>
        <v>362</v>
      </c>
      <c r="AW30" s="661">
        <f>'IC&amp;CF&amp;BS'!R235</f>
        <v>381</v>
      </c>
      <c r="AX30" s="661">
        <f>'IC&amp;CF&amp;BS'!Q235</f>
        <v>331</v>
      </c>
      <c r="AY30" s="889">
        <f>AU30+AV30+AW30+AX30</f>
        <v>1424</v>
      </c>
      <c r="AZ30" s="1029">
        <f>'IC&amp;CF&amp;BS'!P235</f>
        <v>348</v>
      </c>
      <c r="BA30" s="1046">
        <f>BA28+BA29</f>
        <v>339</v>
      </c>
      <c r="BB30" s="1094">
        <f>BB28+BB29</f>
        <v>829.37889773423149</v>
      </c>
      <c r="BC30" s="1055">
        <f>AZ30+BA30+BB30</f>
        <v>1516.3788977342315</v>
      </c>
      <c r="BD30" s="989">
        <f t="shared" ref="BD30:BE30" si="63">BD28+BD29</f>
        <v>1659.7800845423592</v>
      </c>
      <c r="BE30" s="989">
        <f t="shared" si="63"/>
        <v>1620.26367802</v>
      </c>
    </row>
    <row r="31" spans="1:60" ht="15" x14ac:dyDescent="0.2">
      <c r="A31" s="64" t="s">
        <v>4</v>
      </c>
      <c r="B31" s="69"/>
      <c r="C31" s="53"/>
      <c r="D31" s="53"/>
      <c r="E31" s="53"/>
      <c r="F31" s="53"/>
      <c r="G31" s="53"/>
      <c r="H31" s="53"/>
      <c r="I31" s="53"/>
      <c r="J31" s="53"/>
      <c r="K31" s="53"/>
      <c r="L31" s="53"/>
      <c r="M31" s="53"/>
      <c r="N31" s="53"/>
      <c r="O31" s="53"/>
      <c r="P31" s="53"/>
      <c r="Q31" s="69"/>
      <c r="R31" s="53"/>
      <c r="S31" s="53"/>
      <c r="T31" s="69"/>
      <c r="U31" s="69"/>
      <c r="V31" s="69"/>
      <c r="W31" s="69"/>
      <c r="X31" s="69"/>
      <c r="Y31" s="69"/>
      <c r="Z31" s="69"/>
      <c r="AA31" s="69"/>
      <c r="AB31" s="69"/>
      <c r="AC31" s="69"/>
      <c r="AD31" s="69"/>
      <c r="AE31" s="69"/>
      <c r="AF31" s="69"/>
      <c r="AG31" s="747">
        <v>0</v>
      </c>
      <c r="AH31" s="53">
        <f>'IC&amp;CF&amp;BS'!K239</f>
        <v>-23</v>
      </c>
      <c r="AI31" s="53">
        <f>'IC&amp;CF&amp;BS'!J239</f>
        <v>118</v>
      </c>
      <c r="AJ31" s="53">
        <f>'IC&amp;CF&amp;BS'!I239</f>
        <v>-12</v>
      </c>
      <c r="AK31" s="53">
        <f>'IC&amp;CF&amp;BS'!H239</f>
        <v>97</v>
      </c>
      <c r="AL31" s="53">
        <f>'IC&amp;CF&amp;BS'!G239</f>
        <v>-30</v>
      </c>
      <c r="AM31" s="53">
        <f>'IC&amp;CF&amp;BS'!F239</f>
        <v>80</v>
      </c>
      <c r="AN31" s="367">
        <f>'IC&amp;CF&amp;BS'!AB239</f>
        <v>26</v>
      </c>
      <c r="AO31" s="69">
        <f>'IC&amp;CF&amp;BS'!E239</f>
        <v>83</v>
      </c>
      <c r="AP31" s="69">
        <f>'IC&amp;CF&amp;BS'!X239</f>
        <v>-6</v>
      </c>
      <c r="AQ31" s="53">
        <f>'IC&amp;CF&amp;BS'!W239</f>
        <v>27</v>
      </c>
      <c r="AR31" s="367">
        <f>'IC&amp;CF&amp;BS'!V239</f>
        <v>3</v>
      </c>
      <c r="AS31" s="903">
        <v>0</v>
      </c>
      <c r="AT31" s="69">
        <f>'IC&amp;CF&amp;BS'!D235+'IC&amp;CF&amp;BS'!D239-AT30</f>
        <v>-85</v>
      </c>
      <c r="AU31" s="69">
        <f>'IC&amp;CF&amp;BS'!T239</f>
        <v>19</v>
      </c>
      <c r="AV31" s="69">
        <f>'IC&amp;CF&amp;BS'!S239</f>
        <v>29</v>
      </c>
      <c r="AW31" s="69">
        <f>'IC&amp;CF&amp;BS'!R239</f>
        <v>-9</v>
      </c>
      <c r="AX31" s="69">
        <f>'IC&amp;CF&amp;BS'!Q239</f>
        <v>37</v>
      </c>
      <c r="AY31" s="53">
        <f>AU31+AV31+AW31+AX31</f>
        <v>76</v>
      </c>
      <c r="AZ31" s="62">
        <f>'IC&amp;CF&amp;BS'!P239</f>
        <v>30</v>
      </c>
      <c r="BA31" s="916">
        <f>'IC&amp;CF&amp;BS'!O239</f>
        <v>-77</v>
      </c>
      <c r="BB31" s="1069">
        <v>0</v>
      </c>
      <c r="BC31" s="1051">
        <f>AZ31+BA31+BB31</f>
        <v>-47</v>
      </c>
      <c r="BD31" s="987">
        <v>0</v>
      </c>
      <c r="BE31" s="987">
        <v>0</v>
      </c>
    </row>
    <row r="32" spans="1:60" ht="15" x14ac:dyDescent="0.2">
      <c r="A32" s="64" t="s">
        <v>92</v>
      </c>
      <c r="B32" s="69"/>
      <c r="C32" s="53"/>
      <c r="D32" s="53"/>
      <c r="E32" s="53"/>
      <c r="F32" s="53"/>
      <c r="G32" s="53"/>
      <c r="H32" s="53"/>
      <c r="I32" s="53" t="e">
        <f>#REF!</f>
        <v>#REF!</v>
      </c>
      <c r="J32" s="53" t="e">
        <f>#REF!</f>
        <v>#REF!</v>
      </c>
      <c r="K32" s="53" t="e">
        <f>#REF!</f>
        <v>#REF!</v>
      </c>
      <c r="L32" s="53" t="e">
        <f>#REF!</f>
        <v>#REF!</v>
      </c>
      <c r="M32" s="53" t="e">
        <f>#REF!</f>
        <v>#REF!</v>
      </c>
      <c r="N32" s="53" t="e">
        <f>#REF!</f>
        <v>#REF!</v>
      </c>
      <c r="O32" s="53" t="e">
        <f>#REF!</f>
        <v>#REF!</v>
      </c>
      <c r="P32" s="53" t="e">
        <f>#REF!</f>
        <v>#REF!</v>
      </c>
      <c r="Q32" s="69" t="e">
        <f t="shared" si="49"/>
        <v>#REF!</v>
      </c>
      <c r="R32" s="53" t="e">
        <f>#REF!</f>
        <v>#REF!</v>
      </c>
      <c r="S32" s="53" t="e">
        <f>#REF!</f>
        <v>#REF!</v>
      </c>
      <c r="T32" s="69" t="e">
        <f>#REF!</f>
        <v>#REF!</v>
      </c>
      <c r="U32" s="69" t="e">
        <f>#REF!</f>
        <v>#REF!</v>
      </c>
      <c r="V32" s="69" t="e">
        <f t="shared" si="50"/>
        <v>#REF!</v>
      </c>
      <c r="W32" s="69" t="e">
        <f>#REF!</f>
        <v>#REF!</v>
      </c>
      <c r="X32" s="69" t="e">
        <f>#REF!</f>
        <v>#REF!</v>
      </c>
      <c r="Y32" s="69" t="e">
        <f>#REF!</f>
        <v>#REF!</v>
      </c>
      <c r="Z32" s="69" t="e">
        <f>#REF!</f>
        <v>#REF!</v>
      </c>
      <c r="AA32" s="69" t="e">
        <f t="shared" si="51"/>
        <v>#REF!</v>
      </c>
      <c r="AB32" s="53" t="e">
        <f>#REF!</f>
        <v>#REF!</v>
      </c>
      <c r="AC32" s="53" t="e">
        <f>#REF!</f>
        <v>#REF!</v>
      </c>
      <c r="AD32" s="53" t="e">
        <f>#REF!</f>
        <v>#REF!</v>
      </c>
      <c r="AE32" s="53" t="e">
        <f>#REF!</f>
        <v>#REF!</v>
      </c>
      <c r="AF32" s="53" t="e">
        <f>#REF!</f>
        <v>#REF!</v>
      </c>
      <c r="AG32" s="53">
        <f>-221</f>
        <v>-221</v>
      </c>
      <c r="AH32" s="69">
        <f>'IC&amp;CF&amp;BS'!K243</f>
        <v>-132</v>
      </c>
      <c r="AI32" s="69">
        <f>'IC&amp;CF&amp;BS'!J243</f>
        <v>-124</v>
      </c>
      <c r="AJ32" s="53">
        <f>'IC&amp;CF&amp;BS'!I243</f>
        <v>-158</v>
      </c>
      <c r="AK32" s="53">
        <f>'IC&amp;CF&amp;BS'!H243</f>
        <v>-243</v>
      </c>
      <c r="AL32" s="53">
        <f>'IC&amp;CF&amp;BS'!G243</f>
        <v>-265</v>
      </c>
      <c r="AM32" s="53">
        <f>'IC&amp;CF&amp;BS'!F243</f>
        <v>-211</v>
      </c>
      <c r="AN32" s="367">
        <f>'IC&amp;CF&amp;BS'!AB243</f>
        <v>-50</v>
      </c>
      <c r="AO32" s="69">
        <f>'IC&amp;CF&amp;BS'!E243</f>
        <v>-219</v>
      </c>
      <c r="AP32" s="69">
        <f>'IC&amp;CF&amp;BS'!X243</f>
        <v>-61</v>
      </c>
      <c r="AQ32" s="53">
        <f>'IC&amp;CF&amp;BS'!W243</f>
        <v>-91</v>
      </c>
      <c r="AR32" s="367">
        <f>'IC&amp;CF&amp;BS'!V243</f>
        <v>-61</v>
      </c>
      <c r="AS32" s="897">
        <v>-70</v>
      </c>
      <c r="AT32" s="69">
        <f>'IC&amp;CF&amp;BS'!D243</f>
        <v>-283</v>
      </c>
      <c r="AU32" s="69">
        <f>'IC&amp;CF&amp;BS'!T243</f>
        <v>-48</v>
      </c>
      <c r="AV32" s="69">
        <f>'IC&amp;CF&amp;BS'!S243</f>
        <v>-73</v>
      </c>
      <c r="AW32" s="69">
        <f>'IC&amp;CF&amp;BS'!R243</f>
        <v>-51</v>
      </c>
      <c r="AX32" s="69">
        <f>'IC&amp;CF&amp;BS'!Q243</f>
        <v>-73</v>
      </c>
      <c r="AY32" s="53">
        <f>AU32+AV32+AW32+AX32</f>
        <v>-245</v>
      </c>
      <c r="AZ32" s="62">
        <f>'IC&amp;CF&amp;BS'!P243</f>
        <v>-50</v>
      </c>
      <c r="BA32" s="916">
        <f>'IC&amp;CF&amp;BS'!O243</f>
        <v>-51</v>
      </c>
      <c r="BB32" s="1069">
        <f>AZ32+BA32</f>
        <v>-101</v>
      </c>
      <c r="BC32" s="1051">
        <f>AZ32+BA32+BB32</f>
        <v>-202</v>
      </c>
      <c r="BD32" s="982">
        <f>-245</f>
        <v>-245</v>
      </c>
      <c r="BE32" s="982">
        <v>-245</v>
      </c>
    </row>
    <row r="33" spans="1:59" ht="15" hidden="1" x14ac:dyDescent="0.2">
      <c r="A33" s="64" t="s">
        <v>304</v>
      </c>
      <c r="B33" s="69"/>
      <c r="C33" s="53"/>
      <c r="D33" s="53"/>
      <c r="E33" s="53"/>
      <c r="F33" s="53"/>
      <c r="G33" s="53"/>
      <c r="H33" s="53"/>
      <c r="I33" s="53" t="e">
        <f>#REF!</f>
        <v>#REF!</v>
      </c>
      <c r="J33" s="53" t="e">
        <f>#REF!</f>
        <v>#REF!</v>
      </c>
      <c r="K33" s="53" t="e">
        <f>#REF!</f>
        <v>#REF!</v>
      </c>
      <c r="L33" s="53" t="e">
        <f>#REF!</f>
        <v>#REF!</v>
      </c>
      <c r="M33" s="53" t="e">
        <f>#REF!</f>
        <v>#REF!</v>
      </c>
      <c r="N33" s="53" t="e">
        <f>#REF!</f>
        <v>#REF!</v>
      </c>
      <c r="O33" s="53" t="e">
        <f>#REF!</f>
        <v>#REF!</v>
      </c>
      <c r="P33" s="53" t="e">
        <f>#REF!</f>
        <v>#REF!</v>
      </c>
      <c r="Q33" s="69" t="e">
        <f t="shared" si="49"/>
        <v>#REF!</v>
      </c>
      <c r="R33" s="53" t="e">
        <f>#REF!</f>
        <v>#REF!</v>
      </c>
      <c r="S33" s="53" t="e">
        <f>#REF!</f>
        <v>#REF!</v>
      </c>
      <c r="T33" s="69" t="e">
        <f>#REF!</f>
        <v>#REF!</v>
      </c>
      <c r="U33" s="69" t="e">
        <f>#REF!</f>
        <v>#REF!</v>
      </c>
      <c r="V33" s="69" t="e">
        <f t="shared" si="50"/>
        <v>#REF!</v>
      </c>
      <c r="W33" s="69" t="e">
        <f>#REF!</f>
        <v>#REF!</v>
      </c>
      <c r="X33" s="69" t="e">
        <f>#REF!</f>
        <v>#REF!</v>
      </c>
      <c r="Y33" s="69" t="e">
        <f>#REF!</f>
        <v>#REF!</v>
      </c>
      <c r="Z33" s="69" t="e">
        <f>#REF!</f>
        <v>#REF!</v>
      </c>
      <c r="AA33" s="69" t="e">
        <f t="shared" si="51"/>
        <v>#REF!</v>
      </c>
      <c r="AB33" s="53" t="e">
        <f>#REF!</f>
        <v>#REF!</v>
      </c>
      <c r="AC33" s="53" t="e">
        <f>#REF!</f>
        <v>#REF!</v>
      </c>
      <c r="AD33" s="53" t="e">
        <f>#REF!</f>
        <v>#REF!</v>
      </c>
      <c r="AE33" s="53" t="e">
        <f>#REF!</f>
        <v>#REF!</v>
      </c>
      <c r="AF33" s="53" t="e">
        <f>#REF!</f>
        <v>#REF!</v>
      </c>
      <c r="AG33" s="53" t="e">
        <f>#REF!</f>
        <v>#REF!</v>
      </c>
      <c r="AH33" s="53">
        <f>'IC&amp;CF&amp;BS'!K14</f>
        <v>18</v>
      </c>
      <c r="AI33" s="53">
        <f>'IC&amp;CF&amp;BS'!J14</f>
        <v>0</v>
      </c>
      <c r="AJ33" s="53">
        <f>'IC&amp;CF&amp;BS'!I14</f>
        <v>3</v>
      </c>
      <c r="AK33" s="53">
        <f>'IC&amp;CF&amp;BS'!H14</f>
        <v>1</v>
      </c>
      <c r="AL33" s="53">
        <f>'IC&amp;CF&amp;BS'!I14</f>
        <v>3</v>
      </c>
      <c r="AM33" s="53">
        <f>'IC&amp;CF&amp;BS'!J14</f>
        <v>0</v>
      </c>
      <c r="AN33" s="367">
        <f>'IC&amp;CF&amp;BS'!K14</f>
        <v>18</v>
      </c>
      <c r="AO33" s="69" t="e">
        <f>#REF!</f>
        <v>#REF!</v>
      </c>
      <c r="AP33" s="69"/>
      <c r="AQ33" s="53"/>
      <c r="AR33" s="367"/>
      <c r="AS33" s="897"/>
      <c r="AT33" s="69" t="e">
        <f>AO33</f>
        <v>#REF!</v>
      </c>
      <c r="AU33" s="69"/>
      <c r="AV33" s="932"/>
      <c r="AW33" s="932"/>
      <c r="AX33" s="932"/>
      <c r="AY33" s="899" t="e">
        <f>AT33</f>
        <v>#REF!</v>
      </c>
      <c r="AZ33" s="62"/>
      <c r="BA33" s="916"/>
      <c r="BB33" s="1069"/>
      <c r="BC33" s="1051" t="e">
        <f>AT33</f>
        <v>#REF!</v>
      </c>
      <c r="BD33" s="982" t="e">
        <f>AY33</f>
        <v>#REF!</v>
      </c>
      <c r="BE33" s="982" t="e">
        <f>BC33</f>
        <v>#REF!</v>
      </c>
    </row>
    <row r="34" spans="1:59" ht="15" hidden="1" x14ac:dyDescent="0.2">
      <c r="A34" s="64" t="s">
        <v>34</v>
      </c>
      <c r="B34" s="69"/>
      <c r="C34" s="53"/>
      <c r="D34" s="53"/>
      <c r="E34" s="53"/>
      <c r="F34" s="53"/>
      <c r="G34" s="53"/>
      <c r="H34" s="53"/>
      <c r="I34" s="53" t="e">
        <f>#REF!</f>
        <v>#REF!</v>
      </c>
      <c r="J34" s="53" t="e">
        <f>#REF!</f>
        <v>#REF!</v>
      </c>
      <c r="K34" s="53" t="e">
        <f>#REF!</f>
        <v>#REF!</v>
      </c>
      <c r="L34" s="53" t="e">
        <f>#REF!</f>
        <v>#REF!</v>
      </c>
      <c r="M34" s="53" t="e">
        <f>#REF!</f>
        <v>#REF!</v>
      </c>
      <c r="N34" s="53" t="e">
        <f>#REF!</f>
        <v>#REF!</v>
      </c>
      <c r="O34" s="53" t="e">
        <f>#REF!</f>
        <v>#REF!</v>
      </c>
      <c r="P34" s="53" t="e">
        <f>#REF!</f>
        <v>#REF!</v>
      </c>
      <c r="Q34" s="69" t="e">
        <f t="shared" si="49"/>
        <v>#REF!</v>
      </c>
      <c r="R34" s="53" t="e">
        <f>R26+R32</f>
        <v>#REF!</v>
      </c>
      <c r="S34" s="53" t="e">
        <f>#REF!</f>
        <v>#REF!</v>
      </c>
      <c r="T34" s="69" t="e">
        <f>#REF!</f>
        <v>#REF!</v>
      </c>
      <c r="U34" s="69" t="e">
        <f>#REF!</f>
        <v>#REF!</v>
      </c>
      <c r="V34" s="69" t="e">
        <f t="shared" si="50"/>
        <v>#REF!</v>
      </c>
      <c r="W34" s="69" t="e">
        <f>W26+W32</f>
        <v>#REF!</v>
      </c>
      <c r="X34" s="69" t="e">
        <f>#REF!</f>
        <v>#REF!</v>
      </c>
      <c r="Y34" s="69" t="e">
        <f>#REF!</f>
        <v>#REF!</v>
      </c>
      <c r="Z34" s="69" t="e">
        <f>#REF!</f>
        <v>#REF!</v>
      </c>
      <c r="AA34" s="69" t="e">
        <f t="shared" si="51"/>
        <v>#REF!</v>
      </c>
      <c r="AB34" s="53" t="e">
        <f>AB26+AB32</f>
        <v>#REF!</v>
      </c>
      <c r="AC34" s="53" t="e">
        <f>#REF!</f>
        <v>#REF!</v>
      </c>
      <c r="AD34" s="53" t="e">
        <f>#REF!</f>
        <v>#REF!</v>
      </c>
      <c r="AE34" s="53" t="e">
        <f>#REF!</f>
        <v>#REF!</v>
      </c>
      <c r="AF34" s="69" t="e">
        <f>AG34-(AC34+AD34+AE34)</f>
        <v>#REF!</v>
      </c>
      <c r="AG34" s="53" t="e">
        <f>AG26+AG32</f>
        <v>#REF!</v>
      </c>
      <c r="AH34" s="53">
        <f t="shared" ref="AH34:AN34" si="64">AH26+AH32+AH33</f>
        <v>156</v>
      </c>
      <c r="AI34" s="53">
        <f t="shared" si="64"/>
        <v>505</v>
      </c>
      <c r="AJ34" s="53">
        <f t="shared" si="64"/>
        <v>1364</v>
      </c>
      <c r="AK34" s="53">
        <f t="shared" si="64"/>
        <v>514</v>
      </c>
      <c r="AL34" s="53">
        <f t="shared" si="64"/>
        <v>-60</v>
      </c>
      <c r="AM34" s="53">
        <f t="shared" si="64"/>
        <v>999</v>
      </c>
      <c r="AN34" s="367">
        <f t="shared" si="64"/>
        <v>848</v>
      </c>
      <c r="AO34" s="69">
        <f>AO26+AO32</f>
        <v>3297</v>
      </c>
      <c r="AP34" s="69"/>
      <c r="AQ34" s="53"/>
      <c r="AR34" s="367"/>
      <c r="AS34" s="897"/>
      <c r="AT34" s="69">
        <f>AT26+AT32</f>
        <v>858</v>
      </c>
      <c r="AU34" s="69"/>
      <c r="AV34" s="932"/>
      <c r="AW34" s="932"/>
      <c r="AX34" s="932"/>
      <c r="AY34" s="899">
        <f>AY26+AY32</f>
        <v>530</v>
      </c>
      <c r="AZ34" s="62"/>
      <c r="BA34" s="916"/>
      <c r="BB34" s="1069"/>
      <c r="BC34" s="1051">
        <f>BC26+BC32</f>
        <v>693.37889773423149</v>
      </c>
      <c r="BD34" s="982">
        <f>BD26+BD32</f>
        <v>794.78008454235919</v>
      </c>
      <c r="BE34" s="982">
        <f>BE26+BE32</f>
        <v>775.26367802000004</v>
      </c>
    </row>
    <row r="35" spans="1:59" ht="15" x14ac:dyDescent="0.2">
      <c r="A35" s="64" t="s">
        <v>587</v>
      </c>
      <c r="B35" s="69"/>
      <c r="C35" s="53"/>
      <c r="D35" s="53"/>
      <c r="E35" s="53"/>
      <c r="F35" s="53"/>
      <c r="G35" s="53"/>
      <c r="H35" s="53"/>
      <c r="I35" s="53" t="e">
        <f>#REF!</f>
        <v>#REF!</v>
      </c>
      <c r="J35" s="53" t="e">
        <f>#REF!</f>
        <v>#REF!</v>
      </c>
      <c r="K35" s="53" t="e">
        <f>#REF!</f>
        <v>#REF!</v>
      </c>
      <c r="L35" s="53" t="e">
        <f>#REF!</f>
        <v>#REF!</v>
      </c>
      <c r="M35" s="53" t="e">
        <f>#REF!</f>
        <v>#REF!</v>
      </c>
      <c r="N35" s="53" t="e">
        <f>#REF!</f>
        <v>#REF!</v>
      </c>
      <c r="O35" s="53" t="e">
        <f>#REF!</f>
        <v>#REF!</v>
      </c>
      <c r="P35" s="53" t="e">
        <f>#REF!</f>
        <v>#REF!</v>
      </c>
      <c r="Q35" s="69" t="e">
        <f t="shared" si="49"/>
        <v>#REF!</v>
      </c>
      <c r="R35" s="53" t="e">
        <f>#REF!</f>
        <v>#REF!</v>
      </c>
      <c r="S35" s="53" t="e">
        <f>#REF!</f>
        <v>#REF!</v>
      </c>
      <c r="T35" s="69" t="e">
        <f>#REF!</f>
        <v>#REF!</v>
      </c>
      <c r="U35" s="69" t="e">
        <f>#REF!</f>
        <v>#REF!</v>
      </c>
      <c r="V35" s="69" t="e">
        <f t="shared" si="50"/>
        <v>#REF!</v>
      </c>
      <c r="W35" s="69" t="e">
        <f>#REF!</f>
        <v>#REF!</v>
      </c>
      <c r="X35" s="69" t="e">
        <f>#REF!</f>
        <v>#REF!</v>
      </c>
      <c r="Y35" s="69" t="e">
        <f>#REF!</f>
        <v>#REF!</v>
      </c>
      <c r="Z35" s="69" t="e">
        <f>#REF!</f>
        <v>#REF!</v>
      </c>
      <c r="AA35" s="69" t="e">
        <f t="shared" si="51"/>
        <v>#REF!</v>
      </c>
      <c r="AB35" s="53" t="e">
        <f>#REF!</f>
        <v>#REF!</v>
      </c>
      <c r="AC35" s="53" t="e">
        <f>#REF!</f>
        <v>#REF!</v>
      </c>
      <c r="AD35" s="53" t="e">
        <f>#REF!</f>
        <v>#REF!</v>
      </c>
      <c r="AE35" s="53" t="e">
        <f>#REF!</f>
        <v>#REF!</v>
      </c>
      <c r="AF35" s="53" t="e">
        <f>#REF!</f>
        <v>#REF!</v>
      </c>
      <c r="AG35" s="53" t="e">
        <f>#REF!</f>
        <v>#REF!</v>
      </c>
      <c r="AH35" s="69">
        <f>'IC&amp;CF&amp;BS'!K247</f>
        <v>-57</v>
      </c>
      <c r="AI35" s="69">
        <f>'IC&amp;CF&amp;BS'!J247</f>
        <v>-204</v>
      </c>
      <c r="AJ35" s="53">
        <f>'IC&amp;CF&amp;BS'!I247</f>
        <v>-53</v>
      </c>
      <c r="AK35" s="53">
        <f>'IC&amp;CF&amp;BS'!H247</f>
        <v>-120</v>
      </c>
      <c r="AL35" s="53">
        <f>'IC&amp;CF&amp;BS'!G247</f>
        <v>-31</v>
      </c>
      <c r="AM35" s="53">
        <f>'IC&amp;CF&amp;BS'!F247</f>
        <v>-193</v>
      </c>
      <c r="AN35" s="367">
        <f>'IC&amp;CF&amp;BS'!AB247</f>
        <v>-132</v>
      </c>
      <c r="AO35" s="69">
        <f>'IC&amp;CF&amp;BS'!E245</f>
        <v>-1185</v>
      </c>
      <c r="AP35" s="69">
        <f>'IC&amp;CF&amp;BS'!X247</f>
        <v>-109</v>
      </c>
      <c r="AQ35" s="53">
        <f>'IC&amp;CF&amp;BS'!W247</f>
        <v>-105</v>
      </c>
      <c r="AR35" s="367">
        <f>'IC&amp;CF&amp;BS'!V247</f>
        <v>-32</v>
      </c>
      <c r="AS35" s="897">
        <v>-55</v>
      </c>
      <c r="AT35" s="69">
        <f>'IC&amp;CF&amp;BS'!D247</f>
        <v>-253</v>
      </c>
      <c r="AU35" s="69">
        <f>'IC&amp;CF&amp;BS'!T247</f>
        <v>-6</v>
      </c>
      <c r="AV35" s="69">
        <f>'IC&amp;CF&amp;BS'!S247</f>
        <v>-29</v>
      </c>
      <c r="AW35" s="69">
        <f>'IC&amp;CF&amp;BS'!R247</f>
        <v>-22</v>
      </c>
      <c r="AX35" s="69">
        <f>'IC&amp;CF&amp;BS'!Q247</f>
        <v>-41</v>
      </c>
      <c r="AY35" s="53">
        <f>AU35+AV35+AW35+AX35</f>
        <v>-98</v>
      </c>
      <c r="AZ35" s="62">
        <f>'IC&amp;CF&amp;BS'!P247</f>
        <v>-36</v>
      </c>
      <c r="BA35" s="916">
        <f>'IC&amp;CF&amp;BS'!O247</f>
        <v>-37</v>
      </c>
      <c r="BB35" s="1069">
        <f>BA35*2</f>
        <v>-74</v>
      </c>
      <c r="BC35" s="1051">
        <f>-(BC26+BC32)*15%</f>
        <v>-104.00683466013471</v>
      </c>
      <c r="BD35" s="982">
        <f>-(BD26+BD32)*17%</f>
        <v>-135.11261437220108</v>
      </c>
      <c r="BE35" s="982">
        <f>-(BE26+BE32)*19%</f>
        <v>-147.3000988238</v>
      </c>
      <c r="BG35" s="62"/>
    </row>
    <row r="36" spans="1:59" ht="13.5" hidden="1" customHeight="1" x14ac:dyDescent="0.2">
      <c r="A36" s="260" t="s">
        <v>270</v>
      </c>
      <c r="B36" s="259"/>
      <c r="C36" s="74" t="e">
        <f>C34/B34-1</f>
        <v>#DIV/0!</v>
      </c>
      <c r="D36" s="74" t="e">
        <f>D34/C34-1</f>
        <v>#DIV/0!</v>
      </c>
      <c r="E36" s="74" t="e">
        <f>E34/D34-1</f>
        <v>#DIV/0!</v>
      </c>
      <c r="F36" s="74" t="e">
        <f>F34/E34-1</f>
        <v>#DIV/0!</v>
      </c>
      <c r="G36" s="74" t="e">
        <f>G34/F34-1</f>
        <v>#DIV/0!</v>
      </c>
      <c r="H36" s="74" t="e">
        <f>H34/#REF!-1</f>
        <v>#REF!</v>
      </c>
      <c r="I36" s="74" t="e">
        <f t="shared" ref="I36:AG36" si="65">-I35/I34</f>
        <v>#REF!</v>
      </c>
      <c r="J36" s="74" t="e">
        <f t="shared" si="65"/>
        <v>#REF!</v>
      </c>
      <c r="K36" s="74" t="e">
        <f t="shared" si="65"/>
        <v>#REF!</v>
      </c>
      <c r="L36" s="74" t="e">
        <f t="shared" si="65"/>
        <v>#REF!</v>
      </c>
      <c r="M36" s="74" t="e">
        <f t="shared" si="65"/>
        <v>#REF!</v>
      </c>
      <c r="N36" s="74" t="e">
        <f t="shared" si="65"/>
        <v>#REF!</v>
      </c>
      <c r="O36" s="74" t="e">
        <f t="shared" si="65"/>
        <v>#REF!</v>
      </c>
      <c r="P36" s="74" t="e">
        <f t="shared" si="65"/>
        <v>#REF!</v>
      </c>
      <c r="Q36" s="253" t="e">
        <f t="shared" si="65"/>
        <v>#REF!</v>
      </c>
      <c r="R36" s="74" t="e">
        <f t="shared" si="65"/>
        <v>#REF!</v>
      </c>
      <c r="S36" s="74" t="e">
        <f t="shared" si="65"/>
        <v>#REF!</v>
      </c>
      <c r="T36" s="74" t="e">
        <f t="shared" si="65"/>
        <v>#REF!</v>
      </c>
      <c r="U36" s="74" t="e">
        <f t="shared" si="65"/>
        <v>#REF!</v>
      </c>
      <c r="V36" s="253" t="e">
        <f t="shared" si="65"/>
        <v>#REF!</v>
      </c>
      <c r="W36" s="74" t="e">
        <f t="shared" si="65"/>
        <v>#REF!</v>
      </c>
      <c r="X36" s="74" t="e">
        <f t="shared" si="65"/>
        <v>#REF!</v>
      </c>
      <c r="Y36" s="74" t="e">
        <f t="shared" si="65"/>
        <v>#REF!</v>
      </c>
      <c r="Z36" s="74" t="e">
        <f t="shared" si="65"/>
        <v>#REF!</v>
      </c>
      <c r="AA36" s="74" t="e">
        <f t="shared" si="65"/>
        <v>#REF!</v>
      </c>
      <c r="AB36" s="74" t="e">
        <f t="shared" si="65"/>
        <v>#REF!</v>
      </c>
      <c r="AC36" s="74" t="e">
        <f t="shared" si="65"/>
        <v>#REF!</v>
      </c>
      <c r="AD36" s="74" t="e">
        <f t="shared" si="65"/>
        <v>#REF!</v>
      </c>
      <c r="AE36" s="74" t="e">
        <f t="shared" si="65"/>
        <v>#REF!</v>
      </c>
      <c r="AF36" s="74" t="e">
        <f t="shared" si="65"/>
        <v>#REF!</v>
      </c>
      <c r="AG36" s="74" t="e">
        <f t="shared" si="65"/>
        <v>#REF!</v>
      </c>
      <c r="AH36" s="232">
        <f t="shared" ref="AH36:AN36" si="66">AH35/AH34</f>
        <v>-0.36538461538461536</v>
      </c>
      <c r="AI36" s="232">
        <f t="shared" si="66"/>
        <v>-0.40396039603960399</v>
      </c>
      <c r="AJ36" s="232">
        <f t="shared" si="66"/>
        <v>-3.8856304985337244E-2</v>
      </c>
      <c r="AK36" s="232">
        <f t="shared" si="66"/>
        <v>-0.23346303501945526</v>
      </c>
      <c r="AL36" s="232">
        <f t="shared" si="66"/>
        <v>0.51666666666666672</v>
      </c>
      <c r="AM36" s="232">
        <f t="shared" si="66"/>
        <v>-0.1931931931931932</v>
      </c>
      <c r="AN36" s="891">
        <f t="shared" si="66"/>
        <v>-0.15566037735849056</v>
      </c>
      <c r="AO36" s="254" t="e">
        <f>#REF!</f>
        <v>#REF!</v>
      </c>
      <c r="AP36" s="254"/>
      <c r="AQ36" s="232"/>
      <c r="AR36" s="891"/>
      <c r="AS36" s="905"/>
      <c r="AT36" s="254" t="e">
        <f>AO36</f>
        <v>#REF!</v>
      </c>
      <c r="AU36" s="254"/>
      <c r="AV36" s="69"/>
      <c r="AW36" s="69"/>
      <c r="AX36" s="69"/>
      <c r="AY36" s="904" t="e">
        <f>AT36</f>
        <v>#REF!</v>
      </c>
      <c r="AZ36" s="1033"/>
      <c r="BA36" s="916"/>
      <c r="BB36" s="1069"/>
      <c r="BC36" s="1057" t="e">
        <f>AT36</f>
        <v>#REF!</v>
      </c>
      <c r="BD36" s="988" t="e">
        <f>AY36</f>
        <v>#REF!</v>
      </c>
      <c r="BE36" s="988" t="e">
        <f>BC36</f>
        <v>#REF!</v>
      </c>
    </row>
    <row r="37" spans="1:59" ht="15" hidden="1" x14ac:dyDescent="0.2">
      <c r="A37" s="64" t="s">
        <v>277</v>
      </c>
      <c r="B37" s="69"/>
      <c r="C37" s="53" t="e">
        <f t="shared" ref="C37:G37" si="67">C35/B35-1</f>
        <v>#DIV/0!</v>
      </c>
      <c r="D37" s="53" t="e">
        <f t="shared" si="67"/>
        <v>#DIV/0!</v>
      </c>
      <c r="E37" s="53" t="e">
        <f t="shared" si="67"/>
        <v>#DIV/0!</v>
      </c>
      <c r="F37" s="53" t="e">
        <f t="shared" si="67"/>
        <v>#DIV/0!</v>
      </c>
      <c r="G37" s="53" t="e">
        <f t="shared" si="67"/>
        <v>#DIV/0!</v>
      </c>
      <c r="H37" s="53" t="e">
        <f>H35/#REF!-1</f>
        <v>#REF!</v>
      </c>
      <c r="I37" s="53" t="e">
        <f>#REF!</f>
        <v>#REF!</v>
      </c>
      <c r="J37" s="53" t="e">
        <f>#REF!</f>
        <v>#REF!</v>
      </c>
      <c r="K37" s="53" t="e">
        <f>#REF!</f>
        <v>#REF!</v>
      </c>
      <c r="L37" s="53" t="e">
        <f>#REF!</f>
        <v>#REF!</v>
      </c>
      <c r="M37" s="53" t="e">
        <f>#REF!</f>
        <v>#REF!</v>
      </c>
      <c r="N37" s="53" t="e">
        <f>#REF!</f>
        <v>#REF!</v>
      </c>
      <c r="O37" s="53" t="e">
        <f>#REF!</f>
        <v>#REF!</v>
      </c>
      <c r="P37" s="53" t="e">
        <f>#REF!</f>
        <v>#REF!</v>
      </c>
      <c r="Q37" s="69" t="e">
        <f>R37-(N37+O37+P37)</f>
        <v>#REF!</v>
      </c>
      <c r="R37" s="53">
        <v>-4</v>
      </c>
      <c r="S37" s="53" t="e">
        <f>#REF!</f>
        <v>#REF!</v>
      </c>
      <c r="T37" s="69" t="e">
        <f>#REF!</f>
        <v>#REF!</v>
      </c>
      <c r="U37" s="69" t="e">
        <f>#REF!</f>
        <v>#REF!</v>
      </c>
      <c r="V37" s="69" t="e">
        <f>W37-(S37+T37+U37)</f>
        <v>#REF!</v>
      </c>
      <c r="W37" s="69" t="e">
        <f>#REF!</f>
        <v>#REF!</v>
      </c>
      <c r="X37" s="69" t="e">
        <f>#REF!</f>
        <v>#REF!</v>
      </c>
      <c r="Y37" s="69" t="e">
        <f>#REF!</f>
        <v>#REF!</v>
      </c>
      <c r="Z37" s="69" t="e">
        <f>#REF!</f>
        <v>#REF!</v>
      </c>
      <c r="AA37" s="69" t="e">
        <f>#REF!</f>
        <v>#REF!</v>
      </c>
      <c r="AB37" s="69" t="e">
        <f>#REF!</f>
        <v>#REF!</v>
      </c>
      <c r="AC37" s="69" t="e">
        <f>#REF!</f>
        <v>#REF!</v>
      </c>
      <c r="AD37" s="69" t="e">
        <f>#REF!</f>
        <v>#REF!</v>
      </c>
      <c r="AE37" s="69" t="e">
        <f>#REF!</f>
        <v>#REF!</v>
      </c>
      <c r="AF37" s="69" t="e">
        <f>#REF!</f>
        <v>#REF!</v>
      </c>
      <c r="AG37" s="69" t="e">
        <f>#REF!</f>
        <v>#REF!</v>
      </c>
      <c r="AH37" s="53"/>
      <c r="AI37" s="53"/>
      <c r="AJ37" s="53"/>
      <c r="AK37" s="53"/>
      <c r="AL37" s="53"/>
      <c r="AM37" s="53"/>
      <c r="AN37" s="367"/>
      <c r="AO37" s="69"/>
      <c r="AP37" s="69"/>
      <c r="AQ37" s="53"/>
      <c r="AR37" s="367"/>
      <c r="AS37" s="897"/>
      <c r="AT37" s="69"/>
      <c r="AU37" s="69"/>
      <c r="AV37" s="69"/>
      <c r="AW37" s="69"/>
      <c r="AX37" s="69"/>
      <c r="AY37" s="899"/>
      <c r="AZ37" s="62"/>
      <c r="BA37" s="916"/>
      <c r="BB37" s="1069"/>
      <c r="BC37" s="1051"/>
      <c r="BD37" s="982"/>
      <c r="BE37" s="982"/>
    </row>
    <row r="38" spans="1:59" ht="15" x14ac:dyDescent="0.2">
      <c r="A38" s="64" t="s">
        <v>867</v>
      </c>
      <c r="B38" s="69"/>
      <c r="C38" s="53"/>
      <c r="D38" s="53"/>
      <c r="E38" s="53"/>
      <c r="F38" s="53"/>
      <c r="G38" s="53"/>
      <c r="H38" s="53"/>
      <c r="I38" s="53"/>
      <c r="J38" s="53"/>
      <c r="K38" s="53"/>
      <c r="L38" s="53"/>
      <c r="M38" s="53"/>
      <c r="N38" s="53"/>
      <c r="O38" s="53"/>
      <c r="P38" s="53"/>
      <c r="Q38" s="69"/>
      <c r="R38" s="53"/>
      <c r="S38" s="53"/>
      <c r="T38" s="69"/>
      <c r="U38" s="69"/>
      <c r="V38" s="69"/>
      <c r="W38" s="69"/>
      <c r="X38" s="69"/>
      <c r="Y38" s="69"/>
      <c r="Z38" s="69"/>
      <c r="AA38" s="69"/>
      <c r="AB38" s="69"/>
      <c r="AC38" s="69"/>
      <c r="AD38" s="69"/>
      <c r="AE38" s="69"/>
      <c r="AF38" s="69"/>
      <c r="AG38" s="747">
        <f>0</f>
        <v>0</v>
      </c>
      <c r="AH38" s="892">
        <f>'IC&amp;CF&amp;BS'!K251</f>
        <v>0</v>
      </c>
      <c r="AI38" s="892">
        <f>'IC&amp;CF&amp;BS'!J251</f>
        <v>0</v>
      </c>
      <c r="AJ38" s="892">
        <f>'IC&amp;CF&amp;BS'!I251</f>
        <v>0</v>
      </c>
      <c r="AK38" s="892">
        <f>'IC&amp;CF&amp;BS'!H251</f>
        <v>1</v>
      </c>
      <c r="AL38" s="892">
        <f>'IC&amp;CF&amp;BS'!G251</f>
        <v>5</v>
      </c>
      <c r="AM38" s="892">
        <f>'IC&amp;CF&amp;BS'!F251</f>
        <v>4</v>
      </c>
      <c r="AN38" s="893">
        <f>'IC&amp;CF&amp;BS'!AB251</f>
        <v>0</v>
      </c>
      <c r="AO38" s="894">
        <f>'IC&amp;CF&amp;BS'!E251</f>
        <v>1</v>
      </c>
      <c r="AP38" s="894">
        <f>'IC&amp;CF&amp;BS'!X251</f>
        <v>0</v>
      </c>
      <c r="AQ38" s="892">
        <f>'IC&amp;CF&amp;BS'!W251</f>
        <v>0</v>
      </c>
      <c r="AR38" s="893">
        <f>'IC&amp;CF&amp;BS'!V251</f>
        <v>0</v>
      </c>
      <c r="AS38" s="909">
        <f>'IC&amp;CF&amp;BS'!W251</f>
        <v>0</v>
      </c>
      <c r="AT38" s="894">
        <f>'IC&amp;CF&amp;BS'!D251</f>
        <v>1</v>
      </c>
      <c r="AU38" s="894">
        <f>'IC&amp;CF&amp;BS'!T251</f>
        <v>0</v>
      </c>
      <c r="AV38" s="69">
        <f>'IC&amp;CF&amp;BS'!S251</f>
        <v>0</v>
      </c>
      <c r="AW38" s="69">
        <f>'IC&amp;CF&amp;BS'!R251</f>
        <v>1</v>
      </c>
      <c r="AX38" s="69">
        <f>'IC&amp;CF&amp;BS'!Q251</f>
        <v>0</v>
      </c>
      <c r="AY38" s="53">
        <f>AU38+AV38+AW38+AX38</f>
        <v>1</v>
      </c>
      <c r="AZ38" s="1034">
        <f>'IC&amp;CF&amp;BS'!P251</f>
        <v>0</v>
      </c>
      <c r="BA38" s="916">
        <f>'IC&amp;CF&amp;BS'!O251</f>
        <v>0</v>
      </c>
      <c r="BB38" s="1069">
        <v>0</v>
      </c>
      <c r="BC38" s="1056">
        <f>0</f>
        <v>0</v>
      </c>
      <c r="BD38" s="987">
        <f>0</f>
        <v>0</v>
      </c>
      <c r="BE38" s="987">
        <f>0</f>
        <v>0</v>
      </c>
    </row>
    <row r="39" spans="1:59" ht="15" x14ac:dyDescent="0.2">
      <c r="A39" s="772" t="s">
        <v>582</v>
      </c>
      <c r="B39" s="659"/>
      <c r="C39" s="497" t="e">
        <f>C36/B36-1</f>
        <v>#DIV/0!</v>
      </c>
      <c r="D39" s="497" t="e">
        <f>D36/C36-1</f>
        <v>#DIV/0!</v>
      </c>
      <c r="E39" s="497" t="e">
        <f>E36/D36-1</f>
        <v>#DIV/0!</v>
      </c>
      <c r="F39" s="497" t="e">
        <f>F36/E36-1</f>
        <v>#DIV/0!</v>
      </c>
      <c r="G39" s="497" t="e">
        <f>G36/F36-1</f>
        <v>#DIV/0!</v>
      </c>
      <c r="H39" s="497" t="e">
        <f>H36/#REF!-1</f>
        <v>#REF!</v>
      </c>
      <c r="I39" s="491" t="e">
        <f>I34+I35+I37-2</f>
        <v>#REF!</v>
      </c>
      <c r="J39" s="491" t="e">
        <f t="shared" ref="J39:AG39" si="68">J34+J35+J37</f>
        <v>#REF!</v>
      </c>
      <c r="K39" s="491" t="e">
        <f t="shared" si="68"/>
        <v>#REF!</v>
      </c>
      <c r="L39" s="491" t="e">
        <f t="shared" si="68"/>
        <v>#REF!</v>
      </c>
      <c r="M39" s="491" t="e">
        <f t="shared" si="68"/>
        <v>#REF!</v>
      </c>
      <c r="N39" s="491" t="e">
        <f t="shared" si="68"/>
        <v>#REF!</v>
      </c>
      <c r="O39" s="491" t="e">
        <f t="shared" si="68"/>
        <v>#REF!</v>
      </c>
      <c r="P39" s="491" t="e">
        <f t="shared" si="68"/>
        <v>#REF!</v>
      </c>
      <c r="Q39" s="491" t="e">
        <f t="shared" si="68"/>
        <v>#REF!</v>
      </c>
      <c r="R39" s="491" t="e">
        <f t="shared" si="68"/>
        <v>#REF!</v>
      </c>
      <c r="S39" s="491" t="e">
        <f t="shared" si="68"/>
        <v>#REF!</v>
      </c>
      <c r="T39" s="491" t="e">
        <f t="shared" si="68"/>
        <v>#REF!</v>
      </c>
      <c r="U39" s="491" t="e">
        <f t="shared" si="68"/>
        <v>#REF!</v>
      </c>
      <c r="V39" s="491" t="e">
        <f t="shared" si="68"/>
        <v>#REF!</v>
      </c>
      <c r="W39" s="491" t="e">
        <f t="shared" si="68"/>
        <v>#REF!</v>
      </c>
      <c r="X39" s="491" t="e">
        <f t="shared" si="68"/>
        <v>#REF!</v>
      </c>
      <c r="Y39" s="491" t="e">
        <f t="shared" si="68"/>
        <v>#REF!</v>
      </c>
      <c r="Z39" s="491" t="e">
        <f t="shared" si="68"/>
        <v>#REF!</v>
      </c>
      <c r="AA39" s="491" t="e">
        <f t="shared" si="68"/>
        <v>#REF!</v>
      </c>
      <c r="AB39" s="491" t="e">
        <f t="shared" si="68"/>
        <v>#REF!</v>
      </c>
      <c r="AC39" s="491" t="e">
        <f t="shared" si="68"/>
        <v>#REF!</v>
      </c>
      <c r="AD39" s="491" t="e">
        <f t="shared" si="68"/>
        <v>#REF!</v>
      </c>
      <c r="AE39" s="491" t="e">
        <f t="shared" si="68"/>
        <v>#REF!</v>
      </c>
      <c r="AF39" s="491" t="e">
        <f t="shared" si="68"/>
        <v>#REF!</v>
      </c>
      <c r="AG39" s="491" t="e">
        <f t="shared" si="68"/>
        <v>#REF!</v>
      </c>
      <c r="AH39" s="491">
        <f t="shared" ref="AH39:BC39" si="69">AH30+AH31+AH32+AH35+AH38</f>
        <v>738</v>
      </c>
      <c r="AI39" s="491">
        <f t="shared" si="69"/>
        <v>818</v>
      </c>
      <c r="AJ39" s="491">
        <f t="shared" si="69"/>
        <v>941</v>
      </c>
      <c r="AK39" s="491">
        <f t="shared" si="69"/>
        <v>914</v>
      </c>
      <c r="AL39" s="491">
        <f t="shared" si="69"/>
        <v>696</v>
      </c>
      <c r="AM39" s="491">
        <f t="shared" si="69"/>
        <v>1368</v>
      </c>
      <c r="AN39" s="762">
        <f t="shared" si="69"/>
        <v>845</v>
      </c>
      <c r="AO39" s="757">
        <f t="shared" si="69"/>
        <v>2670</v>
      </c>
      <c r="AP39" s="757">
        <f t="shared" si="69"/>
        <v>432</v>
      </c>
      <c r="AQ39" s="877">
        <f t="shared" ref="AQ39:AR39" si="70">AQ30+AQ31+AQ32+AQ35+AQ38</f>
        <v>264</v>
      </c>
      <c r="AR39" s="762">
        <f t="shared" si="70"/>
        <v>268</v>
      </c>
      <c r="AS39" s="757">
        <f t="shared" ref="AS39" si="71">AS30+AS31+AS32+AS35+AS38</f>
        <v>222.3</v>
      </c>
      <c r="AT39" s="757">
        <f t="shared" si="69"/>
        <v>1163</v>
      </c>
      <c r="AU39" s="757">
        <f t="shared" ref="AU39:AV39" si="72">AU30+AU31+AU32+AU35+AU38</f>
        <v>315</v>
      </c>
      <c r="AV39" s="757">
        <f t="shared" si="72"/>
        <v>289</v>
      </c>
      <c r="AW39" s="757">
        <f t="shared" ref="AW39:AX39" si="73">AW30+AW31+AW32+AW35+AW38</f>
        <v>300</v>
      </c>
      <c r="AX39" s="757">
        <f t="shared" si="73"/>
        <v>254</v>
      </c>
      <c r="AY39" s="877">
        <f t="shared" si="69"/>
        <v>1158</v>
      </c>
      <c r="AZ39" s="866">
        <f t="shared" si="69"/>
        <v>292</v>
      </c>
      <c r="BA39" s="927">
        <f t="shared" si="69"/>
        <v>174</v>
      </c>
      <c r="BB39" s="1062">
        <f t="shared" ref="BB39" si="74">BB30+BB31+BB32+BB35+BB38</f>
        <v>654.37889773423149</v>
      </c>
      <c r="BC39" s="866">
        <f t="shared" si="69"/>
        <v>1163.3720630740968</v>
      </c>
      <c r="BD39" s="770">
        <f t="shared" ref="BD39:BE39" si="75">BD30+BD31+BD32+BD35+BD38</f>
        <v>1279.6674701701581</v>
      </c>
      <c r="BE39" s="770">
        <f t="shared" si="75"/>
        <v>1227.9635791962</v>
      </c>
      <c r="BG39" s="62"/>
    </row>
    <row r="40" spans="1:59" ht="15" x14ac:dyDescent="0.2">
      <c r="A40" s="64" t="s">
        <v>271</v>
      </c>
      <c r="B40" s="69"/>
      <c r="C40" s="53"/>
      <c r="D40" s="53"/>
      <c r="E40" s="53"/>
      <c r="F40" s="53"/>
      <c r="G40" s="53"/>
      <c r="H40" s="53"/>
      <c r="I40" s="53">
        <f>'השקעה ברכוש קבוע'!N8</f>
        <v>143.20300000000003</v>
      </c>
      <c r="J40" s="53">
        <f>'השקעה ברכוש קבוע'!R8</f>
        <v>125.82599999999999</v>
      </c>
      <c r="K40" s="53">
        <f>'השקעה ברכוש קבוע'!W8</f>
        <v>188.10399999999998</v>
      </c>
      <c r="L40" s="53">
        <f>'השקעה ברכוש קבוע'!AB8</f>
        <v>318.61399999999998</v>
      </c>
      <c r="M40" s="53">
        <f>'השקעה ברכוש קבוע'!AG8</f>
        <v>361.68799999999993</v>
      </c>
      <c r="N40" s="53">
        <f>'השקעה ברכוש קבוע'!AH8</f>
        <v>87.914999999999992</v>
      </c>
      <c r="O40" s="53">
        <f>'השקעה ברכוש קבוע'!AI8</f>
        <v>75.629000000000005</v>
      </c>
      <c r="P40" s="53">
        <f>'השקעה ברכוש קבוע'!AJ8</f>
        <v>79.500999999999991</v>
      </c>
      <c r="Q40" s="69">
        <f>R40-(N40+O40+P40)</f>
        <v>100.33600000000007</v>
      </c>
      <c r="R40" s="53">
        <f>'השקעה ברכוש קבוע'!AL8</f>
        <v>343.38100000000003</v>
      </c>
      <c r="S40" s="53">
        <f>'השקעה ברכוש קבוע'!AM8</f>
        <v>85.562999999999988</v>
      </c>
      <c r="T40" s="53">
        <f>'השקעה ברכוש קבוע'!AN8</f>
        <v>125.292</v>
      </c>
      <c r="U40" s="53">
        <f>'השקעה ברכוש קבוע'!AO8</f>
        <v>160.38499999999999</v>
      </c>
      <c r="V40" s="53">
        <f>'השקעה ברכוש קבוע'!AP8</f>
        <v>149.56499999999997</v>
      </c>
      <c r="W40" s="69">
        <f>'השקעה ברכוש קבוע'!AQ8</f>
        <v>520.80499999999995</v>
      </c>
      <c r="X40" s="69">
        <f>'השקעה ברכוש קבוע'!AR8</f>
        <v>130.80099999999999</v>
      </c>
      <c r="Y40" s="69">
        <f>'השקעה ברכוש קבוע'!AS8</f>
        <v>204.38800000000001</v>
      </c>
      <c r="Z40" s="69">
        <f>'השקעה ברכוש קבוע'!AT8</f>
        <v>194.929</v>
      </c>
      <c r="AA40" s="69">
        <f>'השקעה ברכוש קבוע'!AU8</f>
        <v>151.489</v>
      </c>
      <c r="AB40" s="69">
        <f>'השקעה ברכוש קבוע'!AV8</f>
        <v>681.60700000000008</v>
      </c>
      <c r="AC40" s="69">
        <f>'השקעה ברכוש קבוע'!AW8</f>
        <v>184.22099999999998</v>
      </c>
      <c r="AD40" s="69">
        <f>'השקעה ברכוש קבוע'!AX8</f>
        <v>202.751</v>
      </c>
      <c r="AE40" s="69">
        <f>'השקעה ברכוש קבוע'!AY8</f>
        <v>213.58199999999999</v>
      </c>
      <c r="AF40" s="69">
        <f>'השקעה ברכוש קבוע'!AZ8</f>
        <v>251.43099999999998</v>
      </c>
      <c r="AG40" s="69">
        <f>'השקעה ברכוש קבוע'!BA8</f>
        <v>851.9849999999999</v>
      </c>
      <c r="AH40" s="69">
        <f>'IC&amp;CF&amp;BS'!K75</f>
        <v>-632</v>
      </c>
      <c r="AI40" s="69">
        <f>'IC&amp;CF&amp;BS'!J75</f>
        <v>-457</v>
      </c>
      <c r="AJ40" s="69">
        <f>'IC&amp;CF&amp;BS'!I75</f>
        <v>-572</v>
      </c>
      <c r="AK40" s="69">
        <f>'IC&amp;CF&amp;BS'!H75</f>
        <v>-576</v>
      </c>
      <c r="AL40" s="69">
        <f>'IC&amp;CF&amp;BS'!G75</f>
        <v>-626</v>
      </c>
      <c r="AM40" s="69">
        <f>'IC&amp;CF&amp;BS'!F75</f>
        <v>-611</v>
      </c>
      <c r="AN40" s="764">
        <f>'IC&amp;CF&amp;BS'!AB75</f>
        <v>-131</v>
      </c>
      <c r="AO40" s="69">
        <f>'IC&amp;CF&amp;BS'!E75</f>
        <v>-747</v>
      </c>
      <c r="AP40" s="69">
        <f>'IC&amp;CF&amp;BS'!X75</f>
        <v>-164</v>
      </c>
      <c r="AQ40" s="53">
        <f>'IC&amp;CF&amp;BS'!W75</f>
        <v>-170</v>
      </c>
      <c r="AR40" s="367">
        <f>'IC&amp;CF&amp;BS'!V75</f>
        <v>-191</v>
      </c>
      <c r="AS40" s="897">
        <f>'IC&amp;CF&amp;BS'!W75</f>
        <v>-170</v>
      </c>
      <c r="AT40" s="69">
        <f>'IC&amp;CF&amp;BS'!D75</f>
        <v>-780</v>
      </c>
      <c r="AU40" s="69">
        <f>'IC&amp;CF&amp;BS'!T75</f>
        <v>-145</v>
      </c>
      <c r="AV40" s="69">
        <f>'IC&amp;CF&amp;BS'!S75</f>
        <v>-142</v>
      </c>
      <c r="AW40" s="69">
        <f>'IC&amp;CF&amp;BS'!R75</f>
        <v>-159</v>
      </c>
      <c r="AX40" s="69">
        <f>'IC&amp;CF&amp;BS'!Q75</f>
        <v>-267</v>
      </c>
      <c r="AY40" s="53">
        <f>AU40+AV40+AW40+AX40</f>
        <v>-713</v>
      </c>
      <c r="AZ40" s="62">
        <f>'IC&amp;CF&amp;BS'!P75</f>
        <v>-190</v>
      </c>
      <c r="BA40" s="916">
        <f>'IC&amp;CF&amp;BS'!O75</f>
        <v>-202</v>
      </c>
      <c r="BB40" s="1069">
        <f>'IC&amp;CF&amp;BS'!Y75</f>
        <v>-212</v>
      </c>
      <c r="BC40" s="1050">
        <v>-710</v>
      </c>
      <c r="BD40" s="981">
        <v>-670</v>
      </c>
      <c r="BE40" s="981">
        <v>-600</v>
      </c>
    </row>
    <row r="41" spans="1:59" ht="15" hidden="1" customHeight="1" x14ac:dyDescent="0.2">
      <c r="A41" s="64" t="s">
        <v>93</v>
      </c>
      <c r="B41" s="69"/>
      <c r="C41" s="53"/>
      <c r="D41" s="53"/>
      <c r="E41" s="53"/>
      <c r="F41" s="53"/>
      <c r="G41" s="53"/>
      <c r="H41" s="53"/>
      <c r="I41" s="53">
        <f>' מאזן ויחסי יעילות תפעולית'!H54</f>
        <v>867.19500000000016</v>
      </c>
      <c r="J41" s="53">
        <f>' מאזן ויחסי יעילות תפעולית'!I54</f>
        <v>953.63100000000009</v>
      </c>
      <c r="K41" s="53">
        <f>' מאזן ויחסי יעילות תפעולית'!J54</f>
        <v>1506.498</v>
      </c>
      <c r="L41" s="53">
        <f>' מאזן ויחסי יעילות תפעולית'!K54</f>
        <v>1884.2369999999996</v>
      </c>
      <c r="M41" s="53">
        <f>' מאזן ויחסי יעילות תפעולית'!O54</f>
        <v>1733.0719999999999</v>
      </c>
      <c r="N41" s="53">
        <f>' מאזן ויחסי יעילות תפעולית'!P54</f>
        <v>1786.1980000000003</v>
      </c>
      <c r="O41" s="53">
        <f>' מאזן ויחסי יעילות תפעולית'!Q54</f>
        <v>1546.1389999999999</v>
      </c>
      <c r="P41" s="53">
        <f>' מאזן ויחסי יעילות תפעולית'!R54</f>
        <v>1521.0160000000001</v>
      </c>
      <c r="Q41" s="53">
        <f>' מאזן ויחסי יעילות תפעולית'!S54</f>
        <v>1542.568</v>
      </c>
      <c r="R41" s="53">
        <f>' מאזן ויחסי יעילות תפעולית'!T54</f>
        <v>1542.568</v>
      </c>
      <c r="S41" s="53">
        <f>' מאזן ויחסי יעילות תפעולית'!U54</f>
        <v>1764.2649999999999</v>
      </c>
      <c r="T41" s="53">
        <f>' מאזן ויחסי יעילות תפעולית'!V54</f>
        <v>1922.6120000000001</v>
      </c>
      <c r="U41" s="53">
        <f>' מאזן ויחסי יעילות תפעולית'!W54</f>
        <v>1947.877</v>
      </c>
      <c r="V41" s="53">
        <f>' מאזן ויחסי יעילות תפעולית'!X54</f>
        <v>2073.415</v>
      </c>
      <c r="W41" s="69">
        <f>V41</f>
        <v>2073.415</v>
      </c>
      <c r="X41" s="69">
        <f>' מאזן ויחסי יעילות תפעולית'!Y54</f>
        <v>2133.5600000000004</v>
      </c>
      <c r="Y41" s="69">
        <f>' מאזן ויחסי יעילות תפעולית'!Z54</f>
        <v>2135.3230000000003</v>
      </c>
      <c r="Z41" s="69">
        <f>' מאזן ויחסי יעילות תפעולית'!AA54</f>
        <v>1990.9880000000001</v>
      </c>
      <c r="AA41" s="69">
        <f>' מאזן ויחסי יעילות תפעולית'!AB54</f>
        <v>1900.4940000000001</v>
      </c>
      <c r="AB41" s="54">
        <f>AA41</f>
        <v>1900.4940000000001</v>
      </c>
      <c r="AC41" s="53">
        <f>' מאזן ויחסי יעילות תפעולית'!AC54</f>
        <v>2004.0210000000002</v>
      </c>
      <c r="AD41" s="53">
        <f>' מאזן ויחסי יעילות תפעולית'!AD54</f>
        <v>1899.9159999999999</v>
      </c>
      <c r="AE41" s="53">
        <f>' מאזן ויחסי יעילות תפעולית'!AE54</f>
        <v>1748.0330000000001</v>
      </c>
      <c r="AF41" s="53">
        <f>' מאזן ויחסי יעילות תפעולית'!AF54</f>
        <v>1796.223</v>
      </c>
      <c r="AG41" s="53">
        <f>AF41</f>
        <v>1796.223</v>
      </c>
      <c r="AH41" s="53">
        <f>'IC&amp;CF&amp;BS'!K104+'IC&amp;CF&amp;BS'!K105-'IC&amp;CF&amp;BS'!K118</f>
        <v>1589</v>
      </c>
      <c r="AI41" s="53">
        <f>'IC&amp;CF&amp;BS'!J104+'IC&amp;CF&amp;BS'!J105-'IC&amp;CF&amp;BS'!J118</f>
        <v>1368</v>
      </c>
      <c r="AJ41" s="53">
        <f>'IC&amp;CF&amp;BS'!I104+'IC&amp;CF&amp;BS'!I105-'IC&amp;CF&amp;BS'!I118</f>
        <v>1565</v>
      </c>
      <c r="AK41" s="53">
        <f>'IC&amp;CF&amp;BS'!H104+'IC&amp;CF&amp;BS'!H105-'IC&amp;CF&amp;BS'!H118</f>
        <v>1378</v>
      </c>
      <c r="AL41" s="53">
        <f>'IC&amp;CF&amp;BS'!I104+'IC&amp;CF&amp;BS'!I105-'IC&amp;CF&amp;BS'!I118</f>
        <v>1565</v>
      </c>
      <c r="AM41" s="53">
        <f>'IC&amp;CF&amp;BS'!J104+'IC&amp;CF&amp;BS'!J105-'IC&amp;CF&amp;BS'!J118</f>
        <v>1368</v>
      </c>
      <c r="AN41" s="367">
        <f>'IC&amp;CF&amp;BS'!K104+'IC&amp;CF&amp;BS'!K105-'IC&amp;CF&amp;BS'!K118</f>
        <v>1589</v>
      </c>
      <c r="AO41" s="69">
        <f>AO13*AO42</f>
        <v>2744.11</v>
      </c>
      <c r="AP41" s="69"/>
      <c r="AQ41" s="53"/>
      <c r="AR41" s="367"/>
      <c r="AS41" s="897"/>
      <c r="AT41" s="69">
        <f>AT13*AT42</f>
        <v>2049.7920000000004</v>
      </c>
      <c r="AU41" s="69"/>
      <c r="AV41" s="69"/>
      <c r="AW41" s="69"/>
      <c r="AX41" s="69"/>
      <c r="AY41" s="899">
        <f>AY13*AY42</f>
        <v>1860.7520000000002</v>
      </c>
      <c r="AZ41" s="62"/>
      <c r="BA41" s="1043"/>
      <c r="BB41" s="764"/>
      <c r="BC41" s="1051">
        <f>BC13*BC42</f>
        <v>1946.4719183913044</v>
      </c>
      <c r="BD41" s="982">
        <f>BD13*BD42</f>
        <v>1999.5533188086958</v>
      </c>
      <c r="BE41" s="982">
        <f>BE13*BE42</f>
        <v>2033.2722135160002</v>
      </c>
    </row>
    <row r="42" spans="1:59" ht="24" hidden="1" x14ac:dyDescent="0.2">
      <c r="A42" s="154" t="s">
        <v>272</v>
      </c>
      <c r="B42" s="158"/>
      <c r="C42" s="76" t="e">
        <f>C41/B41-1</f>
        <v>#DIV/0!</v>
      </c>
      <c r="D42" s="76" t="e">
        <f>D41/C41-1</f>
        <v>#DIV/0!</v>
      </c>
      <c r="E42" s="76" t="e">
        <f>E41/D41-1</f>
        <v>#DIV/0!</v>
      </c>
      <c r="F42" s="76" t="e">
        <f>F41/E41-1</f>
        <v>#DIV/0!</v>
      </c>
      <c r="G42" s="76" t="e">
        <f>G41/F41-1</f>
        <v>#DIV/0!</v>
      </c>
      <c r="H42" s="76" t="e">
        <f>H41/#REF!-1</f>
        <v>#REF!</v>
      </c>
      <c r="I42" s="76" t="e">
        <f>I41/I13</f>
        <v>#REF!</v>
      </c>
      <c r="J42" s="76" t="e">
        <f>J41/J13</f>
        <v>#REF!</v>
      </c>
      <c r="K42" s="76" t="e">
        <f>K41/K13</f>
        <v>#REF!</v>
      </c>
      <c r="L42" s="76" t="e">
        <f>L41/L13</f>
        <v>#REF!</v>
      </c>
      <c r="M42" s="76" t="e">
        <f>M41/M13</f>
        <v>#REF!</v>
      </c>
      <c r="N42" s="76" t="e">
        <f>N41/N13/4</f>
        <v>#REF!</v>
      </c>
      <c r="O42" s="76" t="e">
        <f>O41/O13/4</f>
        <v>#REF!</v>
      </c>
      <c r="P42" s="76" t="e">
        <f>P41/P13/4</f>
        <v>#REF!</v>
      </c>
      <c r="Q42" s="252" t="e">
        <f>Q41/Q13/4</f>
        <v>#REF!</v>
      </c>
      <c r="R42" s="76">
        <v>0.26500000000000001</v>
      </c>
      <c r="S42" s="232" t="e">
        <f>S41/S13/4</f>
        <v>#REF!</v>
      </c>
      <c r="T42" s="254" t="e">
        <f>T41/T13/4</f>
        <v>#REF!</v>
      </c>
      <c r="U42" s="254" t="e">
        <f>U41/U13/4</f>
        <v>#REF!</v>
      </c>
      <c r="V42" s="252" t="e">
        <f>V41/V13/4</f>
        <v>#REF!</v>
      </c>
      <c r="W42" s="76" t="e">
        <f>W41/W13</f>
        <v>#REF!</v>
      </c>
      <c r="X42" s="76" t="e">
        <f>X41/X13/4</f>
        <v>#REF!</v>
      </c>
      <c r="Y42" s="76" t="e">
        <f>Y41/Y13/4</f>
        <v>#REF!</v>
      </c>
      <c r="Z42" s="76" t="e">
        <f>Z41/Z13/4</f>
        <v>#REF!</v>
      </c>
      <c r="AA42" s="76" t="e">
        <f>AA41/AA13/4</f>
        <v>#REF!</v>
      </c>
      <c r="AB42" s="76" t="e">
        <f>AB41/AB13</f>
        <v>#REF!</v>
      </c>
      <c r="AC42" s="76" t="e">
        <f>AC41/AC13/4</f>
        <v>#REF!</v>
      </c>
      <c r="AD42" s="76" t="e">
        <f>AD41/AD13/4</f>
        <v>#REF!</v>
      </c>
      <c r="AE42" s="76" t="e">
        <f>AE41/AE13/4</f>
        <v>#REF!</v>
      </c>
      <c r="AF42" s="76" t="e">
        <f>AF41/AF13/4</f>
        <v>#REF!</v>
      </c>
      <c r="AG42" s="76" t="e">
        <f>AG41/AG13</f>
        <v>#REF!</v>
      </c>
      <c r="AH42" s="232">
        <f t="shared" ref="AH42:AN42" si="76">AH41/AH13</f>
        <v>0.29628939026664181</v>
      </c>
      <c r="AI42" s="232">
        <f t="shared" si="76"/>
        <v>0.25249169435215946</v>
      </c>
      <c r="AJ42" s="232">
        <f t="shared" si="76"/>
        <v>0.28167746580273578</v>
      </c>
      <c r="AK42" s="232">
        <f t="shared" si="76"/>
        <v>0.26143046860178332</v>
      </c>
      <c r="AL42" s="232">
        <f t="shared" si="76"/>
        <v>0.31033115209200873</v>
      </c>
      <c r="AM42" s="232">
        <f t="shared" si="76"/>
        <v>0.19669302659956867</v>
      </c>
      <c r="AN42" s="891">
        <f t="shared" si="76"/>
        <v>0.62930693069306931</v>
      </c>
      <c r="AO42" s="254">
        <v>0.27400000000000002</v>
      </c>
      <c r="AP42" s="254"/>
      <c r="AQ42" s="232"/>
      <c r="AR42" s="891"/>
      <c r="AS42" s="905"/>
      <c r="AT42" s="254">
        <v>0.27200000000000002</v>
      </c>
      <c r="AU42" s="254"/>
      <c r="AV42" s="254"/>
      <c r="AW42" s="254"/>
      <c r="AX42" s="254"/>
      <c r="AY42" s="904">
        <v>0.27200000000000002</v>
      </c>
      <c r="AZ42" s="1033"/>
      <c r="BA42" s="1047"/>
      <c r="BB42" s="1066"/>
      <c r="BC42" s="1058">
        <v>0.26900000000000002</v>
      </c>
      <c r="BD42" s="990">
        <v>0.26900000000000002</v>
      </c>
      <c r="BE42" s="990">
        <v>0.26900000000000002</v>
      </c>
    </row>
    <row r="43" spans="1:59" ht="15.75" thickBot="1" x14ac:dyDescent="0.25">
      <c r="A43" s="648" t="s">
        <v>795</v>
      </c>
      <c r="B43" s="649"/>
      <c r="C43" s="650"/>
      <c r="D43" s="650"/>
      <c r="E43" s="650"/>
      <c r="F43" s="650"/>
      <c r="G43" s="650"/>
      <c r="H43" s="650"/>
      <c r="I43" s="650"/>
      <c r="J43" s="650"/>
      <c r="K43" s="650"/>
      <c r="L43" s="650"/>
      <c r="M43" s="650"/>
      <c r="N43" s="650"/>
      <c r="O43" s="650"/>
      <c r="P43" s="651"/>
      <c r="Q43" s="651"/>
      <c r="R43" s="651"/>
      <c r="S43" s="651"/>
      <c r="T43" s="651"/>
      <c r="U43" s="651"/>
      <c r="V43" s="651"/>
      <c r="W43" s="650"/>
      <c r="X43" s="652"/>
      <c r="Y43" s="652"/>
      <c r="Z43" s="652"/>
      <c r="AA43" s="652"/>
      <c r="AB43" s="652"/>
      <c r="AC43" s="652"/>
      <c r="AD43" s="652"/>
      <c r="AE43" s="652"/>
      <c r="AF43" s="653"/>
      <c r="AG43" s="652"/>
      <c r="AH43" s="653">
        <f t="shared" ref="AH43:AM43" si="77">AH39+AH40</f>
        <v>106</v>
      </c>
      <c r="AI43" s="653">
        <f t="shared" si="77"/>
        <v>361</v>
      </c>
      <c r="AJ43" s="653">
        <f t="shared" si="77"/>
        <v>369</v>
      </c>
      <c r="AK43" s="653">
        <f t="shared" si="77"/>
        <v>338</v>
      </c>
      <c r="AL43" s="653">
        <f t="shared" si="77"/>
        <v>70</v>
      </c>
      <c r="AM43" s="653">
        <f t="shared" si="77"/>
        <v>757</v>
      </c>
      <c r="AN43" s="895">
        <f t="shared" ref="AN43:AS43" si="78">AN39+AN40</f>
        <v>714</v>
      </c>
      <c r="AO43" s="653">
        <f t="shared" si="78"/>
        <v>1923</v>
      </c>
      <c r="AP43" s="653">
        <f t="shared" si="78"/>
        <v>268</v>
      </c>
      <c r="AQ43" s="652">
        <f t="shared" si="78"/>
        <v>94</v>
      </c>
      <c r="AR43" s="895">
        <f t="shared" si="78"/>
        <v>77</v>
      </c>
      <c r="AS43" s="906">
        <f t="shared" si="78"/>
        <v>52.300000000000011</v>
      </c>
      <c r="AT43" s="653">
        <f t="shared" ref="AT43:BC43" si="79">AT39+AT40</f>
        <v>383</v>
      </c>
      <c r="AU43" s="653">
        <f t="shared" si="79"/>
        <v>170</v>
      </c>
      <c r="AV43" s="653">
        <f t="shared" ref="AV43:AW43" si="80">AV39+AV40</f>
        <v>147</v>
      </c>
      <c r="AW43" s="653">
        <f t="shared" si="80"/>
        <v>141</v>
      </c>
      <c r="AX43" s="653">
        <f t="shared" ref="AX43" si="81">AX39+AX40</f>
        <v>-13</v>
      </c>
      <c r="AY43" s="652">
        <f t="shared" si="79"/>
        <v>445</v>
      </c>
      <c r="AZ43" s="1030">
        <f t="shared" ref="AZ43:BA43" si="82">AZ39+AZ40</f>
        <v>102</v>
      </c>
      <c r="BA43" s="1048">
        <f t="shared" si="82"/>
        <v>-28</v>
      </c>
      <c r="BB43" s="1067">
        <f t="shared" ref="BB43" si="83">BB39+BB40</f>
        <v>442.37889773423149</v>
      </c>
      <c r="BC43" s="1059">
        <f t="shared" si="79"/>
        <v>453.37206307409679</v>
      </c>
      <c r="BD43" s="991">
        <f t="shared" ref="BD43:BE43" si="84">BD39+BD40</f>
        <v>609.66747017015814</v>
      </c>
      <c r="BE43" s="991">
        <f t="shared" si="84"/>
        <v>627.96357919620004</v>
      </c>
    </row>
    <row r="44" spans="1:59" ht="15.75" thickTop="1" x14ac:dyDescent="0.2">
      <c r="A44" s="64" t="s">
        <v>283</v>
      </c>
      <c r="B44" s="67"/>
      <c r="C44" s="67"/>
      <c r="D44" s="67"/>
      <c r="E44" s="67"/>
      <c r="F44" s="67"/>
      <c r="G44" s="67"/>
      <c r="H44" s="67"/>
      <c r="I44" s="67"/>
      <c r="J44" s="67"/>
      <c r="K44" s="67"/>
      <c r="L44" s="67"/>
      <c r="M44" s="67"/>
      <c r="N44" s="67"/>
      <c r="O44" s="67"/>
      <c r="P44" s="67"/>
      <c r="Q44" s="67"/>
      <c r="S44" s="67"/>
      <c r="T44" s="67"/>
      <c r="U44" s="67"/>
      <c r="V44" s="67"/>
      <c r="W44" s="196"/>
      <c r="X44" s="67"/>
      <c r="Y44" s="67"/>
      <c r="Z44" s="67"/>
      <c r="AA44" s="212"/>
      <c r="AB44" s="261"/>
      <c r="AC44" s="67"/>
      <c r="AD44" s="67"/>
      <c r="AE44" s="67"/>
      <c r="AF44" s="212"/>
      <c r="AG44" s="212"/>
      <c r="AH44" s="212"/>
      <c r="AI44" s="212"/>
      <c r="AJ44" s="212"/>
      <c r="AK44" s="212"/>
      <c r="AL44" s="212"/>
      <c r="AM44" s="212"/>
      <c r="AN44" s="767"/>
      <c r="AO44" s="212"/>
      <c r="AP44" s="212"/>
      <c r="AQ44" s="212"/>
      <c r="AR44" s="212"/>
      <c r="AS44" s="196">
        <v>0.125</v>
      </c>
      <c r="AT44" s="776"/>
      <c r="AU44" s="212"/>
      <c r="AV44" s="212"/>
      <c r="AW44" s="212"/>
      <c r="AX44" s="212"/>
      <c r="AY44" s="930"/>
      <c r="AZ44" s="212"/>
      <c r="BA44" s="212"/>
      <c r="BB44" s="212"/>
      <c r="BC44" s="776">
        <v>0.25</v>
      </c>
      <c r="BD44" s="776">
        <v>1</v>
      </c>
      <c r="BE44" s="776">
        <f>1+BD44</f>
        <v>2</v>
      </c>
    </row>
    <row r="45" spans="1:59" ht="15" x14ac:dyDescent="0.2">
      <c r="A45" s="64" t="s">
        <v>799</v>
      </c>
      <c r="B45" s="67"/>
      <c r="C45" s="67"/>
      <c r="D45" s="67"/>
      <c r="E45" s="67"/>
      <c r="F45" s="67"/>
      <c r="G45" s="67"/>
      <c r="H45" s="67"/>
      <c r="I45" s="67"/>
      <c r="J45" s="67"/>
      <c r="K45" s="67"/>
      <c r="L45" s="67"/>
      <c r="M45" s="67"/>
      <c r="N45" s="67"/>
      <c r="O45" s="67"/>
      <c r="P45" s="67"/>
      <c r="Q45" s="67"/>
      <c r="S45" s="67"/>
      <c r="T45" s="67"/>
      <c r="U45" s="67"/>
      <c r="V45" s="67"/>
      <c r="W45" s="196"/>
      <c r="X45" s="67"/>
      <c r="Y45" s="67"/>
      <c r="Z45" s="67"/>
      <c r="AA45" s="212"/>
      <c r="AB45" s="261"/>
      <c r="AC45" s="67"/>
      <c r="AD45" s="67"/>
      <c r="AE45" s="67"/>
      <c r="AF45" s="212"/>
      <c r="AG45" s="212"/>
      <c r="AH45" s="212"/>
      <c r="AI45" s="212"/>
      <c r="AJ45" s="212"/>
      <c r="AK45" s="212"/>
      <c r="AL45" s="212"/>
      <c r="AM45" s="212"/>
      <c r="AN45" s="769">
        <f>AN43</f>
        <v>714</v>
      </c>
      <c r="AO45" s="62"/>
      <c r="AP45" s="62"/>
      <c r="AQ45" s="62"/>
      <c r="AR45" s="62"/>
      <c r="AS45" s="898">
        <f>AS43/(1+$AH$55)^AS44</f>
        <v>51.710045983354583</v>
      </c>
      <c r="AT45" s="898"/>
      <c r="AU45" s="62"/>
      <c r="AV45" s="62"/>
      <c r="AW45" s="62"/>
      <c r="AX45" s="62"/>
      <c r="AY45" s="898"/>
      <c r="AZ45" s="62"/>
      <c r="BA45" s="62"/>
      <c r="BB45" s="62"/>
      <c r="BC45" s="898">
        <f>BC43/(1+$AH$55)^BC44</f>
        <v>443.20150396375607</v>
      </c>
      <c r="BD45" s="898">
        <f>BD43/(1+$AH$55)^BD44</f>
        <v>556.77394536087502</v>
      </c>
      <c r="BE45" s="898">
        <f>BE43/(AH55-AH56)/(1+$AH$55)^(BE44-0.5)</f>
        <v>7307.2171572403595</v>
      </c>
    </row>
    <row r="46" spans="1:59" ht="19.5" hidden="1" customHeight="1" thickTop="1" x14ac:dyDescent="0.2">
      <c r="A46" s="768" t="s">
        <v>321</v>
      </c>
      <c r="B46" s="384"/>
      <c r="C46" s="384"/>
      <c r="D46" s="384"/>
      <c r="E46" s="384"/>
      <c r="F46" s="384"/>
      <c r="G46" s="384"/>
      <c r="H46" s="384"/>
      <c r="I46" s="384"/>
      <c r="J46" s="384"/>
      <c r="K46" s="384"/>
      <c r="L46" s="384"/>
      <c r="M46" s="384"/>
      <c r="N46" s="384"/>
      <c r="O46" s="384"/>
      <c r="P46" s="384"/>
      <c r="Q46" s="384"/>
      <c r="R46" s="384"/>
      <c r="S46" s="384"/>
      <c r="T46" s="384"/>
      <c r="U46" s="384"/>
      <c r="V46" s="384"/>
      <c r="W46" s="384"/>
      <c r="X46" s="384"/>
      <c r="Y46" s="384"/>
      <c r="Z46" s="384"/>
      <c r="AA46" s="384"/>
      <c r="AB46" s="384"/>
      <c r="AC46" s="384"/>
      <c r="AD46" s="384"/>
      <c r="AE46" s="384"/>
      <c r="AF46" s="384"/>
      <c r="AG46" s="384"/>
      <c r="AH46" s="384"/>
      <c r="AI46" s="384"/>
      <c r="AJ46" s="384"/>
      <c r="AK46" s="384"/>
      <c r="AL46" s="384"/>
      <c r="AM46" s="384"/>
      <c r="AN46" s="768"/>
      <c r="AO46" s="28"/>
      <c r="AP46" s="28"/>
      <c r="AQ46" s="28"/>
      <c r="AR46" s="28"/>
      <c r="AS46" s="28"/>
      <c r="AT46" s="28"/>
      <c r="AU46" s="28"/>
      <c r="AV46" s="28"/>
      <c r="AW46" s="28"/>
      <c r="AX46" s="28"/>
      <c r="AY46" s="28"/>
      <c r="AZ46" s="28"/>
      <c r="BA46" s="28"/>
      <c r="BB46" s="28"/>
      <c r="BC46" s="28"/>
    </row>
    <row r="47" spans="1:59" ht="15" hidden="1" x14ac:dyDescent="0.2">
      <c r="A47" s="64"/>
      <c r="B47" s="69"/>
      <c r="C47" s="53"/>
      <c r="D47" s="53"/>
      <c r="E47" s="53"/>
      <c r="F47" s="53"/>
      <c r="G47" s="53"/>
      <c r="H47" s="53"/>
      <c r="I47" s="53"/>
      <c r="J47" s="53"/>
      <c r="K47" s="53"/>
      <c r="L47" s="53"/>
      <c r="M47" s="53"/>
      <c r="N47" s="53"/>
      <c r="O47" s="53"/>
      <c r="P47" s="53"/>
      <c r="Q47" s="69"/>
      <c r="R47" s="53"/>
      <c r="S47" s="53"/>
      <c r="T47" s="53"/>
      <c r="U47" s="53"/>
      <c r="V47" s="53"/>
      <c r="W47" s="69"/>
      <c r="X47" s="69"/>
      <c r="Y47" s="69"/>
      <c r="Z47" s="69"/>
      <c r="AA47" s="69"/>
      <c r="AB47" s="69"/>
      <c r="AC47" s="69"/>
      <c r="AD47" s="69"/>
      <c r="AE47" s="69"/>
      <c r="AF47" s="69"/>
      <c r="AG47" s="69"/>
      <c r="AH47" s="53"/>
      <c r="AI47" s="53"/>
      <c r="AJ47" s="53"/>
      <c r="AK47" s="140"/>
      <c r="AL47" s="140"/>
      <c r="AM47" s="140"/>
      <c r="AN47" s="140"/>
      <c r="AO47" s="687" t="s">
        <v>608</v>
      </c>
      <c r="AP47" s="688"/>
      <c r="AQ47" s="688"/>
      <c r="AR47" s="688"/>
      <c r="AS47" s="688"/>
      <c r="AT47" s="688" t="s">
        <v>609</v>
      </c>
      <c r="AU47" s="688"/>
      <c r="AV47" s="933"/>
      <c r="AW47" s="933"/>
      <c r="AX47" s="933"/>
      <c r="AY47" s="688" t="s">
        <v>609</v>
      </c>
      <c r="AZ47" s="688"/>
      <c r="BA47" s="933"/>
      <c r="BB47" s="933"/>
      <c r="BC47" s="688" t="s">
        <v>610</v>
      </c>
      <c r="BD47" s="688" t="s">
        <v>610</v>
      </c>
      <c r="BE47" s="688" t="s">
        <v>610</v>
      </c>
    </row>
    <row r="48" spans="1:59" ht="15" hidden="1" customHeight="1" thickBot="1" x14ac:dyDescent="0.25">
      <c r="A48" s="665" t="s">
        <v>422</v>
      </c>
      <c r="B48" s="666"/>
      <c r="C48" s="667">
        <v>7.5929000000000002</v>
      </c>
      <c r="D48" s="667">
        <v>7.8840000000000003</v>
      </c>
      <c r="E48" s="667">
        <v>6.9165999999999999</v>
      </c>
      <c r="F48" s="667">
        <v>7.3616000000000001</v>
      </c>
      <c r="G48" s="667">
        <v>6.5221999999999998</v>
      </c>
      <c r="H48" s="667"/>
      <c r="I48" s="667"/>
      <c r="J48" s="667"/>
      <c r="K48" s="667"/>
      <c r="L48" s="667"/>
      <c r="M48" s="667"/>
      <c r="N48" s="667"/>
      <c r="O48" s="667"/>
      <c r="P48" s="667"/>
      <c r="Q48" s="667"/>
      <c r="R48" s="667"/>
      <c r="S48" s="667"/>
      <c r="T48" s="667"/>
      <c r="U48" s="667"/>
      <c r="V48" s="667"/>
      <c r="W48" s="667"/>
      <c r="X48" s="667"/>
      <c r="Y48" s="667"/>
      <c r="Z48" s="667"/>
      <c r="AA48" s="667"/>
      <c r="AB48" s="667"/>
      <c r="AC48" s="667"/>
      <c r="AD48" s="667"/>
      <c r="AE48" s="667"/>
      <c r="AF48" s="667"/>
      <c r="AG48" s="667"/>
      <c r="AH48" s="667"/>
      <c r="AI48" s="667"/>
      <c r="AJ48" s="667"/>
      <c r="AK48" s="681"/>
      <c r="AL48" s="681"/>
      <c r="AM48" s="681"/>
      <c r="AN48" s="681"/>
      <c r="AO48" s="667">
        <f>AM56/AO28</f>
        <v>2.8373155257656655</v>
      </c>
      <c r="AP48" s="667"/>
      <c r="AQ48" s="667"/>
      <c r="AR48" s="667"/>
      <c r="AS48" s="667"/>
      <c r="AT48" s="667" t="e">
        <f>$AK$57/AT28</f>
        <v>#VALUE!</v>
      </c>
      <c r="AU48" s="667"/>
      <c r="AV48" s="934"/>
      <c r="AW48" s="934"/>
      <c r="AX48" s="934"/>
      <c r="AY48" s="667" t="e">
        <f>$AK$57/AY28</f>
        <v>#VALUE!</v>
      </c>
      <c r="AZ48" s="667"/>
      <c r="BA48" s="934"/>
      <c r="BB48" s="934"/>
      <c r="BC48" s="668" t="e">
        <f>$AK$57/BC28</f>
        <v>#VALUE!</v>
      </c>
      <c r="BD48" s="668" t="e">
        <f>$AK$57/BD28</f>
        <v>#VALUE!</v>
      </c>
      <c r="BE48" s="668" t="e">
        <f>$AK$57/BE28</f>
        <v>#VALUE!</v>
      </c>
    </row>
    <row r="49" spans="1:115" ht="15" hidden="1" customHeight="1" thickBot="1" x14ac:dyDescent="0.25">
      <c r="A49" s="669" t="s">
        <v>489</v>
      </c>
      <c r="B49" s="670"/>
      <c r="C49" s="671">
        <v>7.5929000000000002</v>
      </c>
      <c r="D49" s="671">
        <v>7.8840000000000003</v>
      </c>
      <c r="E49" s="671">
        <v>6.9165999999999999</v>
      </c>
      <c r="F49" s="671">
        <v>7.3616000000000001</v>
      </c>
      <c r="G49" s="671">
        <v>6.5221999999999998</v>
      </c>
      <c r="H49" s="671"/>
      <c r="I49" s="671"/>
      <c r="J49" s="671"/>
      <c r="K49" s="671"/>
      <c r="L49" s="671"/>
      <c r="M49" s="671"/>
      <c r="N49" s="671"/>
      <c r="O49" s="671"/>
      <c r="P49" s="671"/>
      <c r="Q49" s="671"/>
      <c r="R49" s="671"/>
      <c r="S49" s="671"/>
      <c r="T49" s="671"/>
      <c r="U49" s="671"/>
      <c r="V49" s="671"/>
      <c r="W49" s="671"/>
      <c r="X49" s="671"/>
      <c r="Y49" s="671"/>
      <c r="Z49" s="671"/>
      <c r="AA49" s="671"/>
      <c r="AB49" s="671"/>
      <c r="AC49" s="671"/>
      <c r="AD49" s="671"/>
      <c r="AE49" s="671"/>
      <c r="AF49" s="671"/>
      <c r="AG49" s="671"/>
      <c r="AH49" s="671"/>
      <c r="AI49" s="671"/>
      <c r="AJ49" s="671"/>
      <c r="AK49" s="682"/>
      <c r="AL49" s="682"/>
      <c r="AM49" s="682"/>
      <c r="AN49" s="682"/>
      <c r="AO49" s="675" t="e">
        <f>(#REF!+$AH$57)/AO28</f>
        <v>#REF!</v>
      </c>
      <c r="AP49" s="675"/>
      <c r="AQ49" s="675"/>
      <c r="AR49" s="675"/>
      <c r="AS49" s="675"/>
      <c r="AT49" s="675" t="e">
        <f>(#REF!+$AH$57)/AT28</f>
        <v>#REF!</v>
      </c>
      <c r="AU49" s="675"/>
      <c r="AV49" s="935"/>
      <c r="AW49" s="935"/>
      <c r="AX49" s="935"/>
      <c r="AY49" s="675" t="e">
        <f>(#REF!+$AH$57)/AY28</f>
        <v>#REF!</v>
      </c>
      <c r="AZ49" s="675"/>
      <c r="BA49" s="935"/>
      <c r="BB49" s="935"/>
      <c r="BC49" s="677" t="e">
        <f>(#REF!+$AH$57)/BC28</f>
        <v>#REF!</v>
      </c>
      <c r="BD49" s="677" t="e">
        <f>(#REF!+$AH$57)/BD28</f>
        <v>#REF!</v>
      </c>
      <c r="BE49" s="677" t="e">
        <f>(#REF!+$AH$57)/BE28</f>
        <v>#REF!</v>
      </c>
    </row>
    <row r="50" spans="1:115" ht="15" hidden="1" x14ac:dyDescent="0.2">
      <c r="A50" s="672" t="s">
        <v>421</v>
      </c>
      <c r="B50" s="670"/>
      <c r="C50" s="671">
        <v>14.8521</v>
      </c>
      <c r="D50" s="671">
        <v>15.75</v>
      </c>
      <c r="E50" s="671">
        <v>13.321400000000001</v>
      </c>
      <c r="F50" s="671">
        <v>16.899999999999999</v>
      </c>
      <c r="G50" s="671">
        <v>11.5533</v>
      </c>
      <c r="H50" s="671"/>
      <c r="I50" s="671"/>
      <c r="J50" s="671"/>
      <c r="K50" s="671"/>
      <c r="L50" s="671"/>
      <c r="M50" s="671"/>
      <c r="N50" s="671"/>
      <c r="O50" s="671"/>
      <c r="P50" s="671"/>
      <c r="Q50" s="671"/>
      <c r="R50" s="671"/>
      <c r="S50" s="671"/>
      <c r="T50" s="671"/>
      <c r="U50" s="671"/>
      <c r="V50" s="671"/>
      <c r="W50" s="671"/>
      <c r="X50" s="671"/>
      <c r="Y50" s="671"/>
      <c r="Z50" s="671"/>
      <c r="AA50" s="671"/>
      <c r="AB50" s="671"/>
      <c r="AC50" s="671"/>
      <c r="AD50" s="671"/>
      <c r="AE50" s="671"/>
      <c r="AF50" s="671"/>
      <c r="AG50" s="671"/>
      <c r="AH50" s="671"/>
      <c r="AI50" s="671"/>
      <c r="AJ50" s="671"/>
      <c r="AK50" s="682"/>
      <c r="AL50" s="682"/>
      <c r="AM50" s="682"/>
      <c r="AN50" s="682"/>
      <c r="AO50" s="679">
        <f>$AH$62/AO39</f>
        <v>2.9440639745561672</v>
      </c>
      <c r="AP50" s="679"/>
      <c r="AQ50" s="679"/>
      <c r="AR50" s="679"/>
      <c r="AS50" s="679"/>
      <c r="AT50" s="679">
        <f>$AH$62/AT39</f>
        <v>6.7589430886199189</v>
      </c>
      <c r="AU50" s="679"/>
      <c r="AV50" s="936"/>
      <c r="AW50" s="936"/>
      <c r="AX50" s="936"/>
      <c r="AY50" s="679">
        <f>$AH$62/AY39</f>
        <v>6.7881267807124059</v>
      </c>
      <c r="AZ50" s="679"/>
      <c r="BA50" s="936"/>
      <c r="BB50" s="936"/>
      <c r="BC50" s="680">
        <f>$AH$62/BC39</f>
        <v>6.7567814816645724</v>
      </c>
      <c r="BD50" s="680">
        <f>$AH$62/BD39</f>
        <v>6.1427292599848071</v>
      </c>
      <c r="BE50" s="680">
        <f>$AH$62/BE39</f>
        <v>6.401371298984607</v>
      </c>
    </row>
    <row r="51" spans="1:115" ht="15" hidden="1" x14ac:dyDescent="0.2">
      <c r="A51" s="673" t="s">
        <v>490</v>
      </c>
      <c r="B51" s="674"/>
      <c r="C51" s="675">
        <v>14.8521</v>
      </c>
      <c r="D51" s="675">
        <v>15.75</v>
      </c>
      <c r="E51" s="675">
        <v>13.321400000000001</v>
      </c>
      <c r="F51" s="675">
        <v>16.899999999999999</v>
      </c>
      <c r="G51" s="675">
        <v>11.5533</v>
      </c>
      <c r="H51" s="675"/>
      <c r="I51" s="675"/>
      <c r="J51" s="675"/>
      <c r="K51" s="675"/>
      <c r="L51" s="675"/>
      <c r="M51" s="675"/>
      <c r="N51" s="675"/>
      <c r="O51" s="675"/>
      <c r="P51" s="675"/>
      <c r="Q51" s="675"/>
      <c r="R51" s="675"/>
      <c r="S51" s="675"/>
      <c r="T51" s="675"/>
      <c r="U51" s="675"/>
      <c r="V51" s="675"/>
      <c r="W51" s="675"/>
      <c r="X51" s="675"/>
      <c r="Y51" s="675"/>
      <c r="Z51" s="675"/>
      <c r="AA51" s="675"/>
      <c r="AB51" s="675"/>
      <c r="AC51" s="675"/>
      <c r="AD51" s="675"/>
      <c r="AE51" s="675"/>
      <c r="AF51" s="675"/>
      <c r="AG51" s="675"/>
      <c r="AH51" s="675"/>
      <c r="AI51" s="675"/>
      <c r="AJ51" s="677"/>
      <c r="AK51" s="683"/>
      <c r="AL51" s="683"/>
      <c r="AM51" s="683"/>
      <c r="AN51" s="683"/>
      <c r="AO51" s="676">
        <f>$AH$61/AO39</f>
        <v>3.1842168158077064</v>
      </c>
      <c r="AP51" s="676"/>
      <c r="AQ51" s="676"/>
      <c r="AR51" s="676"/>
      <c r="AS51" s="676"/>
      <c r="AT51" s="676">
        <f>$AH$61/AT39</f>
        <v>7.3102828015533756</v>
      </c>
      <c r="AU51" s="676"/>
      <c r="AV51" s="937"/>
      <c r="AW51" s="937"/>
      <c r="AX51" s="937"/>
      <c r="AY51" s="676">
        <f>$AH$61/AY39</f>
        <v>7.3418470623545558</v>
      </c>
      <c r="AZ51" s="676"/>
      <c r="BA51" s="937"/>
      <c r="BB51" s="937"/>
      <c r="BC51" s="677">
        <f>$AH$61/BC39</f>
        <v>7.3079448682489812</v>
      </c>
      <c r="BD51" s="677">
        <f>$AH$61/BD39</f>
        <v>6.6438032507586353</v>
      </c>
      <c r="BE51" s="677">
        <f>$AH$61/BE39</f>
        <v>6.9235432078300887</v>
      </c>
    </row>
    <row r="52" spans="1:115" ht="2.25" hidden="1" customHeight="1" thickBot="1" x14ac:dyDescent="0.25">
      <c r="A52" s="752"/>
      <c r="B52" s="225"/>
      <c r="C52" s="225"/>
      <c r="D52" s="225"/>
      <c r="E52" s="225"/>
      <c r="F52" s="225"/>
      <c r="G52" s="225"/>
      <c r="H52" s="225"/>
      <c r="I52" s="225"/>
      <c r="J52" s="199"/>
      <c r="K52" s="199"/>
      <c r="L52" s="200"/>
      <c r="M52" s="200"/>
      <c r="N52" s="199"/>
      <c r="O52" s="199"/>
      <c r="P52" s="199"/>
      <c r="Q52" s="199"/>
      <c r="R52" s="200"/>
      <c r="S52" s="199"/>
      <c r="T52" s="199"/>
      <c r="U52" s="199"/>
      <c r="V52" s="199"/>
      <c r="W52" s="200"/>
      <c r="X52" s="199"/>
      <c r="Y52" s="199"/>
      <c r="Z52" s="199"/>
      <c r="AA52" s="363"/>
      <c r="AB52" s="200"/>
      <c r="AC52" s="199"/>
      <c r="AD52" s="199"/>
      <c r="AE52" s="199"/>
      <c r="AF52" s="363"/>
      <c r="AG52" s="200"/>
      <c r="AH52" s="200"/>
      <c r="AI52" s="200"/>
      <c r="AJ52" s="200"/>
      <c r="AK52" s="200"/>
      <c r="AL52" s="200"/>
      <c r="AM52" s="200"/>
      <c r="AN52" s="200"/>
      <c r="AO52" s="200"/>
      <c r="AP52" s="867"/>
      <c r="AQ52" s="867"/>
      <c r="AR52" s="867"/>
      <c r="AS52" s="867"/>
      <c r="AT52" s="200"/>
      <c r="AU52" s="867"/>
      <c r="AV52" s="938"/>
      <c r="AW52" s="938"/>
      <c r="AX52" s="938"/>
      <c r="AY52" s="200"/>
      <c r="AZ52" s="867"/>
      <c r="BA52" s="938"/>
      <c r="BB52" s="938"/>
      <c r="BC52" s="200"/>
      <c r="BD52" s="200"/>
      <c r="BE52" s="200"/>
    </row>
    <row r="53" spans="1:115" ht="15.75" thickBot="1" x14ac:dyDescent="0.25">
      <c r="A53" s="47"/>
      <c r="B53" s="197"/>
      <c r="C53" s="197"/>
      <c r="D53" s="197"/>
      <c r="E53" s="197"/>
      <c r="F53" s="197"/>
      <c r="G53" s="197"/>
      <c r="H53" s="197"/>
      <c r="I53" s="197"/>
      <c r="J53" s="197"/>
      <c r="K53" s="197"/>
      <c r="L53" s="198"/>
      <c r="M53" s="198"/>
      <c r="N53" s="197"/>
      <c r="O53" s="197"/>
      <c r="P53" s="197"/>
      <c r="Q53" s="197"/>
      <c r="R53" s="198"/>
      <c r="S53" s="197"/>
      <c r="T53" s="197"/>
      <c r="U53" s="197"/>
      <c r="V53" s="197"/>
      <c r="W53" s="198"/>
      <c r="X53" s="197"/>
      <c r="Y53" s="197"/>
      <c r="Z53" s="197"/>
      <c r="AA53" s="197"/>
      <c r="AB53" s="198"/>
      <c r="AC53" s="197"/>
      <c r="AD53" s="197"/>
      <c r="AE53" s="197"/>
      <c r="AF53" s="197"/>
      <c r="AG53" s="198"/>
      <c r="AH53" s="198"/>
      <c r="AI53" s="198"/>
      <c r="AJ53" s="198"/>
      <c r="AK53" s="198"/>
      <c r="AL53" s="198"/>
      <c r="AM53" s="198"/>
      <c r="AN53" s="198"/>
      <c r="AO53" s="198"/>
      <c r="AP53" s="198"/>
      <c r="AQ53" s="198"/>
      <c r="AR53" s="198"/>
      <c r="AS53" s="198"/>
      <c r="AT53" s="198"/>
      <c r="AU53" s="198"/>
      <c r="AV53" s="198"/>
      <c r="AW53" s="198"/>
      <c r="AX53" s="198"/>
      <c r="AY53" s="198"/>
      <c r="AZ53" s="198"/>
      <c r="BA53" s="198"/>
      <c r="BB53" s="198"/>
      <c r="BC53" s="198"/>
      <c r="BD53" s="198"/>
      <c r="BE53" s="198"/>
    </row>
    <row r="54" spans="1:115" ht="15.75" thickTop="1" x14ac:dyDescent="0.2">
      <c r="A54" s="971" t="s">
        <v>303</v>
      </c>
      <c r="B54" s="972"/>
      <c r="C54" s="972"/>
      <c r="D54" s="972"/>
      <c r="E54" s="972"/>
      <c r="F54" s="972"/>
      <c r="G54" s="972"/>
      <c r="H54" s="972"/>
      <c r="I54" s="972"/>
      <c r="J54" s="973"/>
      <c r="K54" s="973"/>
      <c r="L54" s="658"/>
      <c r="M54" s="658"/>
      <c r="N54" s="973"/>
      <c r="O54" s="973"/>
      <c r="P54" s="973"/>
      <c r="Q54" s="973"/>
      <c r="R54" s="658"/>
      <c r="S54" s="973"/>
      <c r="T54" s="973"/>
      <c r="U54" s="973"/>
      <c r="V54" s="973"/>
      <c r="W54" s="658"/>
      <c r="X54" s="973"/>
      <c r="Y54" s="973"/>
      <c r="Z54" s="973"/>
      <c r="AA54" s="973"/>
      <c r="AB54" s="658"/>
      <c r="AC54" s="658"/>
      <c r="AD54" s="973"/>
      <c r="AE54" s="973"/>
      <c r="AF54" s="973"/>
      <c r="AG54" s="658"/>
      <c r="AH54" s="974" t="s">
        <v>796</v>
      </c>
      <c r="AI54" s="975" t="s">
        <v>362</v>
      </c>
      <c r="AJ54" s="198"/>
      <c r="AK54" s="198"/>
      <c r="AL54" s="198"/>
      <c r="AM54" s="198"/>
      <c r="AN54" s="198"/>
      <c r="AO54" s="198"/>
      <c r="AP54" s="198"/>
      <c r="AQ54" s="198"/>
      <c r="AR54" s="198"/>
      <c r="AS54" s="198"/>
      <c r="AT54" s="198"/>
      <c r="AU54" s="198"/>
      <c r="AV54" s="198"/>
      <c r="AW54" s="198"/>
      <c r="AX54" s="198"/>
      <c r="AY54" s="198"/>
      <c r="AZ54" s="198"/>
      <c r="BA54" s="198"/>
      <c r="BB54" s="198"/>
      <c r="BC54" s="198"/>
      <c r="BD54" s="198"/>
      <c r="BE54" s="198"/>
    </row>
    <row r="55" spans="1:115" ht="15" customHeight="1" x14ac:dyDescent="0.2">
      <c r="A55" s="64" t="s">
        <v>273</v>
      </c>
      <c r="B55" s="67"/>
      <c r="C55" s="68"/>
      <c r="D55" s="68"/>
      <c r="E55" s="68"/>
      <c r="F55" s="68"/>
      <c r="G55" s="68"/>
      <c r="H55" s="68"/>
      <c r="N55" s="68"/>
      <c r="O55" s="68"/>
      <c r="P55" s="68"/>
      <c r="Q55" s="68"/>
      <c r="S55" s="68"/>
      <c r="T55" s="68"/>
      <c r="U55" s="68"/>
      <c r="V55" s="68"/>
      <c r="X55" s="68"/>
      <c r="Y55" s="68"/>
      <c r="Z55" s="68"/>
      <c r="AA55" s="68"/>
      <c r="AD55" s="68"/>
      <c r="AE55" s="62"/>
      <c r="AF55" s="68"/>
      <c r="AH55" s="952">
        <v>9.5000000000000001E-2</v>
      </c>
      <c r="AI55" s="777"/>
      <c r="AK55" s="32" t="s">
        <v>873</v>
      </c>
      <c r="AL55" s="32"/>
      <c r="AM55" s="751">
        <f>'IC&amp;CF&amp;BS'!P145</f>
        <v>3852</v>
      </c>
      <c r="AN55" s="68"/>
      <c r="AO55" s="62"/>
      <c r="AP55" s="62"/>
      <c r="AQ55" s="62"/>
      <c r="AR55" s="62"/>
      <c r="AS55" s="62"/>
      <c r="AT55" s="62"/>
      <c r="AU55" s="62"/>
      <c r="AV55" s="62"/>
      <c r="AW55" s="62"/>
      <c r="AX55" s="62"/>
      <c r="AY55" s="62"/>
      <c r="AZ55" s="62"/>
      <c r="BA55" s="62"/>
      <c r="BB55" s="62"/>
      <c r="BC55" s="62"/>
      <c r="BD55" s="62"/>
      <c r="BE55" s="62"/>
      <c r="BF55" s="62"/>
      <c r="BG55" s="62"/>
      <c r="BH55" s="62"/>
      <c r="BI55" s="62"/>
      <c r="BJ55" s="62"/>
      <c r="BK55" s="62"/>
      <c r="BL55" s="62"/>
      <c r="BM55" s="62"/>
      <c r="BN55" s="62"/>
      <c r="BO55" s="62"/>
      <c r="BP55" s="62"/>
      <c r="BQ55" s="62"/>
      <c r="BR55" s="62"/>
      <c r="BS55" s="62"/>
      <c r="BT55" s="62"/>
      <c r="BU55" s="62"/>
      <c r="BV55" s="62"/>
      <c r="BW55" s="62"/>
      <c r="BX55" s="62"/>
      <c r="BY55" s="62"/>
      <c r="BZ55" s="62"/>
      <c r="CA55" s="62"/>
      <c r="CB55" s="62"/>
      <c r="CC55" s="62"/>
      <c r="CD55" s="62"/>
      <c r="CE55" s="62"/>
      <c r="CF55" s="62"/>
      <c r="CG55" s="62"/>
      <c r="CH55" s="62"/>
      <c r="CI55" s="62"/>
      <c r="CJ55" s="62"/>
      <c r="CK55" s="62"/>
      <c r="CL55" s="62"/>
      <c r="CM55" s="62"/>
      <c r="CN55" s="62"/>
      <c r="CO55" s="62"/>
      <c r="CP55" s="62"/>
      <c r="CQ55" s="62"/>
      <c r="CR55" s="62"/>
      <c r="CS55" s="62"/>
      <c r="CT55" s="62"/>
      <c r="CU55" s="62"/>
      <c r="CV55" s="62"/>
      <c r="CW55" s="62"/>
      <c r="CX55" s="62"/>
      <c r="CY55" s="62"/>
      <c r="CZ55" s="62"/>
      <c r="DA55" s="62"/>
      <c r="DB55" s="62"/>
      <c r="DC55" s="62"/>
      <c r="DD55" s="62"/>
      <c r="DE55" s="62"/>
      <c r="DF55" s="62"/>
      <c r="DG55" s="62"/>
      <c r="DH55" s="62"/>
      <c r="DI55" s="62"/>
      <c r="DJ55" s="62"/>
      <c r="DK55" s="62"/>
    </row>
    <row r="56" spans="1:115" ht="15" customHeight="1" x14ac:dyDescent="0.2">
      <c r="A56" s="64" t="s">
        <v>274</v>
      </c>
      <c r="AH56" s="952">
        <v>0.02</v>
      </c>
      <c r="AI56" s="754"/>
      <c r="AK56" s="31" t="s">
        <v>872</v>
      </c>
      <c r="AL56" s="31"/>
      <c r="AM56" s="751">
        <f>AH62-AH59-AH58+AM55</f>
        <v>11388.984520423381</v>
      </c>
      <c r="AO56" s="62"/>
      <c r="AP56" s="62"/>
      <c r="AQ56" s="62"/>
      <c r="AR56" s="62"/>
      <c r="AS56" s="62"/>
      <c r="AT56" s="62"/>
      <c r="AU56" s="62"/>
      <c r="AV56" s="62"/>
      <c r="AW56" s="62"/>
      <c r="AX56" s="62"/>
      <c r="AY56" s="62"/>
      <c r="AZ56" s="62"/>
      <c r="BA56" s="67"/>
      <c r="BB56" s="62"/>
      <c r="BC56" s="957">
        <f>AM56/BC28</f>
        <v>7.6110298920067718</v>
      </c>
      <c r="BD56" s="957">
        <f>AM56/BD28</f>
        <v>6.8617430866231865</v>
      </c>
      <c r="BE56" s="957">
        <f>AM56/BE28</f>
        <v>7.0290932734732321</v>
      </c>
      <c r="BF56" s="228"/>
    </row>
    <row r="57" spans="1:115" ht="15" customHeight="1" x14ac:dyDescent="0.2">
      <c r="A57" s="64" t="s">
        <v>275</v>
      </c>
      <c r="P57" s="186"/>
      <c r="AB57" s="62"/>
      <c r="AC57" s="62"/>
      <c r="AG57" s="62"/>
      <c r="AH57" s="69">
        <f>SUM(BC45:BE45)-AZ43-BA43</f>
        <v>8233.1926065649914</v>
      </c>
      <c r="AI57" s="62"/>
      <c r="AK57" s="31" t="s">
        <v>874</v>
      </c>
      <c r="AL57" s="31"/>
      <c r="AM57" s="751">
        <f>AH57+AM55-AH58-AH59-AH60</f>
        <v>11816.526314923407</v>
      </c>
      <c r="AN57" s="62"/>
      <c r="AO57" s="62"/>
      <c r="AP57" s="62"/>
      <c r="AQ57" s="62"/>
      <c r="AR57" s="62"/>
      <c r="AS57" s="62"/>
      <c r="AT57" s="62"/>
      <c r="AU57" s="62"/>
      <c r="AV57" s="62"/>
      <c r="AW57" s="62"/>
      <c r="AX57" s="62"/>
      <c r="AY57" s="62"/>
      <c r="AZ57" s="62"/>
      <c r="BA57" s="62"/>
      <c r="BB57" s="62"/>
      <c r="BC57" s="957">
        <f>AM57/BC28</f>
        <v>7.8967474967841422</v>
      </c>
      <c r="BD57" s="957">
        <f>AM57/BD28</f>
        <v>7.1193325097532449</v>
      </c>
      <c r="BE57" s="957">
        <f>AM57/BE28</f>
        <v>7.2929650125610896</v>
      </c>
    </row>
    <row r="58" spans="1:115" ht="15" customHeight="1" thickBot="1" x14ac:dyDescent="0.25">
      <c r="A58" s="771" t="s">
        <v>871</v>
      </c>
      <c r="AH58" s="136">
        <f>-('IC&amp;CF&amp;BS'!O146+'IC&amp;CF&amp;BS'!O147)</f>
        <v>701</v>
      </c>
      <c r="AJ58" s="62"/>
      <c r="AK58" s="62"/>
      <c r="AL58" s="62"/>
      <c r="AM58" s="62"/>
      <c r="AN58" s="62"/>
      <c r="AO58" s="62"/>
      <c r="AP58" s="62"/>
      <c r="AQ58" s="62"/>
      <c r="AR58" s="62"/>
      <c r="AS58" s="62"/>
      <c r="AT58" s="62"/>
      <c r="AU58" s="62"/>
      <c r="AV58" s="62"/>
      <c r="AW58" s="62"/>
      <c r="AX58" s="62"/>
      <c r="AY58" s="62"/>
      <c r="AZ58" s="62"/>
      <c r="BA58" s="62"/>
      <c r="BB58" s="62"/>
      <c r="BC58" s="62"/>
      <c r="BD58" s="62"/>
      <c r="BE58" s="62"/>
    </row>
    <row r="59" spans="1:115" ht="15" customHeight="1" thickTop="1" x14ac:dyDescent="0.2">
      <c r="A59" s="771" t="s">
        <v>277</v>
      </c>
      <c r="R59" s="929"/>
      <c r="AG59" s="62"/>
      <c r="AH59" s="69">
        <f>-'IC&amp;CF&amp;BS'!O130/'IC&amp;CF&amp;BS'!O129*(AH57+AH58)</f>
        <v>-377.33370835841498</v>
      </c>
      <c r="AI59" s="62"/>
      <c r="AJ59" s="62"/>
      <c r="AK59" s="62"/>
      <c r="AL59" s="62"/>
      <c r="AM59" s="62"/>
      <c r="AN59" s="62"/>
      <c r="AV59" s="46"/>
      <c r="AW59" s="46"/>
      <c r="AX59" s="46"/>
      <c r="BA59" s="46"/>
      <c r="BB59" s="46"/>
      <c r="BE59" s="35" t="s">
        <v>798</v>
      </c>
      <c r="BF59" s="35"/>
      <c r="BG59" s="35"/>
      <c r="BH59" s="35"/>
      <c r="BI59" s="35"/>
      <c r="BJ59" s="35"/>
      <c r="BK59" s="35"/>
      <c r="BL59" s="35"/>
      <c r="BM59" s="35"/>
      <c r="BN59" s="35"/>
    </row>
    <row r="60" spans="1:115" ht="43.5" thickBot="1" x14ac:dyDescent="0.25">
      <c r="A60" s="771" t="s">
        <v>904</v>
      </c>
      <c r="AH60" s="72">
        <v>-55</v>
      </c>
      <c r="AI60" s="46" t="s">
        <v>1011</v>
      </c>
      <c r="AK60" s="751"/>
      <c r="AL60" s="751"/>
      <c r="AM60" s="751"/>
      <c r="AN60" s="751"/>
      <c r="AV60" s="46"/>
      <c r="AW60" s="46"/>
      <c r="AX60" s="46"/>
      <c r="AZ60" s="62">
        <f>BC28-BC27+BC31+BC32+BC35</f>
        <v>542.37206307409679</v>
      </c>
      <c r="BA60" s="62">
        <f>BD28-BD27+BD31+BD32+BD35</f>
        <v>659.66747017015814</v>
      </c>
      <c r="BB60" s="46"/>
      <c r="BE60" s="962">
        <f>AH68</f>
        <v>22.713009537111915</v>
      </c>
      <c r="BF60" s="918">
        <v>8.5000000000000006E-2</v>
      </c>
      <c r="BG60" s="958">
        <v>8.7499999999999994E-2</v>
      </c>
      <c r="BH60" s="918">
        <v>0.09</v>
      </c>
      <c r="BI60" s="958">
        <v>9.2499999999999999E-2</v>
      </c>
      <c r="BJ60" s="919">
        <v>9.5000000000000001E-2</v>
      </c>
      <c r="BK60" s="958">
        <v>9.7500000000000003E-2</v>
      </c>
      <c r="BL60" s="918">
        <v>0.1</v>
      </c>
      <c r="BM60" s="958">
        <v>0.10249999999999999</v>
      </c>
      <c r="BN60" s="920">
        <v>0.105</v>
      </c>
    </row>
    <row r="61" spans="1:115" ht="15" customHeight="1" thickTop="1" x14ac:dyDescent="0.2">
      <c r="A61" s="793" t="s">
        <v>286</v>
      </c>
      <c r="B61" s="794"/>
      <c r="C61" s="794"/>
      <c r="D61" s="794"/>
      <c r="E61" s="794"/>
      <c r="F61" s="794"/>
      <c r="G61" s="794"/>
      <c r="H61" s="794"/>
      <c r="I61" s="794"/>
      <c r="J61" s="794"/>
      <c r="K61" s="794"/>
      <c r="L61" s="794"/>
      <c r="M61" s="794"/>
      <c r="N61" s="794"/>
      <c r="O61" s="794"/>
      <c r="P61" s="794"/>
      <c r="Q61" s="794"/>
      <c r="R61" s="794"/>
      <c r="S61" s="794"/>
      <c r="T61" s="794"/>
      <c r="U61" s="794"/>
      <c r="V61" s="794"/>
      <c r="W61" s="794"/>
      <c r="X61" s="794"/>
      <c r="Y61" s="794"/>
      <c r="Z61" s="794"/>
      <c r="AA61" s="794"/>
      <c r="AB61" s="794"/>
      <c r="AC61" s="794"/>
      <c r="AD61" s="794"/>
      <c r="AE61" s="794"/>
      <c r="AF61" s="794"/>
      <c r="AG61" s="794"/>
      <c r="AH61" s="773">
        <f>SUM(AH57:AH60)</f>
        <v>8501.8588982065758</v>
      </c>
      <c r="AI61" s="709" t="s">
        <v>326</v>
      </c>
      <c r="AJ61" s="654"/>
      <c r="AK61" s="198"/>
      <c r="AL61" s="198"/>
      <c r="AM61" s="198"/>
      <c r="AN61" s="198"/>
      <c r="AV61" s="46"/>
      <c r="AW61" s="46"/>
      <c r="AX61" s="46"/>
      <c r="AZ61" s="46">
        <f>AH62/AZ60</f>
        <v>14.493096800583318</v>
      </c>
      <c r="BA61" s="46">
        <f>AH62/BA60</f>
        <v>11.91608070356622</v>
      </c>
      <c r="BB61" s="46"/>
      <c r="BE61" s="970">
        <v>0.01</v>
      </c>
      <c r="BF61" s="963">
        <f t="dataTable" ref="BF61:BN69" dt2D="1" dtr="1" r1="AH55" r2="AH56"/>
        <v>22.987822141599622</v>
      </c>
      <c r="BG61" s="963">
        <v>22.309156023621707</v>
      </c>
      <c r="BH61" s="963">
        <v>21.673027114937145</v>
      </c>
      <c r="BI61" s="963">
        <v>21.075567107351528</v>
      </c>
      <c r="BJ61" s="964">
        <v>20.513362802542407</v>
      </c>
      <c r="BK61" s="963">
        <v>19.983391096167644</v>
      </c>
      <c r="BL61" s="963">
        <v>19.48296479795858</v>
      </c>
      <c r="BM61" s="963">
        <v>19.009687237746956</v>
      </c>
      <c r="BN61" s="965">
        <v>18.561414038963903</v>
      </c>
    </row>
    <row r="62" spans="1:115" ht="15" customHeight="1" x14ac:dyDescent="0.2">
      <c r="A62" s="795" t="s">
        <v>287</v>
      </c>
      <c r="B62" s="796"/>
      <c r="C62" s="796"/>
      <c r="D62" s="796"/>
      <c r="E62" s="796"/>
      <c r="F62" s="796"/>
      <c r="G62" s="796"/>
      <c r="H62" s="796"/>
      <c r="I62" s="796"/>
      <c r="J62" s="796"/>
      <c r="K62" s="796"/>
      <c r="L62" s="796"/>
      <c r="M62" s="796"/>
      <c r="N62" s="796"/>
      <c r="O62" s="796"/>
      <c r="P62" s="796"/>
      <c r="Q62" s="797"/>
      <c r="R62" s="796"/>
      <c r="S62" s="796"/>
      <c r="T62" s="796"/>
      <c r="U62" s="796"/>
      <c r="V62" s="797"/>
      <c r="W62" s="796"/>
      <c r="X62" s="634"/>
      <c r="Y62" s="796"/>
      <c r="Z62" s="796"/>
      <c r="AA62" s="634"/>
      <c r="AB62" s="796"/>
      <c r="AC62" s="634"/>
      <c r="AD62" s="796"/>
      <c r="AE62" s="796"/>
      <c r="AF62" s="796"/>
      <c r="AG62" s="796"/>
      <c r="AH62" s="798">
        <f>AH65*AH69/AH71</f>
        <v>7860.650812064966</v>
      </c>
      <c r="AI62" s="634"/>
      <c r="AV62" s="46"/>
      <c r="AW62" s="46"/>
      <c r="AX62" s="46"/>
      <c r="BA62" s="46"/>
      <c r="BB62" s="46"/>
      <c r="BE62" s="969">
        <v>1.2500000000000001E-2</v>
      </c>
      <c r="BF62" s="262">
        <v>23.641479926077</v>
      </c>
      <c r="BG62" s="262">
        <v>22.918534976923041</v>
      </c>
      <c r="BH62" s="262">
        <v>22.242355554297294</v>
      </c>
      <c r="BI62" s="262">
        <v>21.608556064188193</v>
      </c>
      <c r="BJ62" s="664">
        <v>21.013282514944567</v>
      </c>
      <c r="BK62" s="262">
        <v>20.453134340256856</v>
      </c>
      <c r="BL62" s="262">
        <v>19.925099623915937</v>
      </c>
      <c r="BM62" s="262">
        <v>19.426501120448485</v>
      </c>
      <c r="BN62" s="663">
        <v>18.954951029165514</v>
      </c>
    </row>
    <row r="63" spans="1:115" ht="15" customHeight="1" x14ac:dyDescent="0.2">
      <c r="A63" s="779" t="s">
        <v>286</v>
      </c>
      <c r="B63" s="780"/>
      <c r="C63" s="780"/>
      <c r="D63" s="780"/>
      <c r="E63" s="780"/>
      <c r="F63" s="780"/>
      <c r="G63" s="780"/>
      <c r="H63" s="780"/>
      <c r="I63" s="780"/>
      <c r="J63" s="780"/>
      <c r="K63" s="780"/>
      <c r="L63" s="780"/>
      <c r="M63" s="780"/>
      <c r="N63" s="780"/>
      <c r="O63" s="780"/>
      <c r="P63" s="780"/>
      <c r="Q63" s="780"/>
      <c r="R63" s="780"/>
      <c r="S63" s="780"/>
      <c r="T63" s="780"/>
      <c r="U63" s="780"/>
      <c r="V63" s="780"/>
      <c r="W63" s="780"/>
      <c r="X63" s="780"/>
      <c r="Y63" s="780"/>
      <c r="Z63" s="780"/>
      <c r="AA63" s="780"/>
      <c r="AB63" s="780"/>
      <c r="AC63" s="780"/>
      <c r="AD63" s="780"/>
      <c r="AE63" s="780"/>
      <c r="AF63" s="780"/>
      <c r="AG63" s="780"/>
      <c r="AH63" s="787">
        <f>AH61*AH71</f>
        <v>29314.409481016271</v>
      </c>
      <c r="AI63" s="870" t="s">
        <v>869</v>
      </c>
      <c r="AV63" s="46"/>
      <c r="AW63" s="46"/>
      <c r="AX63" s="46"/>
      <c r="AZ63" s="62">
        <f>BA30+BB30+445</f>
        <v>1613.3788977342315</v>
      </c>
      <c r="BA63" s="46"/>
      <c r="BB63" s="46"/>
      <c r="BE63" s="952">
        <v>1.4999999999999999E-2</v>
      </c>
      <c r="BF63" s="262">
        <v>24.34182755230276</v>
      </c>
      <c r="BG63" s="262">
        <v>23.569940064934805</v>
      </c>
      <c r="BH63" s="262">
        <v>22.849639222948124</v>
      </c>
      <c r="BI63" s="262">
        <v>22.1759314053369</v>
      </c>
      <c r="BJ63" s="664">
        <v>21.54444720937186</v>
      </c>
      <c r="BK63" s="262">
        <v>20.951346871866622</v>
      </c>
      <c r="BL63" s="262">
        <v>20.393242380811962</v>
      </c>
      <c r="BM63" s="262">
        <v>19.867132939304398</v>
      </c>
      <c r="BN63" s="663">
        <v>19.370351185489433</v>
      </c>
    </row>
    <row r="64" spans="1:115" ht="15" customHeight="1" x14ac:dyDescent="0.2">
      <c r="A64" s="788" t="s">
        <v>287</v>
      </c>
      <c r="B64" s="789"/>
      <c r="C64" s="789"/>
      <c r="D64" s="789"/>
      <c r="E64" s="789"/>
      <c r="F64" s="789"/>
      <c r="G64" s="789"/>
      <c r="H64" s="789"/>
      <c r="I64" s="789"/>
      <c r="J64" s="789"/>
      <c r="K64" s="789"/>
      <c r="L64" s="789"/>
      <c r="M64" s="789"/>
      <c r="N64" s="789"/>
      <c r="O64" s="789"/>
      <c r="P64" s="789"/>
      <c r="Q64" s="790"/>
      <c r="R64" s="789"/>
      <c r="S64" s="789"/>
      <c r="T64" s="789"/>
      <c r="U64" s="789"/>
      <c r="V64" s="790"/>
      <c r="W64" s="789"/>
      <c r="X64" s="791"/>
      <c r="Y64" s="789"/>
      <c r="Z64" s="789"/>
      <c r="AA64" s="791"/>
      <c r="AB64" s="789"/>
      <c r="AC64" s="791"/>
      <c r="AD64" s="789"/>
      <c r="AE64" s="789"/>
      <c r="AF64" s="789"/>
      <c r="AG64" s="789"/>
      <c r="AH64" s="792">
        <f>AH62*AH71</f>
        <v>27103.524000000001</v>
      </c>
      <c r="AI64" s="791"/>
      <c r="AV64" s="46"/>
      <c r="AW64" s="46"/>
      <c r="AX64" s="46"/>
      <c r="AZ64" s="46">
        <f>AM56/AZ63</f>
        <v>7.0590885602989113</v>
      </c>
      <c r="BA64" s="46"/>
      <c r="BB64" s="46"/>
      <c r="BE64" s="968">
        <v>1.7500000000000002E-2</v>
      </c>
      <c r="BF64" s="262">
        <v>25.094052780471177</v>
      </c>
      <c r="BG64" s="262">
        <v>24.267874087804554</v>
      </c>
      <c r="BH64" s="262">
        <v>23.498804523919695</v>
      </c>
      <c r="BI64" s="262">
        <v>22.781131769228864</v>
      </c>
      <c r="BJ64" s="664">
        <v>22.109880593762213</v>
      </c>
      <c r="BK64" s="262">
        <v>21.480697686702001</v>
      </c>
      <c r="BL64" s="262">
        <v>20.889757426004717</v>
      </c>
      <c r="BM64" s="262">
        <v>20.333684276916536</v>
      </c>
      <c r="BN64" s="663">
        <v>19.80948849360329</v>
      </c>
    </row>
    <row r="65" spans="1:66" ht="15" customHeight="1" x14ac:dyDescent="0.2">
      <c r="A65" s="660" t="s">
        <v>797</v>
      </c>
      <c r="B65" s="655"/>
      <c r="C65" s="655"/>
      <c r="D65" s="655"/>
      <c r="E65" s="655"/>
      <c r="F65" s="655"/>
      <c r="G65" s="655"/>
      <c r="H65" s="655"/>
      <c r="I65" s="655"/>
      <c r="J65" s="655"/>
      <c r="K65" s="655"/>
      <c r="L65" s="655"/>
      <c r="M65" s="655"/>
      <c r="N65" s="753"/>
      <c r="O65" s="655"/>
      <c r="P65" s="655"/>
      <c r="Q65" s="656"/>
      <c r="R65" s="655"/>
      <c r="S65" s="655"/>
      <c r="T65" s="655"/>
      <c r="U65" s="655"/>
      <c r="V65" s="655"/>
      <c r="W65" s="655"/>
      <c r="X65" s="655"/>
      <c r="Y65" s="655"/>
      <c r="Z65" s="655"/>
      <c r="AA65" s="655"/>
      <c r="AB65" s="655"/>
      <c r="AC65" s="655"/>
      <c r="AD65" s="655"/>
      <c r="AE65" s="655"/>
      <c r="AF65" s="655"/>
      <c r="AG65" s="655"/>
      <c r="AH65" s="749">
        <f>1290.644</f>
        <v>1290.644</v>
      </c>
      <c r="AI65" s="657"/>
      <c r="AV65" s="46"/>
      <c r="AW65" s="46"/>
      <c r="AX65" s="46"/>
      <c r="BA65" s="46"/>
      <c r="BB65" s="46"/>
      <c r="BE65" s="966">
        <v>0.02</v>
      </c>
      <c r="BF65" s="959">
        <v>25.904141487729461</v>
      </c>
      <c r="BG65" s="959">
        <v>25.017506927183184</v>
      </c>
      <c r="BH65" s="959">
        <v>24.194338774960659</v>
      </c>
      <c r="BI65" s="959">
        <v>23.428070089251296</v>
      </c>
      <c r="BJ65" s="960">
        <v>22.713009537111915</v>
      </c>
      <c r="BK65" s="959">
        <v>22.044200167010629</v>
      </c>
      <c r="BL65" s="959">
        <v>21.417304661522014</v>
      </c>
      <c r="BM65" s="959">
        <v>20.828511453171831</v>
      </c>
      <c r="BN65" s="961">
        <v>20.274457408076788</v>
      </c>
    </row>
    <row r="66" spans="1:66" ht="15" customHeight="1" x14ac:dyDescent="0.2">
      <c r="A66" s="793" t="s">
        <v>278</v>
      </c>
      <c r="B66" s="800"/>
      <c r="C66" s="800"/>
      <c r="D66" s="800"/>
      <c r="E66" s="800"/>
      <c r="F66" s="800"/>
      <c r="G66" s="800"/>
      <c r="H66" s="800"/>
      <c r="I66" s="800"/>
      <c r="J66" s="800"/>
      <c r="K66" s="800"/>
      <c r="L66" s="800"/>
      <c r="M66" s="800"/>
      <c r="N66" s="800"/>
      <c r="O66" s="800"/>
      <c r="P66" s="801"/>
      <c r="Q66" s="801"/>
      <c r="R66" s="800"/>
      <c r="S66" s="800"/>
      <c r="T66" s="800"/>
      <c r="U66" s="800"/>
      <c r="V66" s="800"/>
      <c r="W66" s="800"/>
      <c r="X66" s="800"/>
      <c r="Y66" s="800"/>
      <c r="Z66" s="800"/>
      <c r="AA66" s="800"/>
      <c r="AB66" s="800"/>
      <c r="AC66" s="800"/>
      <c r="AD66" s="800"/>
      <c r="AE66" s="800"/>
      <c r="AF66" s="800"/>
      <c r="AG66" s="800"/>
      <c r="AH66" s="802">
        <f>AH61/AH65</f>
        <v>6.587299749742435</v>
      </c>
      <c r="AI66" s="871" t="s">
        <v>279</v>
      </c>
      <c r="AV66" s="46"/>
      <c r="AW66" s="46"/>
      <c r="AX66" s="46"/>
      <c r="BA66" s="46"/>
      <c r="BB66" s="46"/>
      <c r="BE66" s="967">
        <v>2.2499999999999999E-2</v>
      </c>
      <c r="BF66" s="262">
        <v>26.779037291568415</v>
      </c>
      <c r="BG66" s="262">
        <v>25.824803831129383</v>
      </c>
      <c r="BH66" s="262">
        <v>24.941394081634293</v>
      </c>
      <c r="BI66" s="262">
        <v>24.121218289275333</v>
      </c>
      <c r="BJ66" s="664">
        <v>23.357733580002975</v>
      </c>
      <c r="BK66" s="262">
        <v>22.645269479339834</v>
      </c>
      <c r="BL66" s="262">
        <v>21.978887202556564</v>
      </c>
      <c r="BM66" s="262">
        <v>21.354265327943097</v>
      </c>
      <c r="BN66" s="663">
        <v>20.7676062567608</v>
      </c>
    </row>
    <row r="67" spans="1:66" ht="15" customHeight="1" x14ac:dyDescent="0.2">
      <c r="A67" s="799" t="s">
        <v>870</v>
      </c>
      <c r="B67" s="800"/>
      <c r="C67" s="800"/>
      <c r="D67" s="800"/>
      <c r="E67" s="800"/>
      <c r="F67" s="800"/>
      <c r="G67" s="800"/>
      <c r="H67" s="800"/>
      <c r="I67" s="800"/>
      <c r="J67" s="800"/>
      <c r="K67" s="800"/>
      <c r="L67" s="800"/>
      <c r="M67" s="800"/>
      <c r="N67" s="800"/>
      <c r="O67" s="800"/>
      <c r="P67" s="801"/>
      <c r="Q67" s="801"/>
      <c r="R67" s="800"/>
      <c r="S67" s="800"/>
      <c r="T67" s="800"/>
      <c r="U67" s="800"/>
      <c r="V67" s="800"/>
      <c r="W67" s="800"/>
      <c r="X67" s="800"/>
      <c r="Y67" s="800"/>
      <c r="Z67" s="800"/>
      <c r="AA67" s="800"/>
      <c r="AB67" s="800"/>
      <c r="AC67" s="800"/>
      <c r="AD67" s="800"/>
      <c r="AE67" s="800"/>
      <c r="AF67" s="800"/>
      <c r="AG67" s="800"/>
      <c r="AH67" s="802">
        <f>AH69/AH71</f>
        <v>6.0904872389791187</v>
      </c>
      <c r="AI67" s="872"/>
      <c r="AV67" s="46"/>
      <c r="AW67" s="46"/>
      <c r="AX67" s="46"/>
      <c r="BA67" s="46"/>
      <c r="BB67" s="46"/>
      <c r="BE67" s="952">
        <v>2.5000000000000001E-2</v>
      </c>
      <c r="BF67" s="262">
        <v>27.726841079060605</v>
      </c>
      <c r="BG67" s="262">
        <v>26.696684487391298</v>
      </c>
      <c r="BH67" s="262">
        <v>25.745915181128975</v>
      </c>
      <c r="BI67" s="262">
        <v>24.86571080041227</v>
      </c>
      <c r="BJ67" s="664">
        <v>24.048509340243402</v>
      </c>
      <c r="BK67" s="262">
        <v>23.287791847691736</v>
      </c>
      <c r="BL67" s="262">
        <v>22.577908579660079</v>
      </c>
      <c r="BM67" s="262">
        <v>21.913938807538294</v>
      </c>
      <c r="BN67" s="663">
        <v>21.291576908487563</v>
      </c>
    </row>
    <row r="68" spans="1:66" ht="15" customHeight="1" x14ac:dyDescent="0.2">
      <c r="A68" s="779" t="s">
        <v>278</v>
      </c>
      <c r="B68" s="780"/>
      <c r="C68" s="780"/>
      <c r="D68" s="780"/>
      <c r="E68" s="780"/>
      <c r="F68" s="780"/>
      <c r="G68" s="780"/>
      <c r="H68" s="780"/>
      <c r="I68" s="780"/>
      <c r="J68" s="780"/>
      <c r="K68" s="780"/>
      <c r="L68" s="780"/>
      <c r="M68" s="780"/>
      <c r="N68" s="780"/>
      <c r="O68" s="780"/>
      <c r="P68" s="780"/>
      <c r="Q68" s="780"/>
      <c r="R68" s="781"/>
      <c r="S68" s="781"/>
      <c r="T68" s="781"/>
      <c r="U68" s="781"/>
      <c r="V68" s="781"/>
      <c r="W68" s="781"/>
      <c r="X68" s="781"/>
      <c r="Y68" s="781"/>
      <c r="Z68" s="781"/>
      <c r="AA68" s="781"/>
      <c r="AB68" s="781"/>
      <c r="AC68" s="781"/>
      <c r="AD68" s="781"/>
      <c r="AE68" s="781"/>
      <c r="AF68" s="781"/>
      <c r="AG68" s="781"/>
      <c r="AH68" s="782">
        <f>AH66*AH71</f>
        <v>22.713009537111915</v>
      </c>
      <c r="AI68" s="976" t="s">
        <v>280</v>
      </c>
      <c r="AJ68" s="305"/>
      <c r="AK68" s="305"/>
      <c r="AL68" s="305"/>
      <c r="AM68" s="305"/>
      <c r="AN68" s="305"/>
      <c r="AV68" s="46"/>
      <c r="AW68" s="46"/>
      <c r="AX68" s="46"/>
      <c r="BA68" s="46"/>
      <c r="BB68" s="46"/>
      <c r="BE68" s="969">
        <v>2.75E-2</v>
      </c>
      <c r="BF68" s="262">
        <v>28.757062587204302</v>
      </c>
      <c r="BG68" s="262">
        <v>27.641221865008355</v>
      </c>
      <c r="BH68" s="262">
        <v>26.614797968583236</v>
      </c>
      <c r="BI68" s="262">
        <v>25.667471966252037</v>
      </c>
      <c r="BJ68" s="664">
        <v>24.790453675316449</v>
      </c>
      <c r="BK68" s="262">
        <v>23.976208670925924</v>
      </c>
      <c r="BL68" s="262">
        <v>23.218241775874183</v>
      </c>
      <c r="BM68" s="262">
        <v>22.510923852439849</v>
      </c>
      <c r="BN68" s="663">
        <v>21.849352118390239</v>
      </c>
    </row>
    <row r="69" spans="1:66" ht="15" customHeight="1" x14ac:dyDescent="0.2">
      <c r="A69" s="255" t="s">
        <v>281</v>
      </c>
      <c r="B69" s="783"/>
      <c r="C69" s="783"/>
      <c r="D69" s="783"/>
      <c r="E69" s="783"/>
      <c r="F69" s="783"/>
      <c r="G69" s="783"/>
      <c r="H69" s="783"/>
      <c r="I69" s="783"/>
      <c r="J69" s="783"/>
      <c r="K69" s="783"/>
      <c r="L69" s="783"/>
      <c r="M69" s="783"/>
      <c r="N69" s="783"/>
      <c r="O69" s="783"/>
      <c r="P69" s="783"/>
      <c r="Q69" s="784"/>
      <c r="R69" s="783"/>
      <c r="S69" s="783"/>
      <c r="T69" s="785"/>
      <c r="U69" s="785"/>
      <c r="V69" s="785"/>
      <c r="W69" s="785"/>
      <c r="X69" s="785"/>
      <c r="Y69" s="785"/>
      <c r="Z69" s="785"/>
      <c r="AA69" s="785"/>
      <c r="AB69" s="785"/>
      <c r="AC69" s="785"/>
      <c r="AD69" s="785"/>
      <c r="AE69" s="785"/>
      <c r="AF69" s="785"/>
      <c r="AG69" s="785"/>
      <c r="AH69" s="786">
        <v>21</v>
      </c>
      <c r="AI69" s="977"/>
      <c r="AJ69" s="62"/>
      <c r="AK69" s="62"/>
      <c r="AL69" s="62"/>
      <c r="AM69" s="62"/>
      <c r="AN69" s="62"/>
      <c r="AV69" s="46"/>
      <c r="AW69" s="46"/>
      <c r="AX69" s="46"/>
      <c r="BA69" s="46"/>
      <c r="BB69" s="46"/>
      <c r="BE69" s="952">
        <v>0.03</v>
      </c>
      <c r="BF69" s="262">
        <v>29.88094059608833</v>
      </c>
      <c r="BG69" s="262">
        <v>28.667892927635606</v>
      </c>
      <c r="BH69" s="262">
        <v>27.556087654992012</v>
      </c>
      <c r="BI69" s="262">
        <v>26.533374025358988</v>
      </c>
      <c r="BJ69" s="664">
        <v>25.589470651548964</v>
      </c>
      <c r="BK69" s="262">
        <v>24.715619332918205</v>
      </c>
      <c r="BL69" s="262">
        <v>23.90431305753215</v>
      </c>
      <c r="BM69" s="262">
        <v>23.149080279748407</v>
      </c>
      <c r="BN69" s="663">
        <v>22.444312342286437</v>
      </c>
    </row>
    <row r="70" spans="1:66" ht="15.75" thickBot="1" x14ac:dyDescent="0.25">
      <c r="A70" s="678" t="s">
        <v>883</v>
      </c>
      <c r="B70" s="231"/>
      <c r="C70" s="231"/>
      <c r="D70" s="231"/>
      <c r="E70" s="231"/>
      <c r="F70" s="231"/>
      <c r="G70" s="231"/>
      <c r="H70" s="231"/>
      <c r="Q70" s="305"/>
      <c r="S70" s="434"/>
      <c r="T70" s="380"/>
      <c r="U70" s="380"/>
      <c r="V70" s="380"/>
      <c r="W70" s="47"/>
      <c r="X70" s="47"/>
      <c r="Y70" s="380"/>
      <c r="Z70" s="47"/>
      <c r="AA70" s="47"/>
      <c r="AB70" s="47"/>
      <c r="AC70" s="47"/>
      <c r="AD70" s="380"/>
      <c r="AE70" s="47"/>
      <c r="AF70" s="47"/>
      <c r="AG70" s="47"/>
      <c r="AH70" s="662">
        <f>AH68/AH69-1</f>
        <v>8.1571882719615019E-2</v>
      </c>
      <c r="AI70" s="778"/>
      <c r="AJ70" s="62"/>
      <c r="AK70" s="62"/>
      <c r="AL70" s="62"/>
      <c r="AM70" s="62"/>
      <c r="AN70" s="62"/>
      <c r="AV70" s="46"/>
      <c r="AW70" s="46"/>
      <c r="AX70" s="46"/>
      <c r="BA70" s="46"/>
      <c r="BB70" s="46"/>
    </row>
    <row r="71" spans="1:66" ht="16.5" thickTop="1" thickBot="1" x14ac:dyDescent="0.25">
      <c r="A71" s="771" t="s">
        <v>309</v>
      </c>
      <c r="Q71" s="305"/>
      <c r="S71" s="435"/>
      <c r="T71" s="305"/>
      <c r="U71" s="305"/>
      <c r="V71" s="305"/>
      <c r="W71" s="305"/>
      <c r="X71" s="305"/>
      <c r="Y71" s="198"/>
      <c r="Z71" s="305"/>
      <c r="AA71" s="305"/>
      <c r="AB71" s="305"/>
      <c r="AC71" s="305"/>
      <c r="AD71" s="198"/>
      <c r="AE71" s="305"/>
      <c r="AF71" s="305"/>
      <c r="AG71" s="305"/>
      <c r="AH71" s="954">
        <v>3.448</v>
      </c>
      <c r="AI71" s="305"/>
      <c r="AV71" s="46"/>
      <c r="AW71" s="46"/>
      <c r="AX71" s="46"/>
      <c r="BA71" s="46"/>
      <c r="BB71" s="46"/>
    </row>
    <row r="72" spans="1:66" ht="16.5" thickTop="1" x14ac:dyDescent="0.2">
      <c r="A72" s="47"/>
      <c r="I72" s="198"/>
      <c r="J72" s="40"/>
      <c r="K72" s="40"/>
      <c r="L72" s="40"/>
      <c r="M72" s="40"/>
      <c r="N72" s="40"/>
      <c r="O72" s="40"/>
      <c r="P72" s="40"/>
      <c r="Q72" s="40"/>
      <c r="R72" s="40"/>
      <c r="S72" s="40"/>
      <c r="T72" s="40"/>
      <c r="U72" s="40"/>
      <c r="V72" s="40"/>
      <c r="W72" s="40"/>
      <c r="X72" s="40"/>
      <c r="Y72" s="40"/>
      <c r="Z72" s="40"/>
      <c r="AA72" s="40"/>
      <c r="AB72" s="40"/>
      <c r="AC72" s="40"/>
      <c r="AD72" s="40"/>
      <c r="AE72" s="305"/>
      <c r="AF72" s="305"/>
      <c r="AG72" s="305"/>
      <c r="AV72" s="46"/>
      <c r="AW72" s="46"/>
      <c r="AX72" s="46"/>
      <c r="BA72" s="46"/>
      <c r="BB72" s="46"/>
      <c r="BE72" s="35" t="s">
        <v>1029</v>
      </c>
      <c r="BF72" s="35"/>
      <c r="BG72" s="35"/>
      <c r="BH72" s="35"/>
      <c r="BI72" s="35"/>
      <c r="BJ72" s="35"/>
    </row>
    <row r="73" spans="1:66" ht="17.25" customHeight="1" x14ac:dyDescent="0.2">
      <c r="A73" s="46" t="s">
        <v>925</v>
      </c>
      <c r="J73" s="342" t="s">
        <v>564</v>
      </c>
      <c r="K73" s="343" t="s">
        <v>563</v>
      </c>
      <c r="L73" s="343" t="s">
        <v>560</v>
      </c>
      <c r="M73" s="468" t="s">
        <v>562</v>
      </c>
      <c r="N73" s="343"/>
      <c r="O73" s="469"/>
      <c r="P73" s="469"/>
      <c r="Q73" s="343"/>
      <c r="R73" s="343" t="s">
        <v>567</v>
      </c>
      <c r="S73" s="469"/>
      <c r="T73" s="469"/>
      <c r="U73" s="469"/>
      <c r="V73" s="343"/>
      <c r="W73" s="343" t="s">
        <v>568</v>
      </c>
      <c r="X73" s="343"/>
      <c r="Y73" s="343"/>
      <c r="Z73" s="343"/>
      <c r="AA73" s="343"/>
      <c r="AB73" s="470" t="s">
        <v>561</v>
      </c>
      <c r="AC73" s="469" t="s">
        <v>565</v>
      </c>
      <c r="AD73" s="471" t="s">
        <v>566</v>
      </c>
      <c r="AG73" s="305"/>
      <c r="AH73" s="46">
        <v>281014</v>
      </c>
      <c r="AV73" s="46"/>
      <c r="AW73" s="46"/>
      <c r="AX73" s="46"/>
      <c r="BA73" s="46"/>
      <c r="BB73" s="46"/>
      <c r="BE73" s="742" t="s">
        <v>261</v>
      </c>
      <c r="BF73" s="1104">
        <v>300</v>
      </c>
      <c r="BG73" s="464">
        <v>310</v>
      </c>
      <c r="BH73" s="1105">
        <v>320</v>
      </c>
      <c r="BI73" s="464">
        <v>330</v>
      </c>
      <c r="BJ73" s="467">
        <v>340</v>
      </c>
    </row>
    <row r="74" spans="1:66" ht="18.75" customHeight="1" x14ac:dyDescent="0.2">
      <c r="A74" s="46" t="s">
        <v>926</v>
      </c>
      <c r="J74" s="462" t="e">
        <f>#REF!</f>
        <v>#REF!</v>
      </c>
      <c r="K74" s="463" t="e">
        <f>#REF!/2</f>
        <v>#REF!</v>
      </c>
      <c r="L74" s="463" t="e">
        <f>J74+K74</f>
        <v>#REF!</v>
      </c>
      <c r="M74" s="463" t="str">
        <f>AK57</f>
        <v xml:space="preserve"> כלכלי EV</v>
      </c>
      <c r="N74" s="464"/>
      <c r="O74" s="464"/>
      <c r="P74" s="464"/>
      <c r="Q74" s="463"/>
      <c r="R74" s="466" t="e">
        <f>AK57/L74</f>
        <v>#VALUE!</v>
      </c>
      <c r="S74" s="465"/>
      <c r="T74" s="465"/>
      <c r="U74" s="465"/>
      <c r="V74" s="465"/>
      <c r="W74" s="464">
        <v>7</v>
      </c>
      <c r="X74" s="465"/>
      <c r="Y74" s="465"/>
      <c r="Z74" s="465"/>
      <c r="AA74" s="465"/>
      <c r="AB74" s="463" t="e">
        <f>L74*W74</f>
        <v>#REF!</v>
      </c>
      <c r="AC74" s="463" t="e">
        <f>AH62-(M74-AB74)</f>
        <v>#VALUE!</v>
      </c>
      <c r="AD74" s="467" t="e">
        <f>AC74/AH65*I72</f>
        <v>#VALUE!</v>
      </c>
      <c r="AG74" s="305"/>
      <c r="AH74" s="46">
        <v>9999806</v>
      </c>
      <c r="AV74" s="46"/>
      <c r="AW74" s="46"/>
      <c r="AX74" s="46"/>
      <c r="BA74" s="46"/>
      <c r="BB74" s="46"/>
      <c r="BE74" s="64" t="s">
        <v>1030</v>
      </c>
      <c r="BF74" s="136">
        <v>21.8</v>
      </c>
      <c r="BG74" s="73">
        <v>22.8</v>
      </c>
      <c r="BH74" s="960">
        <v>23.8</v>
      </c>
      <c r="BI74" s="73">
        <v>24.6</v>
      </c>
      <c r="BJ74" s="157">
        <v>25.5</v>
      </c>
    </row>
    <row r="75" spans="1:66" ht="15" x14ac:dyDescent="0.2">
      <c r="I75" s="376"/>
      <c r="O75" s="305"/>
      <c r="S75" s="435"/>
      <c r="T75" s="305"/>
      <c r="U75" s="305"/>
      <c r="V75" s="305"/>
      <c r="AD75" s="198"/>
      <c r="AE75" s="305"/>
      <c r="AF75" s="305"/>
      <c r="AG75" s="305"/>
      <c r="AV75" s="46"/>
      <c r="AW75" s="46"/>
      <c r="AX75" s="46"/>
      <c r="BA75" s="46"/>
      <c r="BB75" s="46"/>
    </row>
    <row r="76" spans="1:66" ht="15" x14ac:dyDescent="0.2">
      <c r="A76" s="228"/>
      <c r="I76" s="198"/>
      <c r="O76" s="305"/>
      <c r="S76" s="435"/>
      <c r="T76" s="305"/>
      <c r="U76" s="305"/>
      <c r="V76" s="305"/>
      <c r="Z76" s="461"/>
      <c r="AA76" s="305"/>
      <c r="AB76" s="198"/>
      <c r="AC76" s="305"/>
      <c r="AD76" s="305"/>
      <c r="AG76" s="305"/>
      <c r="AV76" s="46"/>
      <c r="AW76" s="46"/>
      <c r="AX76" s="46"/>
      <c r="BA76" s="46"/>
      <c r="BB76" s="46"/>
    </row>
    <row r="77" spans="1:66" ht="15" x14ac:dyDescent="0.2">
      <c r="A77" s="460"/>
      <c r="I77" s="379"/>
      <c r="O77" s="305"/>
      <c r="S77" s="435"/>
      <c r="T77" s="305"/>
      <c r="U77" s="305"/>
      <c r="V77" s="305"/>
      <c r="AA77" s="305"/>
      <c r="AB77" s="198"/>
      <c r="AC77" s="305"/>
      <c r="AD77" s="305"/>
      <c r="AE77" s="305"/>
      <c r="AF77" s="62"/>
      <c r="AG77" s="305"/>
      <c r="AV77" s="46"/>
      <c r="AW77" s="46"/>
      <c r="AX77" s="46"/>
      <c r="BA77" s="46"/>
      <c r="BB77" s="46"/>
    </row>
    <row r="78" spans="1:66" ht="15" x14ac:dyDescent="0.2">
      <c r="A78" s="460"/>
      <c r="I78" s="305"/>
      <c r="O78" s="270"/>
      <c r="S78" s="435"/>
      <c r="T78" s="305"/>
      <c r="U78" s="305"/>
      <c r="V78" s="305"/>
      <c r="W78" s="305"/>
      <c r="X78" s="305"/>
      <c r="Y78" s="198"/>
      <c r="Z78" s="305"/>
      <c r="AA78" s="305"/>
      <c r="AB78" s="198"/>
      <c r="AC78" s="305"/>
      <c r="AD78" s="305"/>
      <c r="AE78" s="305"/>
      <c r="AF78" s="62"/>
      <c r="AG78" s="305"/>
      <c r="AV78" s="46"/>
      <c r="AW78" s="46"/>
      <c r="AX78" s="46"/>
      <c r="BA78" s="46"/>
      <c r="BB78" s="46"/>
    </row>
    <row r="79" spans="1:66" ht="15" x14ac:dyDescent="0.2">
      <c r="A79" s="460"/>
      <c r="S79" s="435"/>
      <c r="T79" s="305"/>
      <c r="U79" s="305"/>
      <c r="V79" s="305"/>
      <c r="W79" s="305"/>
      <c r="X79" s="305"/>
      <c r="Y79" s="198"/>
      <c r="Z79" s="305"/>
      <c r="AA79" s="305"/>
      <c r="AB79" s="198"/>
      <c r="AC79" s="305"/>
      <c r="AD79" s="305"/>
      <c r="AE79" s="305"/>
      <c r="AF79" s="305"/>
      <c r="AG79" s="305"/>
      <c r="AV79" s="46"/>
      <c r="AW79" s="46"/>
      <c r="AX79" s="46"/>
      <c r="BA79" s="46"/>
      <c r="BB79" s="46"/>
    </row>
    <row r="80" spans="1:66" ht="15" x14ac:dyDescent="0.2">
      <c r="A80" s="47"/>
      <c r="I80" s="198"/>
      <c r="S80" s="270"/>
      <c r="T80" s="305"/>
      <c r="U80" s="305"/>
      <c r="V80" s="305"/>
      <c r="W80" s="305"/>
      <c r="X80" s="305"/>
      <c r="Y80" s="305"/>
      <c r="Z80" s="305"/>
      <c r="AD80" s="305"/>
      <c r="AE80" s="305"/>
      <c r="AV80" s="46"/>
      <c r="AW80" s="46"/>
      <c r="AX80" s="46"/>
      <c r="BA80" s="46"/>
      <c r="BB80" s="46"/>
    </row>
    <row r="81" spans="1:57" ht="15" x14ac:dyDescent="0.2">
      <c r="A81" s="47"/>
      <c r="I81" s="380"/>
      <c r="S81" s="270"/>
      <c r="T81" s="305"/>
      <c r="U81" s="305"/>
      <c r="V81" s="305"/>
      <c r="W81" s="305"/>
      <c r="X81" s="305"/>
      <c r="Y81" s="305"/>
      <c r="Z81" s="305"/>
      <c r="AD81" s="305"/>
      <c r="AE81" s="305"/>
      <c r="AV81" s="46"/>
      <c r="AW81" s="46"/>
      <c r="AX81" s="46"/>
      <c r="BA81" s="46"/>
      <c r="BB81" s="46"/>
    </row>
    <row r="82" spans="1:57" ht="15" x14ac:dyDescent="0.2">
      <c r="A82" s="47"/>
      <c r="I82" s="198"/>
      <c r="S82" s="270"/>
      <c r="T82" s="198"/>
      <c r="U82" s="305"/>
      <c r="V82" s="305"/>
      <c r="W82" s="305"/>
      <c r="X82" s="305"/>
      <c r="Y82" s="305"/>
      <c r="Z82" s="305"/>
      <c r="AD82" s="305"/>
      <c r="AE82" s="305"/>
      <c r="AV82" s="46"/>
      <c r="AW82" s="46"/>
      <c r="AX82" s="46"/>
      <c r="BA82" s="46"/>
      <c r="BB82" s="46"/>
    </row>
    <row r="83" spans="1:57" x14ac:dyDescent="0.2">
      <c r="S83" s="270"/>
      <c r="T83" s="305"/>
      <c r="U83" s="305"/>
      <c r="V83" s="305"/>
      <c r="W83" s="305"/>
      <c r="X83" s="305"/>
      <c r="Y83" s="305"/>
      <c r="Z83" s="305"/>
      <c r="AD83" s="305"/>
      <c r="AE83" s="305"/>
      <c r="AI83" s="62"/>
      <c r="AV83" s="46"/>
      <c r="AW83" s="46"/>
      <c r="AX83" s="46"/>
      <c r="BA83" s="46"/>
      <c r="BB83" s="46"/>
    </row>
    <row r="84" spans="1:57" x14ac:dyDescent="0.2">
      <c r="S84" s="270"/>
      <c r="T84" s="305"/>
      <c r="U84" s="305"/>
      <c r="V84" s="305"/>
      <c r="W84" s="305"/>
      <c r="X84" s="305"/>
      <c r="Y84" s="305"/>
      <c r="Z84" s="305"/>
      <c r="AD84" s="305"/>
      <c r="AE84" s="305"/>
      <c r="AV84" s="46"/>
      <c r="AW84" s="46"/>
      <c r="AX84" s="46"/>
      <c r="BA84" s="46"/>
      <c r="BB84" s="46"/>
    </row>
    <row r="85" spans="1:57" x14ac:dyDescent="0.2">
      <c r="S85" s="270"/>
      <c r="T85" s="305"/>
      <c r="U85" s="305"/>
      <c r="V85" s="305"/>
      <c r="W85" s="305"/>
      <c r="X85" s="305"/>
      <c r="Y85" s="305"/>
      <c r="Z85" s="305"/>
      <c r="AD85" s="305"/>
      <c r="AE85" s="305"/>
      <c r="AV85" s="46"/>
      <c r="AW85" s="46"/>
      <c r="AX85" s="46"/>
      <c r="BA85" s="46"/>
      <c r="BB85" s="46"/>
    </row>
    <row r="86" spans="1:57" x14ac:dyDescent="0.2">
      <c r="S86" s="270"/>
      <c r="T86" s="305"/>
      <c r="U86" s="305"/>
      <c r="V86" s="305"/>
      <c r="W86" s="305"/>
      <c r="X86" s="305"/>
      <c r="Y86" s="305"/>
      <c r="Z86" s="305"/>
      <c r="AD86" s="305"/>
      <c r="AE86" s="305"/>
      <c r="AV86" s="46"/>
      <c r="AW86" s="46"/>
      <c r="AX86" s="46"/>
      <c r="BA86" s="46"/>
      <c r="BB86" s="46"/>
    </row>
    <row r="87" spans="1:57" x14ac:dyDescent="0.2">
      <c r="S87" s="270"/>
      <c r="T87" s="305"/>
      <c r="U87" s="305"/>
      <c r="V87" s="305"/>
      <c r="W87" s="305"/>
      <c r="X87" s="305"/>
      <c r="Y87" s="305"/>
      <c r="Z87" s="305"/>
      <c r="AD87" s="305"/>
      <c r="AE87" s="305"/>
      <c r="AV87" s="46"/>
      <c r="AW87" s="46"/>
      <c r="AX87" s="46"/>
      <c r="BA87" s="46"/>
      <c r="BB87" s="46"/>
    </row>
    <row r="88" spans="1:57" x14ac:dyDescent="0.2">
      <c r="I88" s="62"/>
      <c r="J88" s="62"/>
      <c r="K88" s="62"/>
      <c r="L88" s="62"/>
      <c r="M88" s="62"/>
      <c r="N88" s="62"/>
      <c r="O88" s="62"/>
      <c r="P88" s="62"/>
      <c r="Q88" s="62"/>
      <c r="R88" s="62"/>
      <c r="S88" s="62"/>
      <c r="T88" s="62"/>
      <c r="U88" s="62"/>
      <c r="V88" s="62"/>
      <c r="W88" s="62"/>
      <c r="X88" s="62"/>
      <c r="Y88" s="62"/>
      <c r="Z88" s="62"/>
      <c r="AA88" s="62"/>
      <c r="AB88" s="62"/>
      <c r="AC88" s="62"/>
      <c r="AD88" s="62"/>
      <c r="AE88" s="62"/>
      <c r="AF88" s="62"/>
      <c r="AG88" s="62"/>
      <c r="AH88" s="62"/>
      <c r="AI88" s="62"/>
      <c r="AJ88" s="62"/>
      <c r="AK88" s="62"/>
      <c r="AL88" s="62"/>
      <c r="AM88" s="62"/>
      <c r="AN88" s="62"/>
      <c r="AO88" s="62"/>
      <c r="AP88" s="62"/>
      <c r="AQ88" s="62"/>
      <c r="AR88" s="62"/>
      <c r="AS88" s="62"/>
      <c r="AT88" s="62"/>
      <c r="AU88" s="62"/>
      <c r="AV88" s="62"/>
      <c r="AW88" s="62"/>
      <c r="AX88" s="62"/>
      <c r="AY88" s="62"/>
      <c r="AZ88" s="62"/>
      <c r="BA88" s="62"/>
      <c r="BB88" s="62"/>
      <c r="BC88" s="62"/>
      <c r="BD88" s="62"/>
      <c r="BE88" s="62"/>
    </row>
    <row r="89" spans="1:57" x14ac:dyDescent="0.2">
      <c r="I89" s="62"/>
      <c r="J89" s="62"/>
      <c r="K89" s="62"/>
      <c r="L89" s="62"/>
      <c r="M89" s="62"/>
      <c r="N89" s="62"/>
      <c r="O89" s="62"/>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62"/>
      <c r="BD89" s="62"/>
      <c r="BE89" s="62"/>
    </row>
    <row r="90" spans="1:57" x14ac:dyDescent="0.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row>
    <row r="91" spans="1:57" x14ac:dyDescent="0.2">
      <c r="I91" s="62"/>
      <c r="J91" s="62"/>
      <c r="K91" s="62"/>
      <c r="L91" s="62"/>
      <c r="M91" s="62"/>
      <c r="N91" s="62"/>
      <c r="O91" s="62"/>
      <c r="P91" s="62"/>
      <c r="Q91" s="62"/>
      <c r="R91" s="62"/>
      <c r="S91" s="62"/>
      <c r="T91" s="62"/>
      <c r="U91" s="62"/>
      <c r="V91" s="62"/>
      <c r="W91" s="62"/>
      <c r="X91" s="62"/>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row>
    <row r="92" spans="1:57" x14ac:dyDescent="0.2">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row>
    <row r="93" spans="1:57" x14ac:dyDescent="0.2">
      <c r="A93" s="202"/>
      <c r="B93" s="202"/>
      <c r="C93" s="202"/>
      <c r="D93" s="202"/>
      <c r="E93" s="202"/>
      <c r="F93" s="202"/>
      <c r="G93" s="202"/>
      <c r="H93" s="202"/>
      <c r="I93" s="210"/>
      <c r="J93" s="210"/>
      <c r="K93" s="210"/>
      <c r="L93" s="210"/>
      <c r="M93" s="210"/>
      <c r="N93" s="210"/>
      <c r="O93" s="210"/>
      <c r="P93" s="210"/>
      <c r="Q93" s="210"/>
      <c r="R93" s="210"/>
      <c r="S93" s="210"/>
      <c r="T93" s="210"/>
      <c r="U93" s="210"/>
      <c r="V93" s="210"/>
      <c r="W93" s="210"/>
      <c r="X93" s="210"/>
      <c r="Y93" s="210"/>
      <c r="Z93" s="210"/>
      <c r="AA93" s="364"/>
      <c r="AB93" s="210"/>
      <c r="AC93" s="210"/>
      <c r="AD93" s="210"/>
      <c r="AE93" s="210"/>
      <c r="AF93" s="364"/>
      <c r="AG93" s="210"/>
      <c r="AH93" s="210"/>
      <c r="AI93" s="210"/>
      <c r="AJ93" s="210"/>
      <c r="AK93" s="210"/>
      <c r="AL93" s="210"/>
      <c r="AM93" s="210"/>
      <c r="AN93" s="210"/>
      <c r="AO93" s="210"/>
      <c r="AP93" s="868"/>
      <c r="AQ93" s="868"/>
      <c r="AR93" s="868"/>
      <c r="AS93" s="868"/>
      <c r="AT93" s="210"/>
      <c r="AU93" s="868"/>
      <c r="AV93" s="949"/>
      <c r="AW93" s="949"/>
      <c r="AX93" s="949"/>
      <c r="AY93" s="210"/>
      <c r="AZ93" s="868"/>
      <c r="BA93" s="949"/>
      <c r="BB93" s="949"/>
      <c r="BC93" s="210"/>
      <c r="BD93" s="210"/>
      <c r="BE93" s="210"/>
    </row>
    <row r="94" spans="1:57" x14ac:dyDescent="0.2">
      <c r="I94" s="209"/>
      <c r="J94" s="209"/>
      <c r="K94" s="209"/>
      <c r="L94" s="209"/>
      <c r="M94" s="209"/>
      <c r="N94" s="209"/>
      <c r="O94" s="209"/>
      <c r="P94" s="209"/>
      <c r="Q94" s="209"/>
      <c r="R94" s="209"/>
      <c r="S94" s="209"/>
      <c r="T94" s="209"/>
      <c r="U94" s="209"/>
      <c r="V94" s="209"/>
      <c r="W94" s="209"/>
      <c r="X94" s="209"/>
      <c r="Y94" s="209"/>
      <c r="Z94" s="209"/>
      <c r="AA94" s="209"/>
      <c r="AB94" s="209"/>
      <c r="AC94" s="209"/>
      <c r="AD94" s="209"/>
      <c r="AE94" s="209"/>
      <c r="AF94" s="209"/>
      <c r="AG94" s="209"/>
      <c r="AH94" s="209"/>
      <c r="AI94" s="209"/>
      <c r="AJ94" s="209"/>
      <c r="AK94" s="209"/>
      <c r="AL94" s="209"/>
      <c r="AM94" s="209"/>
      <c r="AN94" s="209"/>
      <c r="AO94" s="209"/>
      <c r="AP94" s="209"/>
      <c r="AQ94" s="209"/>
      <c r="AR94" s="209"/>
      <c r="AS94" s="209"/>
      <c r="AT94" s="209"/>
      <c r="AU94" s="209"/>
      <c r="AV94" s="950"/>
      <c r="AW94" s="950"/>
      <c r="AX94" s="950"/>
      <c r="AY94" s="209"/>
      <c r="AZ94" s="209"/>
      <c r="BA94" s="950"/>
      <c r="BB94" s="950"/>
      <c r="BC94" s="209"/>
      <c r="BD94" s="209"/>
      <c r="BE94" s="209"/>
    </row>
    <row r="95" spans="1:57" x14ac:dyDescent="0.2">
      <c r="I95" s="209"/>
      <c r="J95" s="209"/>
      <c r="K95" s="209"/>
      <c r="L95" s="209"/>
      <c r="M95" s="209"/>
      <c r="N95" s="209"/>
      <c r="O95" s="209"/>
      <c r="P95" s="209"/>
      <c r="Q95" s="209"/>
      <c r="R95" s="209"/>
      <c r="S95" s="209"/>
      <c r="T95" s="209"/>
      <c r="U95" s="209"/>
      <c r="V95" s="209"/>
      <c r="W95" s="209"/>
      <c r="X95" s="209"/>
      <c r="Y95" s="209"/>
      <c r="Z95" s="209"/>
      <c r="AA95" s="209"/>
      <c r="AB95" s="209"/>
      <c r="AC95" s="209"/>
      <c r="AD95" s="209"/>
      <c r="AE95" s="209"/>
      <c r="AF95" s="209"/>
      <c r="AG95" s="209"/>
      <c r="AH95" s="209"/>
      <c r="AI95" s="209"/>
      <c r="AJ95" s="209"/>
      <c r="AK95" s="209"/>
      <c r="AL95" s="209"/>
      <c r="AM95" s="209"/>
      <c r="AN95" s="209"/>
      <c r="AO95" s="209"/>
      <c r="AP95" s="209"/>
      <c r="AQ95" s="209"/>
      <c r="AR95" s="209"/>
      <c r="AS95" s="209"/>
      <c r="AT95" s="209"/>
      <c r="AU95" s="209"/>
      <c r="AV95" s="950"/>
      <c r="AW95" s="950"/>
      <c r="AX95" s="950"/>
      <c r="AY95" s="209"/>
      <c r="AZ95" s="209"/>
      <c r="BA95" s="950"/>
      <c r="BB95" s="950"/>
      <c r="BC95" s="209"/>
      <c r="BD95" s="209"/>
      <c r="BE95" s="209"/>
    </row>
    <row r="96" spans="1:57" x14ac:dyDescent="0.2">
      <c r="I96" s="209"/>
      <c r="J96" s="209"/>
      <c r="K96" s="209"/>
      <c r="L96" s="209"/>
      <c r="M96" s="209"/>
      <c r="N96" s="209"/>
      <c r="O96" s="209"/>
      <c r="P96" s="209"/>
      <c r="Q96" s="209"/>
      <c r="R96" s="209"/>
      <c r="S96" s="209"/>
      <c r="T96" s="209"/>
      <c r="U96" s="209"/>
      <c r="V96" s="209"/>
      <c r="W96" s="209"/>
      <c r="X96" s="209"/>
      <c r="Y96" s="209"/>
      <c r="Z96" s="209"/>
      <c r="AA96" s="209"/>
      <c r="AB96" s="209"/>
      <c r="AC96" s="209"/>
      <c r="AD96" s="209"/>
      <c r="AE96" s="209"/>
      <c r="AF96" s="209"/>
      <c r="AG96" s="209"/>
      <c r="AH96" s="209"/>
      <c r="AI96" s="209"/>
      <c r="AJ96" s="209"/>
      <c r="AK96" s="209"/>
      <c r="AL96" s="209"/>
      <c r="AM96" s="209"/>
      <c r="AN96" s="209"/>
      <c r="AO96" s="209"/>
      <c r="AP96" s="209"/>
      <c r="AQ96" s="209"/>
      <c r="AR96" s="209"/>
      <c r="AS96" s="209"/>
      <c r="AT96" s="209"/>
      <c r="AU96" s="209"/>
      <c r="AV96" s="950"/>
      <c r="AW96" s="950"/>
      <c r="AX96" s="950"/>
      <c r="AY96" s="209"/>
      <c r="AZ96" s="209"/>
      <c r="BA96" s="950"/>
      <c r="BB96" s="950"/>
      <c r="BC96" s="209"/>
      <c r="BD96" s="209"/>
      <c r="BE96" s="209"/>
    </row>
    <row r="97" spans="9:57" x14ac:dyDescent="0.2">
      <c r="I97" s="209"/>
      <c r="J97" s="209"/>
      <c r="K97" s="209"/>
      <c r="L97" s="209"/>
      <c r="M97" s="209"/>
      <c r="N97" s="209"/>
      <c r="O97" s="209"/>
      <c r="P97" s="209"/>
      <c r="Q97" s="209"/>
      <c r="R97" s="209"/>
      <c r="S97" s="209"/>
      <c r="T97" s="209"/>
      <c r="U97" s="209"/>
      <c r="V97" s="209"/>
      <c r="W97" s="209"/>
      <c r="X97" s="209"/>
      <c r="Y97" s="209"/>
      <c r="Z97" s="209"/>
      <c r="AA97" s="209"/>
      <c r="AB97" s="209"/>
      <c r="AC97" s="209"/>
      <c r="AD97" s="209"/>
      <c r="AE97" s="209"/>
      <c r="AF97" s="209"/>
      <c r="AG97" s="209"/>
      <c r="AH97" s="209"/>
      <c r="AI97" s="209"/>
      <c r="AJ97" s="209"/>
      <c r="AK97" s="209"/>
      <c r="AL97" s="209"/>
      <c r="AM97" s="209"/>
      <c r="AN97" s="209"/>
      <c r="AO97" s="209"/>
      <c r="AP97" s="209"/>
      <c r="AQ97" s="209"/>
      <c r="AR97" s="209"/>
      <c r="AS97" s="209"/>
      <c r="AT97" s="209"/>
      <c r="AU97" s="209"/>
      <c r="AV97" s="950"/>
      <c r="AW97" s="950"/>
      <c r="AX97" s="950"/>
      <c r="AY97" s="209"/>
      <c r="AZ97" s="209"/>
      <c r="BA97" s="950"/>
      <c r="BB97" s="950"/>
      <c r="BC97" s="209"/>
      <c r="BD97" s="209"/>
      <c r="BE97" s="209"/>
    </row>
    <row r="98" spans="9:57" ht="15" thickBot="1" x14ac:dyDescent="0.25">
      <c r="AV98" s="46"/>
      <c r="AW98" s="46"/>
      <c r="AX98" s="46"/>
      <c r="BA98" s="46"/>
      <c r="BB98" s="46"/>
    </row>
    <row r="99" spans="9:57" ht="15.75" thickTop="1" x14ac:dyDescent="0.2">
      <c r="R99" s="155"/>
      <c r="W99" s="155"/>
      <c r="AB99" s="155"/>
      <c r="AC99" s="155"/>
      <c r="AG99" s="155"/>
      <c r="AH99" s="155"/>
      <c r="AI99" s="155"/>
      <c r="AJ99" s="155"/>
      <c r="AK99" s="155"/>
      <c r="AL99" s="155"/>
      <c r="AM99" s="155"/>
      <c r="AN99" s="155"/>
      <c r="AO99" s="155"/>
      <c r="AP99" s="869"/>
      <c r="AQ99" s="869"/>
      <c r="AR99" s="869"/>
      <c r="AS99" s="869"/>
      <c r="AT99" s="155"/>
      <c r="AU99" s="869"/>
      <c r="AV99" s="951"/>
      <c r="AW99" s="951"/>
      <c r="AX99" s="951"/>
      <c r="AY99" s="155"/>
      <c r="AZ99" s="869"/>
      <c r="BA99" s="951"/>
      <c r="BB99" s="951"/>
      <c r="BC99" s="155"/>
      <c r="BD99" s="155"/>
      <c r="BE99" s="155"/>
    </row>
    <row r="100" spans="9:57" x14ac:dyDescent="0.2">
      <c r="Q100" s="229"/>
      <c r="R100" s="194"/>
      <c r="V100" s="229"/>
      <c r="W100" s="194"/>
      <c r="AB100" s="194"/>
      <c r="AC100" s="194"/>
      <c r="AG100" s="194"/>
      <c r="AH100" s="194"/>
      <c r="AI100" s="194"/>
      <c r="AJ100" s="194"/>
      <c r="AK100" s="194"/>
      <c r="AL100" s="194"/>
      <c r="AM100" s="194"/>
      <c r="AN100" s="194"/>
      <c r="AO100" s="194"/>
      <c r="AP100" s="194"/>
      <c r="AQ100" s="194"/>
      <c r="AR100" s="194"/>
      <c r="AS100" s="194"/>
      <c r="AT100" s="194"/>
      <c r="AU100" s="194"/>
      <c r="AV100" s="194"/>
      <c r="AW100" s="194"/>
      <c r="AX100" s="194"/>
      <c r="AY100" s="194"/>
      <c r="AZ100" s="194"/>
      <c r="BA100" s="194"/>
      <c r="BB100" s="194"/>
      <c r="BC100" s="194"/>
      <c r="BD100" s="194"/>
      <c r="BE100" s="194"/>
    </row>
    <row r="101" spans="9:57" x14ac:dyDescent="0.2">
      <c r="Q101" s="229"/>
      <c r="V101" s="229"/>
      <c r="AV101" s="46"/>
      <c r="AW101" s="46"/>
      <c r="AX101" s="46"/>
      <c r="BA101" s="46"/>
      <c r="BB101" s="46"/>
    </row>
    <row r="102" spans="9:57" x14ac:dyDescent="0.2">
      <c r="I102" s="46">
        <v>195</v>
      </c>
      <c r="J102" s="195">
        <v>40344</v>
      </c>
      <c r="R102" s="230">
        <v>0.05</v>
      </c>
      <c r="W102" s="230">
        <v>0.05</v>
      </c>
      <c r="AB102" s="230">
        <v>0.05</v>
      </c>
      <c r="AC102" s="230">
        <v>0.05</v>
      </c>
      <c r="AG102" s="230">
        <v>0.05</v>
      </c>
      <c r="AH102" s="230"/>
      <c r="AI102" s="230"/>
      <c r="AJ102" s="230"/>
      <c r="AK102" s="230"/>
      <c r="AL102" s="230"/>
      <c r="AM102" s="230"/>
      <c r="AN102" s="230"/>
      <c r="AO102" s="230"/>
      <c r="AP102" s="230"/>
      <c r="AQ102" s="230"/>
      <c r="AR102" s="230"/>
      <c r="AS102" s="230"/>
      <c r="AT102" s="230"/>
      <c r="AU102" s="230"/>
      <c r="AV102" s="230"/>
      <c r="AW102" s="230"/>
      <c r="AX102" s="230"/>
      <c r="AY102" s="230"/>
      <c r="AZ102" s="230"/>
      <c r="BA102" s="230"/>
      <c r="BB102" s="230"/>
      <c r="BC102" s="230"/>
      <c r="BD102" s="230"/>
      <c r="BE102" s="230"/>
    </row>
    <row r="103" spans="9:57" x14ac:dyDescent="0.2">
      <c r="I103" s="46">
        <v>170</v>
      </c>
      <c r="J103" s="195">
        <v>40296</v>
      </c>
      <c r="AV103" s="46"/>
      <c r="AW103" s="46"/>
      <c r="AX103" s="46"/>
      <c r="BA103" s="46"/>
      <c r="BB103" s="46"/>
    </row>
    <row r="104" spans="9:57" x14ac:dyDescent="0.2">
      <c r="I104" s="46">
        <v>170</v>
      </c>
      <c r="J104" s="195">
        <v>40540</v>
      </c>
      <c r="AV104" s="46"/>
      <c r="AW104" s="46"/>
      <c r="AX104" s="46"/>
      <c r="BA104" s="46"/>
      <c r="BB104" s="46"/>
    </row>
    <row r="105" spans="9:57" x14ac:dyDescent="0.2">
      <c r="I105" s="46">
        <v>177</v>
      </c>
      <c r="J105" s="195">
        <v>40428</v>
      </c>
      <c r="AV105" s="46"/>
      <c r="AW105" s="46"/>
      <c r="AX105" s="46"/>
      <c r="BA105" s="46"/>
      <c r="BB105" s="46"/>
    </row>
    <row r="106" spans="9:57" x14ac:dyDescent="0.2">
      <c r="I106" s="46">
        <v>668</v>
      </c>
      <c r="J106" s="195">
        <v>40344</v>
      </c>
      <c r="AV106" s="46"/>
      <c r="AW106" s="46"/>
      <c r="AX106" s="46"/>
      <c r="BA106" s="46"/>
      <c r="BB106" s="46"/>
    </row>
    <row r="107" spans="9:57" x14ac:dyDescent="0.2">
      <c r="I107" s="46">
        <v>155</v>
      </c>
      <c r="J107" s="195">
        <v>40281</v>
      </c>
      <c r="AV107" s="46"/>
      <c r="AW107" s="46"/>
      <c r="AX107" s="46"/>
      <c r="BA107" s="46"/>
      <c r="BB107" s="46"/>
    </row>
    <row r="108" spans="9:57" x14ac:dyDescent="0.2">
      <c r="I108" s="46">
        <f>SUM(I104:I107)</f>
        <v>1170</v>
      </c>
      <c r="AV108" s="46"/>
      <c r="AW108" s="46"/>
      <c r="AX108" s="46"/>
      <c r="BA108" s="46"/>
      <c r="BB108" s="46"/>
    </row>
    <row r="109" spans="9:57" x14ac:dyDescent="0.2">
      <c r="I109" s="209">
        <f>I108/AH62</f>
        <v>0.14884263758469193</v>
      </c>
      <c r="J109" s="228" t="s">
        <v>316</v>
      </c>
      <c r="AV109" s="46"/>
      <c r="AW109" s="46"/>
      <c r="AX109" s="46"/>
      <c r="BA109" s="46"/>
      <c r="BB109" s="46"/>
    </row>
    <row r="110" spans="9:57" x14ac:dyDescent="0.2">
      <c r="I110" s="209">
        <f>(I102+I103)*2/AH62</f>
        <v>9.2867628578482991E-2</v>
      </c>
      <c r="J110" s="228" t="s">
        <v>317</v>
      </c>
      <c r="AV110" s="46"/>
      <c r="AW110" s="46"/>
      <c r="AX110" s="46"/>
      <c r="BA110" s="46"/>
      <c r="BB110" s="46"/>
    </row>
    <row r="111" spans="9:57" x14ac:dyDescent="0.2">
      <c r="I111" s="266" t="s">
        <v>318</v>
      </c>
      <c r="AV111" s="46"/>
      <c r="AW111" s="46"/>
      <c r="AX111" s="46"/>
      <c r="BA111" s="46"/>
      <c r="BB111" s="46"/>
    </row>
    <row r="112" spans="9:57" ht="15" thickBot="1" x14ac:dyDescent="0.25">
      <c r="AV112" s="46"/>
      <c r="AW112" s="46"/>
      <c r="AX112" s="46"/>
      <c r="BA112" s="46"/>
      <c r="BB112" s="46"/>
    </row>
    <row r="113" spans="9:54" ht="16.5" customHeight="1" thickTop="1" x14ac:dyDescent="0.2">
      <c r="I113" s="30" t="s">
        <v>305</v>
      </c>
      <c r="J113" s="30"/>
      <c r="K113" s="30"/>
      <c r="L113" s="30"/>
      <c r="M113" s="30"/>
      <c r="N113" s="30"/>
      <c r="O113" s="30"/>
      <c r="P113" s="30"/>
      <c r="Q113" s="30"/>
      <c r="R113" s="30"/>
      <c r="S113" s="30"/>
      <c r="AV113" s="46"/>
      <c r="AW113" s="46"/>
      <c r="AX113" s="46"/>
      <c r="BA113" s="46"/>
      <c r="BB113" s="46"/>
    </row>
    <row r="114" spans="9:54" ht="15" x14ac:dyDescent="0.25">
      <c r="I114" s="351">
        <f>$AH$68</f>
        <v>22.713009537111915</v>
      </c>
      <c r="J114" s="352">
        <v>8.2500000000000004E-2</v>
      </c>
      <c r="K114" s="354">
        <v>8.5000000000000006E-2</v>
      </c>
      <c r="L114" s="352">
        <v>8.7499999999999994E-2</v>
      </c>
      <c r="M114" s="354">
        <v>0.09</v>
      </c>
      <c r="N114" s="352">
        <v>9.2499999999999999E-2</v>
      </c>
      <c r="O114" s="354">
        <v>9.5000000000000001E-2</v>
      </c>
      <c r="P114" s="352">
        <v>9.7500000000000003E-2</v>
      </c>
      <c r="Q114" s="362">
        <v>0.1</v>
      </c>
      <c r="R114" s="355">
        <v>0.10249999999999999</v>
      </c>
      <c r="S114" s="353">
        <v>0.11</v>
      </c>
      <c r="AV114" s="46"/>
      <c r="AW114" s="46"/>
      <c r="AX114" s="46"/>
      <c r="BA114" s="46"/>
      <c r="BB114" s="46"/>
    </row>
    <row r="115" spans="9:54" ht="15" x14ac:dyDescent="0.25">
      <c r="I115" s="238">
        <v>0.01</v>
      </c>
      <c r="J115" s="235">
        <f t="dataTable" ref="J115:S123" dt2D="1" dtr="1" r1="J126" r2="J127"/>
        <v>22.713009537111915</v>
      </c>
      <c r="K115" s="235">
        <v>22.713009537111915</v>
      </c>
      <c r="L115" s="235">
        <v>22.713009537111915</v>
      </c>
      <c r="M115" s="235">
        <v>22.713009537111915</v>
      </c>
      <c r="N115" s="349">
        <v>22.713009537111915</v>
      </c>
      <c r="O115" s="237">
        <v>22.713009537111915</v>
      </c>
      <c r="P115" s="235">
        <v>22.713009537111915</v>
      </c>
      <c r="Q115" s="237">
        <v>22.713009537111915</v>
      </c>
      <c r="R115" s="237">
        <v>22.713009537111915</v>
      </c>
      <c r="S115" s="237">
        <v>22.713009537111915</v>
      </c>
      <c r="AV115" s="46"/>
      <c r="AW115" s="46"/>
      <c r="AX115" s="46"/>
      <c r="BA115" s="46"/>
      <c r="BB115" s="46"/>
    </row>
    <row r="116" spans="9:54" ht="15" x14ac:dyDescent="0.25">
      <c r="I116" s="239">
        <v>1.2500000000000001E-2</v>
      </c>
      <c r="J116" s="235">
        <v>22.713009537111915</v>
      </c>
      <c r="K116" s="235">
        <v>22.713009537111915</v>
      </c>
      <c r="L116" s="235">
        <v>22.713009537111915</v>
      </c>
      <c r="M116" s="235">
        <v>22.713009537111915</v>
      </c>
      <c r="N116" s="236">
        <v>22.713009537111915</v>
      </c>
      <c r="O116" s="237">
        <v>22.713009537111915</v>
      </c>
      <c r="P116" s="235">
        <v>22.713009537111915</v>
      </c>
      <c r="Q116" s="237">
        <v>22.713009537111915</v>
      </c>
      <c r="R116" s="237">
        <v>22.713009537111915</v>
      </c>
      <c r="S116" s="237">
        <v>22.713009537111915</v>
      </c>
      <c r="AV116" s="46"/>
      <c r="AW116" s="46"/>
      <c r="AX116" s="46"/>
      <c r="BA116" s="46"/>
      <c r="BB116" s="46"/>
    </row>
    <row r="117" spans="9:54" ht="15" x14ac:dyDescent="0.25">
      <c r="I117" s="239">
        <v>1.4999999999999999E-2</v>
      </c>
      <c r="J117" s="235">
        <v>22.713009537111915</v>
      </c>
      <c r="K117" s="235">
        <v>22.713009537111915</v>
      </c>
      <c r="L117" s="235">
        <v>22.713009537111915</v>
      </c>
      <c r="M117" s="235">
        <v>22.713009537111915</v>
      </c>
      <c r="N117" s="236">
        <v>22.713009537111915</v>
      </c>
      <c r="O117" s="237">
        <v>22.713009537111915</v>
      </c>
      <c r="P117" s="235">
        <v>22.713009537111915</v>
      </c>
      <c r="Q117" s="237">
        <v>22.713009537111915</v>
      </c>
      <c r="R117" s="237">
        <v>22.713009537111915</v>
      </c>
      <c r="S117" s="237">
        <v>22.713009537111915</v>
      </c>
      <c r="AV117" s="46"/>
      <c r="AW117" s="46"/>
      <c r="AX117" s="46"/>
      <c r="BA117" s="46"/>
      <c r="BB117" s="46"/>
    </row>
    <row r="118" spans="9:54" ht="15" x14ac:dyDescent="0.25">
      <c r="I118" s="357">
        <v>1.7500000000000002E-2</v>
      </c>
      <c r="J118" s="338">
        <v>22.713009537111915</v>
      </c>
      <c r="K118" s="338">
        <v>22.713009537111915</v>
      </c>
      <c r="L118" s="338">
        <v>22.713009537111915</v>
      </c>
      <c r="M118" s="338">
        <v>22.713009537111915</v>
      </c>
      <c r="N118" s="350">
        <v>22.713009537111915</v>
      </c>
      <c r="O118" s="339">
        <v>22.713009537111915</v>
      </c>
      <c r="P118" s="338">
        <v>22.713009537111915</v>
      </c>
      <c r="Q118" s="339">
        <v>22.713009537111915</v>
      </c>
      <c r="R118" s="339">
        <v>22.713009537111915</v>
      </c>
      <c r="S118" s="339">
        <v>22.713009537111915</v>
      </c>
      <c r="AV118" s="46"/>
      <c r="AW118" s="46"/>
      <c r="AX118" s="46"/>
      <c r="BA118" s="46"/>
      <c r="BB118" s="46"/>
    </row>
    <row r="119" spans="9:54" ht="15" x14ac:dyDescent="0.25">
      <c r="I119" s="238">
        <v>0.02</v>
      </c>
      <c r="J119" s="235">
        <v>22.713009537111915</v>
      </c>
      <c r="K119" s="235">
        <v>22.713009537111915</v>
      </c>
      <c r="L119" s="235">
        <v>22.713009537111915</v>
      </c>
      <c r="M119" s="235">
        <v>22.713009537111915</v>
      </c>
      <c r="N119" s="236">
        <v>22.713009537111915</v>
      </c>
      <c r="O119" s="237">
        <v>22.713009537111915</v>
      </c>
      <c r="P119" s="235">
        <v>22.713009537111915</v>
      </c>
      <c r="Q119" s="237">
        <v>22.713009537111915</v>
      </c>
      <c r="R119" s="237">
        <v>22.713009537111915</v>
      </c>
      <c r="S119" s="237">
        <v>22.713009537111915</v>
      </c>
      <c r="AV119" s="46"/>
      <c r="AW119" s="46"/>
      <c r="AX119" s="46"/>
      <c r="BA119" s="46"/>
      <c r="BB119" s="46"/>
    </row>
    <row r="120" spans="9:54" ht="15" x14ac:dyDescent="0.25">
      <c r="I120" s="239">
        <v>2.2499999999999999E-2</v>
      </c>
      <c r="J120" s="235">
        <v>22.713009537111915</v>
      </c>
      <c r="K120" s="235">
        <v>22.713009537111915</v>
      </c>
      <c r="L120" s="235">
        <v>22.713009537111915</v>
      </c>
      <c r="M120" s="235">
        <v>22.713009537111915</v>
      </c>
      <c r="N120" s="236">
        <v>22.713009537111915</v>
      </c>
      <c r="O120" s="237">
        <v>22.713009537111915</v>
      </c>
      <c r="P120" s="235">
        <v>22.713009537111915</v>
      </c>
      <c r="Q120" s="237">
        <v>22.713009537111915</v>
      </c>
      <c r="R120" s="237">
        <v>22.713009537111915</v>
      </c>
      <c r="S120" s="237">
        <v>22.713009537111915</v>
      </c>
      <c r="AV120" s="46"/>
      <c r="AW120" s="46"/>
      <c r="AX120" s="46"/>
      <c r="BA120" s="46"/>
      <c r="BB120" s="46"/>
    </row>
    <row r="121" spans="9:54" ht="15" x14ac:dyDescent="0.25">
      <c r="I121" s="240">
        <v>2.5000000000000001E-2</v>
      </c>
      <c r="J121" s="235">
        <v>22.713009537111915</v>
      </c>
      <c r="K121" s="235">
        <v>22.713009537111915</v>
      </c>
      <c r="L121" s="235">
        <v>22.713009537111915</v>
      </c>
      <c r="M121" s="235">
        <v>22.713009537111915</v>
      </c>
      <c r="N121" s="236">
        <v>22.713009537111915</v>
      </c>
      <c r="O121" s="237">
        <v>22.713009537111915</v>
      </c>
      <c r="P121" s="235">
        <v>22.713009537111915</v>
      </c>
      <c r="Q121" s="237">
        <v>22.713009537111915</v>
      </c>
      <c r="R121" s="237">
        <v>22.713009537111915</v>
      </c>
      <c r="S121" s="237">
        <v>22.713009537111915</v>
      </c>
      <c r="AV121" s="46"/>
      <c r="AW121" s="46"/>
      <c r="AX121" s="46"/>
      <c r="BA121" s="46"/>
      <c r="BB121" s="46"/>
    </row>
    <row r="122" spans="9:54" ht="15" x14ac:dyDescent="0.25">
      <c r="I122" s="239">
        <v>2.75E-2</v>
      </c>
      <c r="J122" s="235">
        <v>22.713009537111915</v>
      </c>
      <c r="K122" s="235">
        <v>22.713009537111915</v>
      </c>
      <c r="L122" s="235">
        <v>22.713009537111915</v>
      </c>
      <c r="M122" s="235">
        <v>22.713009537111915</v>
      </c>
      <c r="N122" s="236">
        <v>22.713009537111915</v>
      </c>
      <c r="O122" s="237">
        <v>22.713009537111915</v>
      </c>
      <c r="P122" s="235">
        <v>22.713009537111915</v>
      </c>
      <c r="Q122" s="237">
        <v>22.713009537111915</v>
      </c>
      <c r="R122" s="237">
        <v>22.713009537111915</v>
      </c>
      <c r="S122" s="237">
        <v>22.713009537111915</v>
      </c>
      <c r="AV122" s="46"/>
      <c r="AW122" s="46"/>
      <c r="AX122" s="46"/>
      <c r="BA122" s="46"/>
      <c r="BB122" s="46"/>
    </row>
    <row r="123" spans="9:54" ht="15" x14ac:dyDescent="0.25">
      <c r="I123" s="238">
        <v>0.03</v>
      </c>
      <c r="J123" s="235">
        <v>22.713009537111915</v>
      </c>
      <c r="K123" s="235">
        <v>22.713009537111915</v>
      </c>
      <c r="L123" s="235">
        <v>22.713009537111915</v>
      </c>
      <c r="M123" s="235">
        <v>22.713009537111915</v>
      </c>
      <c r="N123" s="236">
        <v>22.713009537111915</v>
      </c>
      <c r="O123" s="237">
        <v>22.713009537111915</v>
      </c>
      <c r="P123" s="235">
        <v>22.713009537111915</v>
      </c>
      <c r="Q123" s="237">
        <v>22.713009537111915</v>
      </c>
      <c r="R123" s="237">
        <v>22.713009537111915</v>
      </c>
      <c r="S123" s="237">
        <v>22.713009537111915</v>
      </c>
      <c r="AV123" s="46"/>
      <c r="AW123" s="46"/>
      <c r="AX123" s="46"/>
      <c r="BA123" s="46"/>
      <c r="BB123" s="46"/>
    </row>
    <row r="124" spans="9:54" x14ac:dyDescent="0.2">
      <c r="AV124" s="46"/>
      <c r="AW124" s="46"/>
      <c r="AX124" s="46"/>
      <c r="BA124" s="46"/>
      <c r="BB124" s="46"/>
    </row>
    <row r="125" spans="9:54" x14ac:dyDescent="0.2">
      <c r="AV125" s="46"/>
      <c r="AW125" s="46"/>
      <c r="AX125" s="46"/>
      <c r="BA125" s="46"/>
      <c r="BB125" s="46"/>
    </row>
    <row r="126" spans="9:54" ht="28.5" x14ac:dyDescent="0.2">
      <c r="I126" s="233" t="s">
        <v>322</v>
      </c>
      <c r="J126" s="234">
        <v>9.2499999999999999E-2</v>
      </c>
      <c r="AV126" s="46"/>
      <c r="AW126" s="46"/>
      <c r="AX126" s="46"/>
      <c r="BA126" s="46"/>
      <c r="BB126" s="46"/>
    </row>
    <row r="127" spans="9:54" ht="28.5" x14ac:dyDescent="0.2">
      <c r="I127" s="233" t="s">
        <v>323</v>
      </c>
      <c r="J127" s="356">
        <v>1.7500000000000002E-2</v>
      </c>
      <c r="AV127" s="46"/>
      <c r="AW127" s="46"/>
      <c r="AX127" s="46"/>
      <c r="BA127" s="46"/>
      <c r="BB127" s="46"/>
    </row>
    <row r="128" spans="9:54" ht="15" thickBot="1" x14ac:dyDescent="0.25">
      <c r="AV128" s="46"/>
      <c r="AW128" s="46"/>
      <c r="AX128" s="46"/>
      <c r="BA128" s="46"/>
      <c r="BB128" s="46"/>
    </row>
    <row r="129" spans="9:54" ht="16.5" thickTop="1" x14ac:dyDescent="0.2">
      <c r="I129" s="38" t="s">
        <v>306</v>
      </c>
      <c r="J129" s="38"/>
      <c r="K129" s="38"/>
      <c r="L129" s="38"/>
      <c r="M129" s="38"/>
      <c r="N129" s="38"/>
      <c r="O129" s="38"/>
      <c r="P129" s="38"/>
      <c r="Q129" s="38"/>
      <c r="R129" s="38"/>
      <c r="AV129" s="46"/>
      <c r="AW129" s="46"/>
      <c r="AX129" s="46"/>
      <c r="BA129" s="46"/>
      <c r="BB129" s="46"/>
    </row>
    <row r="130" spans="9:54" ht="15" x14ac:dyDescent="0.25">
      <c r="I130" s="242">
        <f>$AH$68</f>
        <v>22.713009537111915</v>
      </c>
      <c r="J130" s="243">
        <v>400</v>
      </c>
      <c r="K130" s="243">
        <v>425</v>
      </c>
      <c r="L130" s="243">
        <v>450</v>
      </c>
      <c r="M130" s="243">
        <v>475</v>
      </c>
      <c r="N130" s="244">
        <v>500</v>
      </c>
      <c r="O130" s="243">
        <v>525</v>
      </c>
      <c r="P130" s="243">
        <v>550</v>
      </c>
      <c r="Q130" s="243">
        <v>575</v>
      </c>
      <c r="R130" s="245">
        <v>600</v>
      </c>
      <c r="AV130" s="46"/>
      <c r="AW130" s="46"/>
      <c r="AX130" s="46"/>
      <c r="BA130" s="46"/>
      <c r="BB130" s="46"/>
    </row>
    <row r="131" spans="9:54" ht="30" x14ac:dyDescent="0.2">
      <c r="I131" s="47" t="s">
        <v>308</v>
      </c>
      <c r="J131" s="246">
        <v>47.4</v>
      </c>
      <c r="K131" s="246">
        <v>49.4</v>
      </c>
      <c r="L131" s="246">
        <v>51.3</v>
      </c>
      <c r="M131" s="246">
        <v>53.3</v>
      </c>
      <c r="N131" s="247">
        <f>AH68</f>
        <v>22.713009537111915</v>
      </c>
      <c r="O131" s="246">
        <v>57.3</v>
      </c>
      <c r="P131" s="246">
        <v>59.2</v>
      </c>
      <c r="Q131" s="246">
        <v>61.2</v>
      </c>
      <c r="R131" s="248">
        <v>63.2</v>
      </c>
      <c r="AV131" s="46"/>
      <c r="AW131" s="46"/>
      <c r="AX131" s="46"/>
      <c r="BA131" s="46"/>
      <c r="BB131" s="46"/>
    </row>
    <row r="132" spans="9:54" ht="15" x14ac:dyDescent="0.2">
      <c r="I132" s="47" t="s">
        <v>282</v>
      </c>
      <c r="J132" s="267">
        <f t="shared" ref="J132:R132" si="85">$AH$69/J131</f>
        <v>0.44303797468354433</v>
      </c>
      <c r="K132" s="267">
        <f t="shared" si="85"/>
        <v>0.4251012145748988</v>
      </c>
      <c r="L132" s="267">
        <f t="shared" si="85"/>
        <v>0.40935672514619886</v>
      </c>
      <c r="M132" s="267">
        <f t="shared" si="85"/>
        <v>0.39399624765478425</v>
      </c>
      <c r="N132" s="269">
        <f t="shared" si="85"/>
        <v>0.92458024841168918</v>
      </c>
      <c r="O132" s="267">
        <f t="shared" si="85"/>
        <v>0.36649214659685864</v>
      </c>
      <c r="P132" s="267">
        <f t="shared" si="85"/>
        <v>0.35472972972972971</v>
      </c>
      <c r="Q132" s="267">
        <f t="shared" si="85"/>
        <v>0.34313725490196079</v>
      </c>
      <c r="R132" s="268">
        <f t="shared" si="85"/>
        <v>0.33227848101265822</v>
      </c>
      <c r="AV132" s="46"/>
      <c r="AW132" s="46"/>
      <c r="AX132" s="46"/>
      <c r="BA132" s="46"/>
      <c r="BB132" s="46"/>
    </row>
    <row r="133" spans="9:54" ht="45" x14ac:dyDescent="0.2">
      <c r="I133" s="47" t="s">
        <v>315</v>
      </c>
      <c r="J133" s="249">
        <v>0.438</v>
      </c>
      <c r="K133" s="249">
        <v>0.47099999999999997</v>
      </c>
      <c r="L133" s="249">
        <v>0.5</v>
      </c>
      <c r="M133" s="249">
        <v>0.52600000000000002</v>
      </c>
      <c r="N133" s="251">
        <v>0.55000000000000004</v>
      </c>
      <c r="O133" s="249">
        <v>0.57099999999999995</v>
      </c>
      <c r="P133" s="249">
        <v>0.59099999999999997</v>
      </c>
      <c r="Q133" s="249">
        <v>0.60899999999999999</v>
      </c>
      <c r="R133" s="250">
        <v>0.625</v>
      </c>
      <c r="AV133" s="46"/>
      <c r="AW133" s="46"/>
      <c r="AX133" s="46"/>
      <c r="BA133" s="46"/>
      <c r="BB133" s="46"/>
    </row>
    <row r="134" spans="9:54" x14ac:dyDescent="0.2">
      <c r="AV134" s="46"/>
      <c r="AW134" s="46"/>
      <c r="AX134" s="46"/>
      <c r="BA134" s="46"/>
      <c r="BB134" s="46"/>
    </row>
    <row r="135" spans="9:54" ht="15" x14ac:dyDescent="0.2">
      <c r="I135" s="228" t="s">
        <v>307</v>
      </c>
      <c r="L135" s="241" t="e">
        <f>#REF!</f>
        <v>#REF!</v>
      </c>
      <c r="AV135" s="46"/>
      <c r="AW135" s="46"/>
      <c r="AX135" s="46"/>
      <c r="BA135" s="46"/>
      <c r="BB135" s="46"/>
    </row>
    <row r="136" spans="9:54" x14ac:dyDescent="0.2">
      <c r="AV136" s="46"/>
      <c r="AW136" s="46"/>
      <c r="AX136" s="46"/>
      <c r="BA136" s="46"/>
      <c r="BB136" s="46"/>
    </row>
    <row r="137" spans="9:54" x14ac:dyDescent="0.2">
      <c r="AV137" s="46"/>
      <c r="AW137" s="46"/>
      <c r="AX137" s="46"/>
      <c r="BA137" s="46"/>
      <c r="BB137" s="46"/>
    </row>
    <row r="138" spans="9:54" x14ac:dyDescent="0.2">
      <c r="AV138" s="46"/>
      <c r="AW138" s="46"/>
      <c r="AX138" s="46"/>
      <c r="BA138" s="46"/>
      <c r="BB138" s="46"/>
    </row>
    <row r="139" spans="9:54" x14ac:dyDescent="0.2">
      <c r="AV139" s="46"/>
      <c r="AW139" s="46"/>
      <c r="AX139" s="46"/>
      <c r="BA139" s="46"/>
      <c r="BB139" s="46"/>
    </row>
    <row r="140" spans="9:54" x14ac:dyDescent="0.2">
      <c r="AV140" s="46"/>
      <c r="AW140" s="46"/>
      <c r="AX140" s="46"/>
      <c r="BA140" s="46"/>
      <c r="BB140" s="46"/>
    </row>
    <row r="141" spans="9:54" x14ac:dyDescent="0.2">
      <c r="AV141" s="46"/>
      <c r="AW141" s="46"/>
      <c r="AX141" s="46"/>
      <c r="BA141" s="46"/>
      <c r="BB141" s="46"/>
    </row>
    <row r="142" spans="9:54" x14ac:dyDescent="0.2">
      <c r="AV142" s="46"/>
      <c r="AW142" s="46"/>
      <c r="AX142" s="46"/>
      <c r="BA142" s="46"/>
      <c r="BB142" s="46"/>
    </row>
    <row r="143" spans="9:54" x14ac:dyDescent="0.2">
      <c r="AV143" s="46"/>
      <c r="AW143" s="46"/>
      <c r="AX143" s="46"/>
      <c r="BA143" s="46"/>
      <c r="BB143" s="46"/>
    </row>
    <row r="144" spans="9:54" x14ac:dyDescent="0.2">
      <c r="AV144" s="46"/>
      <c r="AW144" s="46"/>
      <c r="AX144" s="46"/>
      <c r="BA144" s="46"/>
      <c r="BB144" s="46"/>
    </row>
    <row r="145" s="46" customFormat="1" x14ac:dyDescent="0.2"/>
    <row r="146" s="46" customFormat="1" x14ac:dyDescent="0.2"/>
    <row r="147" s="46" customFormat="1" x14ac:dyDescent="0.2"/>
    <row r="148" s="46" customFormat="1" x14ac:dyDescent="0.2"/>
    <row r="149" s="46" customFormat="1" x14ac:dyDescent="0.2"/>
    <row r="150" s="46" customFormat="1" x14ac:dyDescent="0.2"/>
    <row r="151" s="46" customFormat="1" x14ac:dyDescent="0.2"/>
    <row r="152" s="46" customFormat="1" x14ac:dyDescent="0.2"/>
    <row r="153" s="46" customFormat="1" x14ac:dyDescent="0.2"/>
    <row r="154" s="46" customFormat="1" x14ac:dyDescent="0.2"/>
    <row r="155" s="46" customFormat="1" x14ac:dyDescent="0.2"/>
    <row r="156" s="46" customFormat="1" x14ac:dyDescent="0.2"/>
    <row r="157" s="46" customFormat="1" x14ac:dyDescent="0.2"/>
    <row r="158" s="46" customFormat="1" x14ac:dyDescent="0.2"/>
    <row r="159" s="46" customFormat="1" x14ac:dyDescent="0.2"/>
    <row r="160" s="46" customFormat="1" x14ac:dyDescent="0.2"/>
    <row r="161" s="46" customFormat="1" x14ac:dyDescent="0.2"/>
    <row r="162" s="46" customFormat="1" x14ac:dyDescent="0.2"/>
    <row r="163" s="46" customFormat="1" x14ac:dyDescent="0.2"/>
    <row r="164" s="46" customFormat="1" x14ac:dyDescent="0.2"/>
    <row r="165" s="46" customFormat="1" x14ac:dyDescent="0.2"/>
    <row r="166" s="46" customFormat="1" x14ac:dyDescent="0.2"/>
    <row r="167" s="46" customFormat="1" x14ac:dyDescent="0.2"/>
    <row r="168" s="46" customFormat="1" x14ac:dyDescent="0.2"/>
    <row r="169" s="46" customFormat="1" x14ac:dyDescent="0.2"/>
    <row r="170" s="46" customFormat="1" x14ac:dyDescent="0.2"/>
    <row r="171" s="46" customFormat="1" x14ac:dyDescent="0.2"/>
    <row r="172" s="46" customFormat="1" x14ac:dyDescent="0.2"/>
    <row r="173" s="46" customFormat="1" x14ac:dyDescent="0.2"/>
    <row r="174" s="46" customFormat="1" x14ac:dyDescent="0.2"/>
    <row r="175" s="46" customFormat="1" x14ac:dyDescent="0.2"/>
    <row r="176" s="46" customFormat="1" x14ac:dyDescent="0.2"/>
    <row r="177" s="46" customFormat="1" x14ac:dyDescent="0.2"/>
    <row r="178" s="46" customFormat="1" x14ac:dyDescent="0.2"/>
    <row r="179" s="46" customFormat="1" x14ac:dyDescent="0.2"/>
    <row r="180" s="46" customFormat="1" x14ac:dyDescent="0.2"/>
    <row r="181" s="46" customFormat="1" x14ac:dyDescent="0.2"/>
    <row r="182" s="46" customFormat="1" x14ac:dyDescent="0.2"/>
    <row r="183" s="46" customFormat="1" x14ac:dyDescent="0.2"/>
    <row r="184" s="46" customFormat="1" x14ac:dyDescent="0.2"/>
    <row r="185" s="46" customFormat="1" x14ac:dyDescent="0.2"/>
    <row r="186" s="46" customFormat="1" x14ac:dyDescent="0.2"/>
    <row r="187" s="46" customFormat="1" x14ac:dyDescent="0.2"/>
    <row r="188" s="46" customFormat="1" x14ac:dyDescent="0.2"/>
    <row r="189" s="46" customFormat="1" x14ac:dyDescent="0.2"/>
    <row r="190" s="46" customFormat="1" x14ac:dyDescent="0.2"/>
    <row r="191" s="46" customFormat="1" x14ac:dyDescent="0.2"/>
    <row r="192" s="46" customFormat="1" x14ac:dyDescent="0.2"/>
    <row r="193" s="46" customFormat="1" x14ac:dyDescent="0.2"/>
    <row r="194" s="46" customFormat="1" x14ac:dyDescent="0.2"/>
    <row r="195" s="46" customFormat="1" x14ac:dyDescent="0.2"/>
    <row r="196" s="46" customFormat="1" x14ac:dyDescent="0.2"/>
    <row r="197" s="46" customFormat="1" x14ac:dyDescent="0.2"/>
    <row r="198" s="46" customFormat="1" x14ac:dyDescent="0.2"/>
    <row r="199" s="46" customFormat="1" x14ac:dyDescent="0.2"/>
    <row r="200" s="46" customFormat="1" x14ac:dyDescent="0.2"/>
    <row r="201" s="46" customFormat="1" x14ac:dyDescent="0.2"/>
    <row r="202" s="46" customFormat="1" x14ac:dyDescent="0.2"/>
    <row r="203" s="46" customFormat="1" x14ac:dyDescent="0.2"/>
    <row r="204" s="46" customFormat="1" x14ac:dyDescent="0.2"/>
    <row r="205" s="46" customFormat="1" x14ac:dyDescent="0.2"/>
    <row r="206" s="46" customFormat="1" x14ac:dyDescent="0.2"/>
    <row r="207" s="46" customFormat="1" x14ac:dyDescent="0.2"/>
    <row r="208" s="46" customFormat="1" x14ac:dyDescent="0.2"/>
    <row r="209" s="46" customFormat="1" x14ac:dyDescent="0.2"/>
    <row r="210" s="46" customFormat="1" x14ac:dyDescent="0.2"/>
    <row r="211" s="46" customFormat="1" x14ac:dyDescent="0.2"/>
    <row r="212" s="46" customFormat="1" x14ac:dyDescent="0.2"/>
    <row r="213" s="46" customFormat="1" x14ac:dyDescent="0.2"/>
    <row r="214" s="46" customFormat="1" x14ac:dyDescent="0.2"/>
    <row r="215" s="46" customFormat="1" x14ac:dyDescent="0.2"/>
    <row r="216" s="46" customFormat="1" x14ac:dyDescent="0.2"/>
    <row r="217" s="46" customFormat="1" x14ac:dyDescent="0.2"/>
    <row r="218" s="46" customFormat="1" x14ac:dyDescent="0.2"/>
    <row r="219" s="46" customFormat="1" x14ac:dyDescent="0.2"/>
    <row r="220" s="46" customFormat="1" x14ac:dyDescent="0.2"/>
    <row r="221" s="46" customFormat="1" x14ac:dyDescent="0.2"/>
    <row r="222" s="46" customFormat="1" x14ac:dyDescent="0.2"/>
    <row r="223" s="46" customFormat="1" x14ac:dyDescent="0.2"/>
    <row r="224" s="46" customFormat="1" x14ac:dyDescent="0.2"/>
    <row r="225" s="46" customFormat="1" x14ac:dyDescent="0.2"/>
    <row r="226" s="46" customFormat="1" x14ac:dyDescent="0.2"/>
    <row r="227" s="46" customFormat="1" x14ac:dyDescent="0.2"/>
    <row r="228" s="46" customFormat="1" x14ac:dyDescent="0.2"/>
    <row r="229" s="46" customFormat="1" x14ac:dyDescent="0.2"/>
    <row r="230" s="46" customFormat="1" x14ac:dyDescent="0.2"/>
    <row r="231" s="46" customFormat="1" x14ac:dyDescent="0.2"/>
    <row r="232" s="46" customFormat="1" x14ac:dyDescent="0.2"/>
    <row r="233" s="46" customFormat="1" x14ac:dyDescent="0.2"/>
    <row r="234" s="46" customFormat="1" x14ac:dyDescent="0.2"/>
    <row r="235" s="46" customFormat="1" x14ac:dyDescent="0.2"/>
    <row r="236" s="46" customFormat="1" x14ac:dyDescent="0.2"/>
    <row r="237" s="46" customFormat="1" x14ac:dyDescent="0.2"/>
    <row r="238" s="46" customFormat="1" x14ac:dyDescent="0.2"/>
    <row r="239" s="46" customFormat="1" x14ac:dyDescent="0.2"/>
    <row r="240" s="46" customFormat="1" x14ac:dyDescent="0.2"/>
    <row r="241" s="46" customFormat="1" x14ac:dyDescent="0.2"/>
    <row r="242" s="46" customFormat="1" x14ac:dyDescent="0.2"/>
    <row r="243" s="46" customFormat="1" x14ac:dyDescent="0.2"/>
    <row r="244" s="46" customFormat="1" x14ac:dyDescent="0.2"/>
    <row r="245" s="46" customFormat="1" x14ac:dyDescent="0.2"/>
    <row r="246" s="46" customFormat="1" x14ac:dyDescent="0.2"/>
    <row r="247" s="46" customFormat="1" x14ac:dyDescent="0.2"/>
    <row r="248" s="46" customFormat="1" x14ac:dyDescent="0.2"/>
    <row r="249" s="46" customFormat="1" x14ac:dyDescent="0.2"/>
    <row r="250" s="46" customFormat="1" x14ac:dyDescent="0.2"/>
    <row r="251" s="46" customFormat="1" x14ac:dyDescent="0.2"/>
    <row r="252" s="46" customFormat="1" x14ac:dyDescent="0.2"/>
    <row r="253" s="46" customFormat="1" x14ac:dyDescent="0.2"/>
    <row r="254" s="46" customFormat="1" x14ac:dyDescent="0.2"/>
    <row r="255" s="46" customFormat="1" x14ac:dyDescent="0.2"/>
    <row r="256" s="46" customFormat="1" x14ac:dyDescent="0.2"/>
    <row r="257" s="46" customFormat="1" x14ac:dyDescent="0.2"/>
    <row r="258" s="46" customFormat="1" x14ac:dyDescent="0.2"/>
    <row r="259" s="46" customFormat="1" x14ac:dyDescent="0.2"/>
    <row r="260" s="46" customFormat="1" x14ac:dyDescent="0.2"/>
    <row r="261" s="46" customFormat="1" x14ac:dyDescent="0.2"/>
    <row r="262" s="46" customFormat="1" x14ac:dyDescent="0.2"/>
    <row r="263" s="46" customFormat="1" x14ac:dyDescent="0.2"/>
    <row r="264" s="46" customFormat="1" x14ac:dyDescent="0.2"/>
    <row r="265" s="46" customFormat="1" x14ac:dyDescent="0.2"/>
    <row r="266" s="46" customFormat="1" x14ac:dyDescent="0.2"/>
    <row r="267" s="46" customFormat="1" x14ac:dyDescent="0.2"/>
    <row r="268" s="46" customFormat="1" x14ac:dyDescent="0.2"/>
    <row r="269" s="46" customFormat="1" x14ac:dyDescent="0.2"/>
    <row r="270" s="46" customFormat="1" x14ac:dyDescent="0.2"/>
    <row r="271" s="46" customFormat="1" x14ac:dyDescent="0.2"/>
    <row r="272" s="46" customFormat="1" x14ac:dyDescent="0.2"/>
    <row r="273" s="46" customFormat="1" x14ac:dyDescent="0.2"/>
    <row r="274" s="46" customFormat="1" x14ac:dyDescent="0.2"/>
    <row r="275" s="46" customFormat="1" x14ac:dyDescent="0.2"/>
    <row r="276" s="46" customFormat="1" x14ac:dyDescent="0.2"/>
    <row r="277" s="46" customFormat="1" x14ac:dyDescent="0.2"/>
    <row r="278" s="46" customFormat="1" x14ac:dyDescent="0.2"/>
    <row r="279" s="46" customFormat="1" x14ac:dyDescent="0.2"/>
    <row r="280" s="46" customFormat="1" x14ac:dyDescent="0.2"/>
    <row r="281" s="46" customFormat="1" x14ac:dyDescent="0.2"/>
    <row r="282" s="46" customFormat="1" x14ac:dyDescent="0.2"/>
    <row r="283" s="46" customFormat="1" x14ac:dyDescent="0.2"/>
    <row r="284" s="46" customFormat="1" x14ac:dyDescent="0.2"/>
    <row r="285" s="46" customFormat="1" x14ac:dyDescent="0.2"/>
    <row r="286" s="46" customFormat="1" x14ac:dyDescent="0.2"/>
    <row r="287" s="46" customFormat="1" x14ac:dyDescent="0.2"/>
    <row r="288" s="46" customFormat="1" x14ac:dyDescent="0.2"/>
    <row r="289" s="46" customFormat="1" x14ac:dyDescent="0.2"/>
    <row r="290" s="46" customFormat="1" x14ac:dyDescent="0.2"/>
    <row r="291" s="46" customFormat="1" x14ac:dyDescent="0.2"/>
    <row r="292" s="46" customFormat="1" x14ac:dyDescent="0.2"/>
    <row r="293" s="46" customFormat="1" x14ac:dyDescent="0.2"/>
    <row r="294" s="46" customFormat="1" x14ac:dyDescent="0.2"/>
    <row r="295" s="46" customFormat="1" x14ac:dyDescent="0.2"/>
    <row r="296" s="46" customFormat="1" x14ac:dyDescent="0.2"/>
    <row r="297" s="46" customFormat="1" x14ac:dyDescent="0.2"/>
    <row r="298" s="46" customFormat="1" x14ac:dyDescent="0.2"/>
    <row r="299" s="46" customFormat="1" x14ac:dyDescent="0.2"/>
    <row r="300" s="46" customFormat="1" x14ac:dyDescent="0.2"/>
    <row r="301" s="46" customFormat="1" x14ac:dyDescent="0.2"/>
    <row r="302" s="46" customFormat="1" x14ac:dyDescent="0.2"/>
    <row r="303" s="46" customFormat="1" x14ac:dyDescent="0.2"/>
    <row r="304" s="46" customFormat="1" x14ac:dyDescent="0.2"/>
    <row r="305" s="46" customFormat="1" x14ac:dyDescent="0.2"/>
    <row r="306" s="46" customFormat="1" x14ac:dyDescent="0.2"/>
    <row r="307" s="46" customFormat="1" x14ac:dyDescent="0.2"/>
    <row r="308" s="46" customFormat="1" x14ac:dyDescent="0.2"/>
    <row r="309" s="46" customFormat="1" x14ac:dyDescent="0.2"/>
    <row r="310" s="46" customFormat="1" x14ac:dyDescent="0.2"/>
    <row r="311" s="46" customFormat="1" x14ac:dyDescent="0.2"/>
    <row r="312" s="46" customFormat="1" x14ac:dyDescent="0.2"/>
    <row r="313" s="46" customFormat="1" x14ac:dyDescent="0.2"/>
    <row r="314" s="46" customFormat="1" x14ac:dyDescent="0.2"/>
    <row r="315" s="46" customFormat="1" x14ac:dyDescent="0.2"/>
    <row r="316" s="46" customFormat="1" x14ac:dyDescent="0.2"/>
    <row r="317" s="46" customFormat="1" x14ac:dyDescent="0.2"/>
    <row r="318" s="46" customFormat="1" x14ac:dyDescent="0.2"/>
    <row r="319" s="46" customFormat="1" x14ac:dyDescent="0.2"/>
    <row r="320" s="46" customFormat="1" x14ac:dyDescent="0.2"/>
    <row r="321" s="46" customFormat="1" x14ac:dyDescent="0.2"/>
    <row r="322" s="46" customFormat="1" x14ac:dyDescent="0.2"/>
    <row r="323" s="46" customFormat="1" x14ac:dyDescent="0.2"/>
    <row r="324" s="46" customFormat="1" x14ac:dyDescent="0.2"/>
    <row r="325" s="46" customFormat="1" x14ac:dyDescent="0.2"/>
    <row r="326" s="46" customFormat="1" x14ac:dyDescent="0.2"/>
    <row r="327" s="46" customFormat="1" x14ac:dyDescent="0.2"/>
    <row r="328" s="46" customFormat="1" x14ac:dyDescent="0.2"/>
    <row r="329" s="46" customFormat="1" x14ac:dyDescent="0.2"/>
    <row r="330" s="46" customFormat="1" x14ac:dyDescent="0.2"/>
    <row r="331" s="46" customFormat="1" x14ac:dyDescent="0.2"/>
    <row r="332" s="46" customFormat="1" x14ac:dyDescent="0.2"/>
    <row r="333" s="46" customFormat="1" x14ac:dyDescent="0.2"/>
    <row r="334" s="46" customFormat="1" x14ac:dyDescent="0.2"/>
    <row r="335" s="46" customFormat="1" x14ac:dyDescent="0.2"/>
    <row r="336" s="46" customFormat="1" x14ac:dyDescent="0.2"/>
    <row r="337" s="46" customFormat="1" x14ac:dyDescent="0.2"/>
    <row r="338" s="46" customFormat="1" x14ac:dyDescent="0.2"/>
    <row r="339" s="46" customFormat="1" x14ac:dyDescent="0.2"/>
    <row r="340" s="46" customFormat="1" x14ac:dyDescent="0.2"/>
    <row r="341" s="46" customFormat="1" x14ac:dyDescent="0.2"/>
    <row r="342" s="46" customFormat="1" x14ac:dyDescent="0.2"/>
    <row r="343" s="46" customFormat="1" x14ac:dyDescent="0.2"/>
    <row r="344" s="46" customFormat="1" x14ac:dyDescent="0.2"/>
    <row r="345" s="46" customFormat="1" x14ac:dyDescent="0.2"/>
    <row r="346" s="46" customFormat="1" x14ac:dyDescent="0.2"/>
    <row r="347" s="46" customFormat="1" x14ac:dyDescent="0.2"/>
    <row r="348" s="46" customFormat="1" x14ac:dyDescent="0.2"/>
    <row r="349" s="46" customFormat="1" x14ac:dyDescent="0.2"/>
    <row r="350" s="46" customFormat="1" x14ac:dyDescent="0.2"/>
    <row r="351" s="46" customFormat="1" x14ac:dyDescent="0.2"/>
    <row r="352" s="46" customFormat="1" x14ac:dyDescent="0.2"/>
    <row r="353" s="46" customFormat="1" x14ac:dyDescent="0.2"/>
    <row r="354" s="46" customFormat="1" x14ac:dyDescent="0.2"/>
    <row r="355" s="46" customFormat="1" x14ac:dyDescent="0.2"/>
    <row r="356" s="46" customFormat="1" x14ac:dyDescent="0.2"/>
    <row r="357" s="46" customFormat="1" x14ac:dyDescent="0.2"/>
    <row r="358" s="46" customFormat="1" x14ac:dyDescent="0.2"/>
    <row r="359" s="46" customFormat="1" x14ac:dyDescent="0.2"/>
    <row r="360" s="46" customFormat="1" x14ac:dyDescent="0.2"/>
    <row r="361" s="46" customFormat="1" x14ac:dyDescent="0.2"/>
    <row r="362" s="46" customFormat="1" x14ac:dyDescent="0.2"/>
    <row r="363" s="46" customFormat="1" x14ac:dyDescent="0.2"/>
    <row r="364" s="46" customFormat="1" x14ac:dyDescent="0.2"/>
    <row r="365" s="46" customFormat="1" x14ac:dyDescent="0.2"/>
    <row r="366" s="46" customFormat="1" x14ac:dyDescent="0.2"/>
    <row r="367" s="46" customFormat="1" x14ac:dyDescent="0.2"/>
    <row r="368" s="46" customFormat="1" x14ac:dyDescent="0.2"/>
    <row r="369" s="46" customFormat="1" x14ac:dyDescent="0.2"/>
    <row r="370" s="46" customFormat="1" x14ac:dyDescent="0.2"/>
    <row r="371" s="46" customFormat="1" x14ac:dyDescent="0.2"/>
    <row r="372" s="46" customFormat="1" x14ac:dyDescent="0.2"/>
    <row r="373" s="46" customFormat="1" x14ac:dyDescent="0.2"/>
    <row r="374" s="46" customFormat="1" x14ac:dyDescent="0.2"/>
    <row r="375" s="46" customFormat="1" x14ac:dyDescent="0.2"/>
    <row r="376" s="46" customFormat="1" x14ac:dyDescent="0.2"/>
    <row r="377" s="46" customFormat="1" x14ac:dyDescent="0.2"/>
    <row r="378" s="46" customFormat="1" x14ac:dyDescent="0.2"/>
    <row r="379" s="46" customFormat="1" x14ac:dyDescent="0.2"/>
    <row r="380" s="46" customFormat="1" x14ac:dyDescent="0.2"/>
    <row r="381" s="46" customFormat="1" x14ac:dyDescent="0.2"/>
    <row r="382" s="46" customFormat="1" x14ac:dyDescent="0.2"/>
    <row r="383" s="46" customFormat="1" x14ac:dyDescent="0.2"/>
    <row r="384" s="46" customFormat="1" x14ac:dyDescent="0.2"/>
    <row r="385" s="46" customFormat="1" x14ac:dyDescent="0.2"/>
    <row r="386" s="46" customFormat="1" x14ac:dyDescent="0.2"/>
    <row r="387" s="46" customFormat="1" x14ac:dyDescent="0.2"/>
    <row r="388" s="46" customFormat="1" x14ac:dyDescent="0.2"/>
    <row r="389" s="46" customFormat="1" x14ac:dyDescent="0.2"/>
    <row r="390" s="46" customFormat="1" x14ac:dyDescent="0.2"/>
    <row r="391" s="46" customFormat="1" x14ac:dyDescent="0.2"/>
    <row r="392" s="46" customFormat="1" x14ac:dyDescent="0.2"/>
    <row r="393" s="46" customFormat="1" x14ac:dyDescent="0.2"/>
    <row r="394" s="46" customFormat="1" x14ac:dyDescent="0.2"/>
    <row r="395" s="46" customFormat="1" x14ac:dyDescent="0.2"/>
    <row r="396" s="46" customFormat="1" x14ac:dyDescent="0.2"/>
    <row r="397" s="46" customFormat="1" x14ac:dyDescent="0.2"/>
    <row r="398" s="46" customFormat="1" x14ac:dyDescent="0.2"/>
    <row r="399" s="46" customFormat="1" x14ac:dyDescent="0.2"/>
    <row r="400" s="46" customFormat="1" x14ac:dyDescent="0.2"/>
    <row r="401" s="46" customFormat="1" x14ac:dyDescent="0.2"/>
    <row r="402" s="46" customFormat="1" x14ac:dyDescent="0.2"/>
    <row r="403" s="46" customFormat="1" x14ac:dyDescent="0.2"/>
    <row r="404" s="46" customFormat="1" x14ac:dyDescent="0.2"/>
    <row r="405" s="46" customFormat="1" x14ac:dyDescent="0.2"/>
    <row r="406" s="46" customFormat="1" x14ac:dyDescent="0.2"/>
    <row r="407" s="46" customFormat="1" x14ac:dyDescent="0.2"/>
    <row r="408" s="46" customFormat="1" x14ac:dyDescent="0.2"/>
    <row r="409" s="46" customFormat="1" x14ac:dyDescent="0.2"/>
    <row r="410" s="46" customFormat="1" x14ac:dyDescent="0.2"/>
    <row r="411" s="46" customFormat="1" x14ac:dyDescent="0.2"/>
    <row r="412" s="46" customFormat="1" x14ac:dyDescent="0.2"/>
    <row r="413" s="46" customFormat="1" x14ac:dyDescent="0.2"/>
    <row r="414" s="46" customFormat="1" x14ac:dyDescent="0.2"/>
    <row r="415" s="46" customFormat="1" x14ac:dyDescent="0.2"/>
    <row r="416" s="46" customFormat="1" x14ac:dyDescent="0.2"/>
    <row r="417" s="46" customFormat="1" x14ac:dyDescent="0.2"/>
    <row r="418" s="46" customFormat="1" x14ac:dyDescent="0.2"/>
    <row r="419" s="46" customFormat="1" x14ac:dyDescent="0.2"/>
    <row r="420" s="46" customFormat="1" x14ac:dyDescent="0.2"/>
    <row r="421" s="46" customFormat="1" x14ac:dyDescent="0.2"/>
    <row r="422" s="46" customFormat="1" x14ac:dyDescent="0.2"/>
    <row r="423" s="46" customFormat="1" x14ac:dyDescent="0.2"/>
    <row r="424" s="46" customFormat="1" x14ac:dyDescent="0.2"/>
    <row r="425" s="46" customFormat="1" x14ac:dyDescent="0.2"/>
    <row r="426" s="46" customFormat="1" x14ac:dyDescent="0.2"/>
    <row r="427" s="46" customFormat="1" x14ac:dyDescent="0.2"/>
    <row r="428" s="46" customFormat="1" x14ac:dyDescent="0.2"/>
    <row r="429" s="46" customFormat="1" x14ac:dyDescent="0.2"/>
    <row r="430" s="46" customFormat="1" x14ac:dyDescent="0.2"/>
    <row r="431" s="46" customFormat="1" x14ac:dyDescent="0.2"/>
    <row r="432" s="46" customFormat="1" x14ac:dyDescent="0.2"/>
    <row r="433" s="46" customFormat="1" x14ac:dyDescent="0.2"/>
    <row r="434" s="46" customFormat="1" x14ac:dyDescent="0.2"/>
    <row r="435" s="46" customFormat="1" x14ac:dyDescent="0.2"/>
    <row r="436" s="46" customFormat="1" x14ac:dyDescent="0.2"/>
    <row r="437" s="46" customFormat="1" x14ac:dyDescent="0.2"/>
    <row r="438" s="46" customFormat="1" x14ac:dyDescent="0.2"/>
    <row r="439" s="46" customFormat="1" x14ac:dyDescent="0.2"/>
    <row r="440" s="46" customFormat="1" x14ac:dyDescent="0.2"/>
    <row r="441" s="46" customFormat="1" x14ac:dyDescent="0.2"/>
    <row r="442" s="46" customFormat="1" x14ac:dyDescent="0.2"/>
    <row r="443" s="46" customFormat="1" x14ac:dyDescent="0.2"/>
    <row r="444" s="46" customFormat="1" x14ac:dyDescent="0.2"/>
    <row r="445" s="46" customFormat="1" x14ac:dyDescent="0.2"/>
    <row r="446" s="46" customFormat="1" x14ac:dyDescent="0.2"/>
    <row r="447" s="46" customFormat="1" x14ac:dyDescent="0.2"/>
  </sheetData>
  <mergeCells count="10">
    <mergeCell ref="I129:R129"/>
    <mergeCell ref="AO46:BC46"/>
    <mergeCell ref="BE59:BN59"/>
    <mergeCell ref="J72:AD72"/>
    <mergeCell ref="BE72:BJ72"/>
    <mergeCell ref="A2:BE2"/>
    <mergeCell ref="AK55:AL55"/>
    <mergeCell ref="AK56:AL56"/>
    <mergeCell ref="AK57:AL57"/>
    <mergeCell ref="I113:S113"/>
  </mergeCells>
  <printOptions horizontalCentered="1"/>
  <pageMargins left="0.74803149606299213" right="0.74803149606299213" top="0.98425196850393704" bottom="0.98425196850393704" header="0.51181102362204722" footer="0.51181102362204722"/>
  <pageSetup paperSize="9" scale="85" orientation="landscape" horizontalDpi="200" verticalDpi="200"/>
  <headerFooter alignWithMargins="0"/>
  <rowBreaks count="1" manualBreakCount="1">
    <brk id="14" max="23" man="1"/>
  </rowBreak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67380-5B40-411C-9FB2-5066BA5D8850}">
  <dimension ref="H5:L30"/>
  <sheetViews>
    <sheetView showGridLines="0" rightToLeft="1" workbookViewId="0"/>
  </sheetViews>
  <sheetFormatPr defaultRowHeight="12.75" x14ac:dyDescent="0.2"/>
  <cols>
    <col min="1" max="7" width="9.140625" style="275"/>
    <col min="8" max="8" width="35.42578125" style="275" bestFit="1" customWidth="1"/>
    <col min="9" max="16384" width="9.140625" style="275"/>
  </cols>
  <sheetData>
    <row r="5" spans="8:12" ht="13.5" thickBot="1" x14ac:dyDescent="0.25"/>
    <row r="6" spans="8:12" ht="13.5" thickTop="1" x14ac:dyDescent="0.2">
      <c r="H6" s="33" t="s">
        <v>1043</v>
      </c>
      <c r="I6" s="33"/>
      <c r="J6" s="37"/>
      <c r="K6" s="37"/>
      <c r="L6" s="39"/>
    </row>
    <row r="7" spans="8:12" x14ac:dyDescent="0.2">
      <c r="H7" s="522" t="s">
        <v>293</v>
      </c>
      <c r="I7" s="862" t="s">
        <v>981</v>
      </c>
      <c r="J7" s="862" t="s">
        <v>991</v>
      </c>
      <c r="K7" s="862" t="s">
        <v>980</v>
      </c>
      <c r="L7" s="861" t="s">
        <v>917</v>
      </c>
    </row>
    <row r="8" spans="8:12" x14ac:dyDescent="0.2">
      <c r="H8" s="922" t="s">
        <v>97</v>
      </c>
      <c r="I8" s="1107"/>
      <c r="J8" s="1107"/>
      <c r="K8" s="1107"/>
      <c r="L8" s="1108"/>
    </row>
    <row r="9" spans="8:12" x14ac:dyDescent="0.2">
      <c r="H9" s="1106" t="s">
        <v>1034</v>
      </c>
      <c r="I9" s="1115">
        <f>'DCF 1.6.2025'!BA6</f>
        <v>876</v>
      </c>
      <c r="J9" s="1115">
        <v>1080</v>
      </c>
      <c r="K9" s="312">
        <v>1004.9999999999999</v>
      </c>
      <c r="L9" s="332">
        <v>1060</v>
      </c>
    </row>
    <row r="10" spans="8:12" x14ac:dyDescent="0.2">
      <c r="H10" s="1106" t="s">
        <v>222</v>
      </c>
      <c r="I10" s="1115">
        <f>'DCF 1.6.2025'!BA7</f>
        <v>333</v>
      </c>
      <c r="J10" s="1115">
        <v>326.90579710144931</v>
      </c>
      <c r="K10" s="312">
        <v>300</v>
      </c>
      <c r="L10" s="332">
        <v>300</v>
      </c>
    </row>
    <row r="11" spans="8:12" x14ac:dyDescent="0.2">
      <c r="H11" s="1106" t="s">
        <v>1035</v>
      </c>
      <c r="I11" s="1115">
        <f>'DCF 1.6.2025'!BA8</f>
        <v>347</v>
      </c>
      <c r="J11" s="1115">
        <v>409.05826086956523</v>
      </c>
      <c r="K11" s="312">
        <v>358</v>
      </c>
      <c r="L11" s="332">
        <v>381</v>
      </c>
    </row>
    <row r="12" spans="8:12" x14ac:dyDescent="0.2">
      <c r="H12" s="1106" t="s">
        <v>775</v>
      </c>
      <c r="I12" s="1115">
        <f>'DCF 1.6.2025'!BA16</f>
        <v>52</v>
      </c>
      <c r="J12" s="1115">
        <v>108.7454995812448</v>
      </c>
      <c r="K12" s="312">
        <v>56</v>
      </c>
      <c r="L12" s="332">
        <v>60</v>
      </c>
    </row>
    <row r="13" spans="8:12" x14ac:dyDescent="0.2">
      <c r="H13" s="1106" t="s">
        <v>1033</v>
      </c>
      <c r="I13" s="1116">
        <f>'DCF 1.6.2025'!BA17</f>
        <v>0.14985590778097982</v>
      </c>
      <c r="J13" s="1116">
        <v>0.26584354842284935</v>
      </c>
      <c r="K13" s="333">
        <v>0.15642458100558659</v>
      </c>
      <c r="L13" s="334">
        <v>0.15748031496062992</v>
      </c>
    </row>
    <row r="14" spans="8:12" x14ac:dyDescent="0.2">
      <c r="H14" s="1109" t="s">
        <v>98</v>
      </c>
      <c r="I14" s="1117"/>
      <c r="J14" s="1117"/>
      <c r="K14" s="1107"/>
      <c r="L14" s="1108"/>
    </row>
    <row r="15" spans="8:12" x14ac:dyDescent="0.2">
      <c r="H15" s="1106" t="s">
        <v>1036</v>
      </c>
      <c r="I15" s="1115">
        <f>'DCF 1.6.2025'!BA9</f>
        <v>589</v>
      </c>
      <c r="J15" s="1115">
        <v>543.84</v>
      </c>
      <c r="K15" s="312">
        <v>536</v>
      </c>
      <c r="L15" s="332">
        <v>528</v>
      </c>
    </row>
    <row r="16" spans="8:12" x14ac:dyDescent="0.2">
      <c r="H16" s="1106" t="s">
        <v>775</v>
      </c>
      <c r="I16" s="1115">
        <f>'DCF 1.6.2025'!BA18</f>
        <v>90</v>
      </c>
      <c r="J16" s="1115">
        <v>97</v>
      </c>
      <c r="K16" s="312">
        <v>91</v>
      </c>
      <c r="L16" s="332">
        <v>93</v>
      </c>
    </row>
    <row r="17" spans="8:12" x14ac:dyDescent="0.2">
      <c r="H17" s="1106" t="s">
        <v>1037</v>
      </c>
      <c r="I17" s="1116">
        <f>'DCF 1.6.2025'!BA19</f>
        <v>0.15280135823429541</v>
      </c>
      <c r="J17" s="1116">
        <v>0.17836128273021476</v>
      </c>
      <c r="K17" s="333">
        <v>0.16977611940298507</v>
      </c>
      <c r="L17" s="334">
        <v>0.17613636363636365</v>
      </c>
    </row>
    <row r="18" spans="8:12" x14ac:dyDescent="0.2">
      <c r="H18" s="922" t="s">
        <v>99</v>
      </c>
      <c r="I18" s="1117"/>
      <c r="J18" s="1117"/>
      <c r="K18" s="1107"/>
      <c r="L18" s="1108"/>
    </row>
    <row r="19" spans="8:12" x14ac:dyDescent="0.2">
      <c r="H19" s="1106" t="s">
        <v>1039</v>
      </c>
      <c r="I19" s="1115">
        <f>'DCF 1.6.2025'!BA10</f>
        <v>315</v>
      </c>
      <c r="J19" s="1115">
        <v>327</v>
      </c>
      <c r="K19" s="312">
        <v>338</v>
      </c>
      <c r="L19" s="332">
        <v>309</v>
      </c>
    </row>
    <row r="20" spans="8:12" x14ac:dyDescent="0.2">
      <c r="H20" s="1106" t="s">
        <v>775</v>
      </c>
      <c r="I20" s="1115">
        <f>'DCF 1.6.2025'!BA20</f>
        <v>54</v>
      </c>
      <c r="J20" s="1115">
        <v>61</v>
      </c>
      <c r="K20" s="312">
        <v>62</v>
      </c>
      <c r="L20" s="332">
        <v>60</v>
      </c>
    </row>
    <row r="21" spans="8:12" x14ac:dyDescent="0.2">
      <c r="H21" s="1106" t="s">
        <v>1038</v>
      </c>
      <c r="I21" s="1116">
        <f>'DCF 1.6.2025'!BA21</f>
        <v>0.17142857142857143</v>
      </c>
      <c r="J21" s="1116">
        <v>0.18654434250764526</v>
      </c>
      <c r="K21" s="333">
        <v>0.18343195266272189</v>
      </c>
      <c r="L21" s="334">
        <v>0.1941747572815534</v>
      </c>
    </row>
    <row r="22" spans="8:12" x14ac:dyDescent="0.2">
      <c r="H22" s="922" t="s">
        <v>768</v>
      </c>
      <c r="I22" s="1117"/>
      <c r="J22" s="1117"/>
      <c r="K22" s="1107"/>
      <c r="L22" s="1108"/>
    </row>
    <row r="23" spans="8:12" x14ac:dyDescent="0.2">
      <c r="H23" s="1106" t="s">
        <v>1040</v>
      </c>
      <c r="I23" s="1115">
        <f>'DCF 1.6.2025'!BA11</f>
        <v>534</v>
      </c>
      <c r="J23" s="1115">
        <v>508.56</v>
      </c>
      <c r="K23" s="312">
        <v>491</v>
      </c>
      <c r="L23" s="332">
        <v>489</v>
      </c>
    </row>
    <row r="24" spans="8:12" x14ac:dyDescent="0.2">
      <c r="H24" s="1106" t="s">
        <v>775</v>
      </c>
      <c r="I24" s="1115">
        <f>'DCF 1.6.2025'!BA22</f>
        <v>35</v>
      </c>
      <c r="J24" s="1115">
        <v>32</v>
      </c>
      <c r="K24" s="312">
        <v>28</v>
      </c>
      <c r="L24" s="332">
        <v>25</v>
      </c>
    </row>
    <row r="25" spans="8:12" x14ac:dyDescent="0.2">
      <c r="H25" s="1106" t="s">
        <v>1038</v>
      </c>
      <c r="I25" s="1116">
        <f>'DCF 1.6.2025'!BA23</f>
        <v>6.5543071161048683E-2</v>
      </c>
      <c r="J25" s="1116">
        <v>6.292276230926537E-2</v>
      </c>
      <c r="K25" s="333">
        <v>5.7026476578411409E-2</v>
      </c>
      <c r="L25" s="334">
        <v>5.112474437627812E-2</v>
      </c>
    </row>
    <row r="26" spans="8:12" x14ac:dyDescent="0.2">
      <c r="H26" s="922" t="s">
        <v>1041</v>
      </c>
      <c r="I26" s="1118">
        <f>'DCF 1.6.2025'!BA13</f>
        <v>1832</v>
      </c>
      <c r="J26" s="1118">
        <v>1833.4582608695653</v>
      </c>
      <c r="K26" s="1110">
        <v>1767</v>
      </c>
      <c r="L26" s="1111">
        <v>1752</v>
      </c>
    </row>
    <row r="27" spans="8:12" x14ac:dyDescent="0.2">
      <c r="H27" s="922" t="s">
        <v>1042</v>
      </c>
      <c r="I27" s="1118">
        <f>'DCF 1.6.2025'!BA26</f>
        <v>181</v>
      </c>
      <c r="J27" s="1118">
        <v>265.74549958124481</v>
      </c>
      <c r="K27" s="1110">
        <v>185</v>
      </c>
      <c r="L27" s="1111">
        <v>211</v>
      </c>
    </row>
    <row r="28" spans="8:12" x14ac:dyDescent="0.2">
      <c r="H28" s="922" t="s">
        <v>24</v>
      </c>
      <c r="I28" s="1118">
        <f>'DCF 1.6.2025'!BA28</f>
        <v>331</v>
      </c>
      <c r="J28" s="1118">
        <v>415.74549958124481</v>
      </c>
      <c r="K28" s="1110">
        <v>336</v>
      </c>
      <c r="L28" s="1111">
        <v>363</v>
      </c>
    </row>
    <row r="29" spans="8:12" ht="13.5" thickBot="1" x14ac:dyDescent="0.25">
      <c r="H29" s="1112" t="s">
        <v>582</v>
      </c>
      <c r="I29" s="1119">
        <f>'DCF 1.6.2025'!BA39</f>
        <v>174</v>
      </c>
      <c r="J29" s="1119">
        <v>311.23266762977624</v>
      </c>
      <c r="K29" s="1113">
        <v>292</v>
      </c>
      <c r="L29" s="1114">
        <v>289</v>
      </c>
    </row>
    <row r="30" spans="8:12" ht="13.5" thickTop="1" x14ac:dyDescent="0.2"/>
  </sheetData>
  <mergeCells count="1">
    <mergeCell ref="H6:L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CH158"/>
  <sheetViews>
    <sheetView showGridLines="0" rightToLeft="1" zoomScale="90" zoomScaleNormal="90" workbookViewId="0"/>
  </sheetViews>
  <sheetFormatPr defaultColWidth="9.140625" defaultRowHeight="14.25" outlineLevelCol="1" x14ac:dyDescent="0.2"/>
  <cols>
    <col min="1" max="1" width="23" style="46" customWidth="1"/>
    <col min="2" max="5" width="9" style="46" hidden="1" customWidth="1"/>
    <col min="6" max="9" width="9" style="46" hidden="1" customWidth="1" outlineLevel="1"/>
    <col min="10" max="10" width="9" style="46" hidden="1" customWidth="1" collapsed="1"/>
    <col min="11" max="14" width="9" style="46" hidden="1" customWidth="1" outlineLevel="1"/>
    <col min="15" max="15" width="9" style="46" hidden="1" customWidth="1" collapsed="1"/>
    <col min="16" max="19" width="9" style="46" hidden="1" customWidth="1" outlineLevel="1"/>
    <col min="20" max="20" width="9" style="46" hidden="1" customWidth="1" collapsed="1"/>
    <col min="21" max="24" width="9" style="46" hidden="1" customWidth="1" outlineLevel="1"/>
    <col min="25" max="25" width="9" style="46" hidden="1" customWidth="1" collapsed="1"/>
    <col min="26" max="29" width="8.140625" style="46" hidden="1" customWidth="1" outlineLevel="1"/>
    <col min="30" max="30" width="9" style="46" hidden="1" customWidth="1" collapsed="1"/>
    <col min="31" max="34" width="8.140625" style="46" hidden="1" customWidth="1" outlineLevel="1"/>
    <col min="35" max="35" width="9" style="46" hidden="1" customWidth="1" collapsed="1"/>
    <col min="36" max="39" width="8.140625" style="46" hidden="1" customWidth="1" outlineLevel="1"/>
    <col min="40" max="40" width="9" style="46" customWidth="1" collapsed="1"/>
    <col min="41" max="43" width="8.140625" style="46" hidden="1" customWidth="1" outlineLevel="1"/>
    <col min="44" max="44" width="0.85546875" style="46" hidden="1" customWidth="1" outlineLevel="1"/>
    <col min="45" max="45" width="9" style="46" customWidth="1" collapsed="1"/>
    <col min="46" max="49" width="8.140625" style="46" hidden="1" customWidth="1" outlineLevel="1"/>
    <col min="50" max="50" width="9" style="46" customWidth="1" collapsed="1"/>
    <col min="51" max="54" width="8.140625" style="46" hidden="1" customWidth="1" outlineLevel="1"/>
    <col min="55" max="55" width="9" style="46" customWidth="1" collapsed="1"/>
    <col min="56" max="59" width="8.140625" style="46" hidden="1" customWidth="1" outlineLevel="1"/>
    <col min="60" max="60" width="9" style="46" customWidth="1" collapsed="1"/>
    <col min="61" max="61" width="8.140625" style="46" hidden="1" customWidth="1" outlineLevel="1"/>
    <col min="62" max="62" width="9" style="46" customWidth="1" collapsed="1"/>
    <col min="63" max="66" width="8.140625" style="46" hidden="1" customWidth="1" outlineLevel="1"/>
    <col min="67" max="67" width="9" style="46" customWidth="1" collapsed="1"/>
    <col min="68" max="71" width="8.140625" style="46" customWidth="1" outlineLevel="1"/>
    <col min="72" max="72" width="9" style="46" customWidth="1"/>
    <col min="73" max="75" width="8.140625" style="46" customWidth="1" outlineLevel="1"/>
    <col min="76" max="76" width="2.42578125" style="46" customWidth="1"/>
    <col min="77" max="77" width="8.28515625" style="46" customWidth="1"/>
    <col min="78" max="78" width="7.7109375" style="46" customWidth="1"/>
    <col min="79" max="79" width="6.7109375" style="46" customWidth="1"/>
    <col min="80" max="80" width="7.28515625" style="46" customWidth="1"/>
    <col min="81" max="81" width="9.42578125" style="46" customWidth="1"/>
    <col min="82" max="82" width="9.140625" style="46"/>
    <col min="83" max="83" width="11.28515625" style="46" bestFit="1" customWidth="1"/>
    <col min="84" max="84" width="10.7109375" style="46" bestFit="1" customWidth="1"/>
    <col min="85" max="85" width="9.85546875" style="46" bestFit="1" customWidth="1"/>
    <col min="86" max="86" width="9.7109375" style="46" bestFit="1" customWidth="1"/>
    <col min="87" max="87" width="9.140625" style="46"/>
    <col min="88" max="88" width="13.140625" style="46" bestFit="1" customWidth="1"/>
    <col min="89" max="90" width="9.140625" style="46"/>
    <col min="91" max="91" width="13.85546875" style="46" bestFit="1" customWidth="1"/>
    <col min="92" max="16384" width="9.140625" style="46"/>
  </cols>
  <sheetData>
    <row r="1" spans="1:82" ht="15" thickBot="1" x14ac:dyDescent="0.25">
      <c r="C1" s="196"/>
      <c r="AL1" s="261"/>
      <c r="AQ1" s="261"/>
      <c r="AV1" s="261"/>
    </row>
    <row r="2" spans="1:82" ht="17.25" customHeight="1" thickTop="1" x14ac:dyDescent="0.2">
      <c r="A2" s="35" t="s">
        <v>579</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row>
    <row r="3" spans="1:82" ht="33" customHeight="1" x14ac:dyDescent="0.2">
      <c r="A3" s="485" t="s">
        <v>990</v>
      </c>
      <c r="B3" s="486" t="s">
        <v>10</v>
      </c>
      <c r="C3" s="486" t="s">
        <v>11</v>
      </c>
      <c r="D3" s="486" t="s">
        <v>12</v>
      </c>
      <c r="E3" s="486" t="s">
        <v>13</v>
      </c>
      <c r="F3" s="486" t="s">
        <v>208</v>
      </c>
      <c r="G3" s="486" t="s">
        <v>207</v>
      </c>
      <c r="H3" s="486" t="s">
        <v>206</v>
      </c>
      <c r="I3" s="486" t="s">
        <v>205</v>
      </c>
      <c r="J3" s="486" t="s">
        <v>14</v>
      </c>
      <c r="K3" s="486" t="s">
        <v>63</v>
      </c>
      <c r="L3" s="486" t="s">
        <v>64</v>
      </c>
      <c r="M3" s="486" t="s">
        <v>65</v>
      </c>
      <c r="N3" s="486" t="s">
        <v>66</v>
      </c>
      <c r="O3" s="486" t="s">
        <v>353</v>
      </c>
      <c r="P3" s="486" t="s">
        <v>27</v>
      </c>
      <c r="Q3" s="486" t="s">
        <v>28</v>
      </c>
      <c r="R3" s="486" t="s">
        <v>29</v>
      </c>
      <c r="S3" s="486" t="s">
        <v>30</v>
      </c>
      <c r="T3" s="486" t="s">
        <v>500</v>
      </c>
      <c r="U3" s="486" t="s">
        <v>31</v>
      </c>
      <c r="V3" s="486" t="s">
        <v>32</v>
      </c>
      <c r="W3" s="486" t="s">
        <v>209</v>
      </c>
      <c r="X3" s="486" t="s">
        <v>310</v>
      </c>
      <c r="Y3" s="486" t="s">
        <v>571</v>
      </c>
      <c r="Z3" s="486" t="s">
        <v>312</v>
      </c>
      <c r="AA3" s="486" t="s">
        <v>324</v>
      </c>
      <c r="AB3" s="486" t="s">
        <v>340</v>
      </c>
      <c r="AC3" s="486" t="s">
        <v>342</v>
      </c>
      <c r="AD3" s="486" t="s">
        <v>577</v>
      </c>
      <c r="AE3" s="486" t="s">
        <v>345</v>
      </c>
      <c r="AF3" s="486" t="s">
        <v>348</v>
      </c>
      <c r="AG3" s="486" t="s">
        <v>351</v>
      </c>
      <c r="AH3" s="486" t="s">
        <v>354</v>
      </c>
      <c r="AI3" s="486" t="s">
        <v>604</v>
      </c>
      <c r="AJ3" s="486" t="s">
        <v>438</v>
      </c>
      <c r="AK3" s="486" t="s">
        <v>485</v>
      </c>
      <c r="AL3" s="486" t="s">
        <v>486</v>
      </c>
      <c r="AM3" s="486" t="s">
        <v>499</v>
      </c>
      <c r="AN3" s="486" t="s">
        <v>605</v>
      </c>
      <c r="AO3" s="486" t="s">
        <v>501</v>
      </c>
      <c r="AP3" s="486" t="s">
        <v>502</v>
      </c>
      <c r="AQ3" s="486" t="s">
        <v>570</v>
      </c>
      <c r="AR3" s="486" t="s">
        <v>572</v>
      </c>
      <c r="AS3" s="486" t="s">
        <v>606</v>
      </c>
      <c r="AT3" s="486" t="s">
        <v>573</v>
      </c>
      <c r="AU3" s="486" t="s">
        <v>574</v>
      </c>
      <c r="AV3" s="486" t="s">
        <v>575</v>
      </c>
      <c r="AW3" s="486" t="s">
        <v>576</v>
      </c>
      <c r="AX3" s="486" t="s">
        <v>607</v>
      </c>
      <c r="AY3" s="487" t="s">
        <v>772</v>
      </c>
      <c r="AZ3" s="487" t="s">
        <v>771</v>
      </c>
      <c r="BA3" s="487" t="s">
        <v>844</v>
      </c>
      <c r="BB3" s="487" t="s">
        <v>846</v>
      </c>
      <c r="BC3" s="486" t="s">
        <v>845</v>
      </c>
      <c r="BD3" s="487" t="s">
        <v>847</v>
      </c>
      <c r="BE3" s="487" t="s">
        <v>848</v>
      </c>
      <c r="BF3" s="487" t="s">
        <v>849</v>
      </c>
      <c r="BG3" s="487" t="s">
        <v>850</v>
      </c>
      <c r="BH3" s="486" t="s">
        <v>851</v>
      </c>
      <c r="BI3" s="816" t="s">
        <v>852</v>
      </c>
      <c r="BJ3" s="487" t="s">
        <v>877</v>
      </c>
      <c r="BK3" s="886" t="s">
        <v>886</v>
      </c>
      <c r="BL3" s="886" t="s">
        <v>892</v>
      </c>
      <c r="BM3" s="886" t="s">
        <v>893</v>
      </c>
      <c r="BN3" s="885" t="s">
        <v>923</v>
      </c>
      <c r="BO3" s="487" t="s">
        <v>905</v>
      </c>
      <c r="BP3" s="886" t="s">
        <v>911</v>
      </c>
      <c r="BQ3" s="886" t="s">
        <v>917</v>
      </c>
      <c r="BR3" s="886" t="s">
        <v>918</v>
      </c>
      <c r="BS3" s="886" t="s">
        <v>922</v>
      </c>
      <c r="BT3" s="886" t="s">
        <v>924</v>
      </c>
      <c r="BU3" s="886" t="s">
        <v>980</v>
      </c>
      <c r="BV3" s="886" t="s">
        <v>981</v>
      </c>
      <c r="BW3" s="637" t="s">
        <v>288</v>
      </c>
      <c r="BY3" s="1035" t="s">
        <v>991</v>
      </c>
      <c r="BZ3" s="1038" t="s">
        <v>982</v>
      </c>
      <c r="CA3" s="1038" t="s">
        <v>612</v>
      </c>
      <c r="CB3" s="1038" t="s">
        <v>288</v>
      </c>
    </row>
    <row r="4" spans="1:82" ht="3" customHeight="1" x14ac:dyDescent="0.2">
      <c r="A4" s="136"/>
      <c r="B4" s="24"/>
      <c r="C4" s="24"/>
      <c r="D4" s="24"/>
      <c r="E4" s="24"/>
      <c r="F4" s="24"/>
      <c r="G4" s="24"/>
      <c r="H4" s="24"/>
      <c r="I4" s="24"/>
      <c r="J4" s="24"/>
      <c r="K4" s="24"/>
      <c r="L4" s="24"/>
      <c r="M4" s="24"/>
      <c r="N4" s="24"/>
      <c r="O4" s="24"/>
      <c r="P4" s="24"/>
      <c r="Q4" s="24"/>
      <c r="R4" s="24"/>
      <c r="S4" s="24"/>
      <c r="T4" s="24"/>
      <c r="U4" s="525"/>
      <c r="V4" s="525"/>
      <c r="W4" s="525"/>
      <c r="X4" s="525"/>
      <c r="Y4" s="525"/>
      <c r="Z4" s="525"/>
      <c r="AA4" s="525"/>
      <c r="AB4" s="525"/>
      <c r="AC4" s="525"/>
      <c r="AD4" s="465"/>
      <c r="AE4" s="525"/>
      <c r="AF4" s="525"/>
      <c r="AG4" s="525"/>
      <c r="AH4" s="525"/>
      <c r="AI4" s="465"/>
      <c r="AJ4" s="525"/>
      <c r="AK4" s="525"/>
      <c r="AL4" s="525"/>
      <c r="AM4" s="525"/>
      <c r="AN4" s="465"/>
      <c r="AO4" s="525"/>
      <c r="AP4" s="525"/>
      <c r="AQ4" s="525"/>
      <c r="AR4" s="525"/>
      <c r="AS4" s="465"/>
      <c r="AT4" s="525"/>
      <c r="AU4" s="525"/>
      <c r="AV4" s="525"/>
      <c r="AW4" s="525"/>
      <c r="AX4" s="465"/>
      <c r="AY4" s="521"/>
      <c r="AZ4" s="521"/>
      <c r="BA4" s="521"/>
      <c r="BB4" s="624"/>
      <c r="BC4" s="465"/>
      <c r="BD4" s="521"/>
      <c r="BE4" s="521"/>
      <c r="BF4" s="521"/>
      <c r="BG4" s="624"/>
      <c r="BH4" s="465"/>
      <c r="BI4" s="817"/>
      <c r="BJ4" s="882"/>
      <c r="BK4" s="525"/>
      <c r="BL4" s="525"/>
      <c r="BM4" s="525"/>
      <c r="BN4" s="624"/>
      <c r="BO4" s="882"/>
      <c r="BP4" s="525"/>
      <c r="BQ4" s="525"/>
      <c r="BR4" s="525"/>
      <c r="BS4" s="525"/>
      <c r="BT4" s="465"/>
      <c r="BU4" s="525"/>
      <c r="BV4" s="525"/>
      <c r="BW4" s="624"/>
    </row>
    <row r="5" spans="1:82" hidden="1" x14ac:dyDescent="0.2">
      <c r="A5" s="23" t="s">
        <v>181</v>
      </c>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1"/>
      <c r="AZ5" s="21"/>
      <c r="BA5" s="708"/>
      <c r="BB5" s="708"/>
      <c r="BC5" s="708"/>
      <c r="BD5" s="708"/>
      <c r="BE5" s="708"/>
      <c r="BF5" s="708"/>
      <c r="BG5" s="708"/>
      <c r="BH5" s="708"/>
      <c r="BI5" s="818"/>
      <c r="BJ5" s="708"/>
      <c r="BK5" s="887"/>
      <c r="BL5" s="887"/>
      <c r="BM5" s="887"/>
      <c r="BN5" s="708"/>
      <c r="BO5" s="708"/>
      <c r="BP5" s="887"/>
      <c r="BQ5" s="887"/>
      <c r="BR5" s="887"/>
      <c r="BS5" s="887"/>
      <c r="BT5" s="887"/>
      <c r="BU5" s="887"/>
      <c r="BV5" s="887"/>
    </row>
    <row r="6" spans="1:82" ht="15" hidden="1" x14ac:dyDescent="0.2">
      <c r="A6" s="472" t="s">
        <v>104</v>
      </c>
      <c r="B6" s="463"/>
      <c r="C6" s="463"/>
      <c r="D6" s="463"/>
      <c r="E6" s="463"/>
      <c r="F6" s="473"/>
      <c r="G6" s="473"/>
      <c r="H6" s="473"/>
      <c r="I6" s="473"/>
      <c r="J6" s="473">
        <v>1.8</v>
      </c>
      <c r="K6" s="473"/>
      <c r="L6" s="473"/>
      <c r="M6" s="473"/>
      <c r="N6" s="473"/>
      <c r="O6" s="473">
        <v>1.1000000000000001</v>
      </c>
      <c r="P6" s="473"/>
      <c r="Q6" s="473"/>
      <c r="R6" s="473"/>
      <c r="S6" s="473"/>
      <c r="T6" s="473">
        <f>O6*(1+T7)</f>
        <v>0.10999999999999999</v>
      </c>
      <c r="U6" s="473"/>
      <c r="V6" s="473"/>
      <c r="W6" s="473"/>
      <c r="X6" s="473"/>
      <c r="Y6" s="473">
        <v>1.246</v>
      </c>
      <c r="Z6" s="473"/>
      <c r="AA6" s="473"/>
      <c r="AB6" s="473"/>
      <c r="AC6" s="473"/>
      <c r="AD6" s="474">
        <v>1</v>
      </c>
      <c r="AE6" s="473"/>
      <c r="AF6" s="473"/>
      <c r="AG6" s="473"/>
      <c r="AH6" s="473"/>
      <c r="AI6" s="466">
        <f>0.91127-0.05</f>
        <v>0.86126999999999998</v>
      </c>
      <c r="AJ6" s="473"/>
      <c r="AK6" s="473"/>
      <c r="AL6" s="473"/>
      <c r="AM6" s="473"/>
      <c r="AN6" s="466">
        <v>0.746</v>
      </c>
      <c r="AO6" s="473"/>
      <c r="AP6" s="473"/>
      <c r="AQ6" s="473"/>
      <c r="AR6" s="473"/>
      <c r="AS6" s="466">
        <v>0.746</v>
      </c>
      <c r="AT6" s="473"/>
      <c r="AU6" s="473"/>
      <c r="AV6" s="473"/>
      <c r="AW6" s="473"/>
      <c r="AX6" s="466">
        <v>0.746</v>
      </c>
      <c r="AY6" s="475"/>
      <c r="AZ6" s="475"/>
      <c r="BA6" s="475"/>
      <c r="BB6" s="625"/>
      <c r="BC6" s="466">
        <v>0.746</v>
      </c>
      <c r="BD6" s="475"/>
      <c r="BE6" s="475"/>
      <c r="BF6" s="475"/>
      <c r="BG6" s="625"/>
      <c r="BH6" s="466">
        <v>0.746</v>
      </c>
      <c r="BI6" s="819"/>
      <c r="BJ6" s="883">
        <v>0.746</v>
      </c>
      <c r="BK6" s="473"/>
      <c r="BL6" s="473"/>
      <c r="BM6" s="473"/>
      <c r="BN6" s="625"/>
      <c r="BO6" s="883">
        <v>0.746</v>
      </c>
      <c r="BP6" s="473"/>
      <c r="BQ6" s="473"/>
      <c r="BR6" s="473"/>
      <c r="BS6" s="473"/>
      <c r="BT6" s="466">
        <v>0.746</v>
      </c>
      <c r="BU6" s="473"/>
      <c r="BV6" s="473"/>
      <c r="BW6" s="625"/>
    </row>
    <row r="7" spans="1:82" hidden="1" x14ac:dyDescent="0.2">
      <c r="A7" s="476" t="s">
        <v>26</v>
      </c>
      <c r="B7" s="77"/>
      <c r="C7" s="77"/>
      <c r="D7" s="77"/>
      <c r="E7" s="77"/>
      <c r="F7" s="77"/>
      <c r="G7" s="77"/>
      <c r="H7" s="77"/>
      <c r="I7" s="77"/>
      <c r="J7" s="77"/>
      <c r="K7" s="77"/>
      <c r="L7" s="77"/>
      <c r="M7" s="77"/>
      <c r="N7" s="77"/>
      <c r="O7" s="77">
        <f>O6/J6-1</f>
        <v>-0.38888888888888884</v>
      </c>
      <c r="P7" s="77"/>
      <c r="Q7" s="77"/>
      <c r="R7" s="77"/>
      <c r="S7" s="77"/>
      <c r="T7" s="77">
        <v>-0.9</v>
      </c>
      <c r="U7" s="77"/>
      <c r="V7" s="77"/>
      <c r="W7" s="77"/>
      <c r="X7" s="77"/>
      <c r="Y7" s="78">
        <f>Y6/T6-1</f>
        <v>10.327272727272728</v>
      </c>
      <c r="Z7" s="77"/>
      <c r="AA7" s="77"/>
      <c r="AB7" s="77"/>
      <c r="AC7" s="77"/>
      <c r="AD7" s="77">
        <f>AD6/Y6-1</f>
        <v>-0.1974317817014446</v>
      </c>
      <c r="AE7" s="77"/>
      <c r="AF7" s="77"/>
      <c r="AG7" s="77"/>
      <c r="AH7" s="77"/>
      <c r="AI7" s="77">
        <f>AI6/AD6-1</f>
        <v>-0.13873000000000002</v>
      </c>
      <c r="AJ7" s="77"/>
      <c r="AK7" s="77"/>
      <c r="AL7" s="77"/>
      <c r="AM7" s="77"/>
      <c r="AN7" s="77">
        <f>AN6/AI6-1</f>
        <v>-0.1338372403543604</v>
      </c>
      <c r="AO7" s="77"/>
      <c r="AP7" s="77"/>
      <c r="AQ7" s="77"/>
      <c r="AR7" s="77"/>
      <c r="AS7" s="77">
        <f>AS6/AN6-1</f>
        <v>0</v>
      </c>
      <c r="AT7" s="77"/>
      <c r="AU7" s="77"/>
      <c r="AV7" s="77"/>
      <c r="AW7" s="77"/>
      <c r="AX7" s="77">
        <f>AX6/AS6-1</f>
        <v>0</v>
      </c>
      <c r="AY7" s="137"/>
      <c r="AZ7" s="137"/>
      <c r="BA7" s="137"/>
      <c r="BB7" s="626"/>
      <c r="BC7" s="77">
        <f>BC6/AX6-1</f>
        <v>0</v>
      </c>
      <c r="BD7" s="137"/>
      <c r="BE7" s="137"/>
      <c r="BF7" s="137"/>
      <c r="BG7" s="626"/>
      <c r="BH7" s="77">
        <f>BH6/BC6-1</f>
        <v>0</v>
      </c>
      <c r="BI7" s="820"/>
      <c r="BJ7" s="137" t="e">
        <f>BJ6/BE6-1</f>
        <v>#DIV/0!</v>
      </c>
      <c r="BK7" s="77"/>
      <c r="BL7" s="77"/>
      <c r="BM7" s="77"/>
      <c r="BN7" s="626"/>
      <c r="BO7" s="137" t="e">
        <f>BO6/BI6-1</f>
        <v>#DIV/0!</v>
      </c>
      <c r="BP7" s="77"/>
      <c r="BQ7" s="77"/>
      <c r="BR7" s="77"/>
      <c r="BS7" s="77"/>
      <c r="BT7" s="77" t="e">
        <f>BT6/BN6-1</f>
        <v>#DIV/0!</v>
      </c>
      <c r="BU7" s="77"/>
      <c r="BV7" s="77"/>
      <c r="BW7" s="626"/>
    </row>
    <row r="8" spans="1:82" ht="30" hidden="1" x14ac:dyDescent="0.2">
      <c r="A8" s="158" t="s">
        <v>105</v>
      </c>
      <c r="B8" s="53"/>
      <c r="C8" s="53"/>
      <c r="D8" s="53"/>
      <c r="E8" s="53"/>
      <c r="F8" s="75"/>
      <c r="G8" s="75"/>
      <c r="H8" s="75"/>
      <c r="I8" s="75"/>
      <c r="J8" s="75">
        <v>0.85</v>
      </c>
      <c r="K8" s="75"/>
      <c r="L8" s="75"/>
      <c r="M8" s="75"/>
      <c r="N8" s="75"/>
      <c r="O8" s="75">
        <v>0.85</v>
      </c>
      <c r="P8" s="75"/>
      <c r="Q8" s="75"/>
      <c r="R8" s="75"/>
      <c r="S8" s="75"/>
      <c r="T8" s="75">
        <f>O8*(1+T9)</f>
        <v>0.38249999999999995</v>
      </c>
      <c r="U8" s="75"/>
      <c r="V8" s="75"/>
      <c r="W8" s="75"/>
      <c r="X8" s="75"/>
      <c r="Y8" s="75">
        <v>0.85</v>
      </c>
      <c r="Z8" s="75"/>
      <c r="AA8" s="75"/>
      <c r="AB8" s="75"/>
      <c r="AC8" s="75"/>
      <c r="AD8" s="474">
        <f>1+0.15</f>
        <v>1.1499999999999999</v>
      </c>
      <c r="AE8" s="75"/>
      <c r="AF8" s="75"/>
      <c r="AG8" s="75"/>
      <c r="AH8" s="75"/>
      <c r="AI8" s="450">
        <f>1.28+0.05</f>
        <v>1.33</v>
      </c>
      <c r="AJ8" s="75"/>
      <c r="AK8" s="75"/>
      <c r="AL8" s="75"/>
      <c r="AM8" s="75"/>
      <c r="AN8" s="73">
        <v>1.25</v>
      </c>
      <c r="AO8" s="75"/>
      <c r="AP8" s="75"/>
      <c r="AQ8" s="75"/>
      <c r="AR8" s="75"/>
      <c r="AS8" s="73">
        <v>1.25</v>
      </c>
      <c r="AT8" s="75"/>
      <c r="AU8" s="75"/>
      <c r="AV8" s="75"/>
      <c r="AW8" s="75"/>
      <c r="AX8" s="73">
        <v>1.25</v>
      </c>
      <c r="AY8" s="138"/>
      <c r="AZ8" s="138"/>
      <c r="BA8" s="138"/>
      <c r="BB8" s="67"/>
      <c r="BC8" s="73">
        <v>1.25</v>
      </c>
      <c r="BD8" s="138"/>
      <c r="BE8" s="138"/>
      <c r="BF8" s="138"/>
      <c r="BG8" s="67"/>
      <c r="BH8" s="73">
        <v>1.25</v>
      </c>
      <c r="BI8" s="821"/>
      <c r="BJ8" s="157">
        <v>1.25</v>
      </c>
      <c r="BK8" s="75"/>
      <c r="BL8" s="75"/>
      <c r="BM8" s="75"/>
      <c r="BN8" s="67"/>
      <c r="BO8" s="157">
        <v>1.25</v>
      </c>
      <c r="BP8" s="75"/>
      <c r="BQ8" s="75"/>
      <c r="BR8" s="75"/>
      <c r="BS8" s="75"/>
      <c r="BT8" s="73">
        <v>1.25</v>
      </c>
      <c r="BU8" s="75"/>
      <c r="BV8" s="75"/>
      <c r="BW8" s="67"/>
    </row>
    <row r="9" spans="1:82" hidden="1" x14ac:dyDescent="0.2">
      <c r="A9" s="476" t="s">
        <v>26</v>
      </c>
      <c r="B9" s="77"/>
      <c r="C9" s="77"/>
      <c r="D9" s="77"/>
      <c r="E9" s="77"/>
      <c r="F9" s="77"/>
      <c r="G9" s="77"/>
      <c r="H9" s="77"/>
      <c r="I9" s="77"/>
      <c r="J9" s="77"/>
      <c r="K9" s="77"/>
      <c r="L9" s="77"/>
      <c r="M9" s="77"/>
      <c r="N9" s="77"/>
      <c r="O9" s="78">
        <f>O8/J8-1</f>
        <v>0</v>
      </c>
      <c r="P9" s="77"/>
      <c r="Q9" s="77"/>
      <c r="R9" s="77"/>
      <c r="S9" s="77"/>
      <c r="T9" s="77">
        <v>-0.55000000000000004</v>
      </c>
      <c r="U9" s="77"/>
      <c r="V9" s="77"/>
      <c r="W9" s="77"/>
      <c r="X9" s="77"/>
      <c r="Y9" s="78">
        <f>Y8/T8-1</f>
        <v>1.2222222222222223</v>
      </c>
      <c r="Z9" s="77"/>
      <c r="AA9" s="77"/>
      <c r="AB9" s="77"/>
      <c r="AC9" s="77"/>
      <c r="AD9" s="77">
        <f>AD8/Y8-1</f>
        <v>0.35294117647058809</v>
      </c>
      <c r="AE9" s="77"/>
      <c r="AF9" s="77"/>
      <c r="AG9" s="77"/>
      <c r="AH9" s="77"/>
      <c r="AI9" s="77">
        <f>AI8/AD8-1</f>
        <v>0.15652173913043499</v>
      </c>
      <c r="AJ9" s="77"/>
      <c r="AK9" s="77"/>
      <c r="AL9" s="77"/>
      <c r="AM9" s="77"/>
      <c r="AN9" s="77">
        <f>AN8/AI8-1</f>
        <v>-6.0150375939849621E-2</v>
      </c>
      <c r="AO9" s="77"/>
      <c r="AP9" s="77"/>
      <c r="AQ9" s="77"/>
      <c r="AR9" s="77"/>
      <c r="AS9" s="77">
        <f>AS8/AN8-1</f>
        <v>0</v>
      </c>
      <c r="AT9" s="77"/>
      <c r="AU9" s="77"/>
      <c r="AV9" s="77"/>
      <c r="AW9" s="77"/>
      <c r="AX9" s="77">
        <f>AX8/AS8-1</f>
        <v>0</v>
      </c>
      <c r="AY9" s="137"/>
      <c r="AZ9" s="137"/>
      <c r="BA9" s="137"/>
      <c r="BB9" s="626"/>
      <c r="BC9" s="77">
        <f>BC8/AX8-1</f>
        <v>0</v>
      </c>
      <c r="BD9" s="137"/>
      <c r="BE9" s="137"/>
      <c r="BF9" s="137"/>
      <c r="BG9" s="626"/>
      <c r="BH9" s="77">
        <f>BH8/BC8-1</f>
        <v>0</v>
      </c>
      <c r="BI9" s="820"/>
      <c r="BJ9" s="137" t="e">
        <f>BJ8/BE8-1</f>
        <v>#DIV/0!</v>
      </c>
      <c r="BK9" s="77"/>
      <c r="BL9" s="77"/>
      <c r="BM9" s="77"/>
      <c r="BN9" s="626"/>
      <c r="BO9" s="137" t="e">
        <f>BO8/BI8-1</f>
        <v>#DIV/0!</v>
      </c>
      <c r="BP9" s="77"/>
      <c r="BQ9" s="77"/>
      <c r="BR9" s="77"/>
      <c r="BS9" s="77"/>
      <c r="BT9" s="77" t="e">
        <f>BT8/BN8-1</f>
        <v>#DIV/0!</v>
      </c>
      <c r="BU9" s="77"/>
      <c r="BV9" s="77"/>
      <c r="BW9" s="626"/>
    </row>
    <row r="10" spans="1:82" ht="15" hidden="1" x14ac:dyDescent="0.2">
      <c r="A10" s="158" t="s">
        <v>25</v>
      </c>
      <c r="B10" s="53"/>
      <c r="C10" s="53"/>
      <c r="D10" s="53"/>
      <c r="E10" s="53"/>
      <c r="F10" s="75"/>
      <c r="G10" s="75"/>
      <c r="H10" s="75"/>
      <c r="I10" s="75"/>
      <c r="J10" s="75">
        <v>0.95</v>
      </c>
      <c r="K10" s="75"/>
      <c r="L10" s="75"/>
      <c r="M10" s="75"/>
      <c r="N10" s="75"/>
      <c r="O10" s="75">
        <v>1</v>
      </c>
      <c r="P10" s="75"/>
      <c r="Q10" s="75"/>
      <c r="R10" s="75"/>
      <c r="S10" s="75"/>
      <c r="T10" s="75">
        <f>O10*(1+T11)</f>
        <v>1</v>
      </c>
      <c r="U10" s="75"/>
      <c r="V10" s="75"/>
      <c r="W10" s="75"/>
      <c r="X10" s="75"/>
      <c r="Y10" s="75">
        <v>1.02</v>
      </c>
      <c r="Z10" s="75"/>
      <c r="AA10" s="75"/>
      <c r="AB10" s="75"/>
      <c r="AC10" s="75"/>
      <c r="AD10" s="474">
        <v>0.65400000000000003</v>
      </c>
      <c r="AE10" s="75"/>
      <c r="AF10" s="75"/>
      <c r="AG10" s="75"/>
      <c r="AH10" s="75"/>
      <c r="AI10" s="450">
        <f>7.35*13.8%</f>
        <v>1.0143</v>
      </c>
      <c r="AJ10" s="75"/>
      <c r="AK10" s="75"/>
      <c r="AL10" s="75"/>
      <c r="AM10" s="75"/>
      <c r="AN10" s="73">
        <f>7.6*15%</f>
        <v>1.1399999999999999</v>
      </c>
      <c r="AO10" s="75"/>
      <c r="AP10" s="75"/>
      <c r="AQ10" s="75"/>
      <c r="AR10" s="75"/>
      <c r="AS10" s="73">
        <f>7.6*15%</f>
        <v>1.1399999999999999</v>
      </c>
      <c r="AT10" s="75"/>
      <c r="AU10" s="75"/>
      <c r="AV10" s="75"/>
      <c r="AW10" s="75"/>
      <c r="AX10" s="73">
        <f>7.6*15%</f>
        <v>1.1399999999999999</v>
      </c>
      <c r="AY10" s="138"/>
      <c r="AZ10" s="138"/>
      <c r="BA10" s="138"/>
      <c r="BB10" s="67"/>
      <c r="BC10" s="73">
        <f>7.6*15%</f>
        <v>1.1399999999999999</v>
      </c>
      <c r="BD10" s="138"/>
      <c r="BE10" s="138"/>
      <c r="BF10" s="138"/>
      <c r="BG10" s="67"/>
      <c r="BH10" s="73">
        <f>7.6*15%</f>
        <v>1.1399999999999999</v>
      </c>
      <c r="BI10" s="821"/>
      <c r="BJ10" s="157">
        <f>7.6*15%</f>
        <v>1.1399999999999999</v>
      </c>
      <c r="BK10" s="75"/>
      <c r="BL10" s="75"/>
      <c r="BM10" s="75"/>
      <c r="BN10" s="67"/>
      <c r="BO10" s="157">
        <f>7.6*15%</f>
        <v>1.1399999999999999</v>
      </c>
      <c r="BP10" s="75"/>
      <c r="BQ10" s="75"/>
      <c r="BR10" s="75"/>
      <c r="BS10" s="75"/>
      <c r="BT10" s="73">
        <f>7.6*15%</f>
        <v>1.1399999999999999</v>
      </c>
      <c r="BU10" s="75"/>
      <c r="BV10" s="75"/>
      <c r="BW10" s="67"/>
    </row>
    <row r="11" spans="1:82" ht="15" hidden="1" x14ac:dyDescent="0.2">
      <c r="A11" s="476" t="s">
        <v>26</v>
      </c>
      <c r="B11" s="77"/>
      <c r="C11" s="77"/>
      <c r="D11" s="77"/>
      <c r="E11" s="77"/>
      <c r="F11" s="77"/>
      <c r="G11" s="77"/>
      <c r="H11" s="77"/>
      <c r="I11" s="77"/>
      <c r="J11" s="77"/>
      <c r="K11" s="77"/>
      <c r="L11" s="77"/>
      <c r="M11" s="77"/>
      <c r="N11" s="77"/>
      <c r="O11" s="77">
        <f>O10/J10-1</f>
        <v>5.2631578947368363E-2</v>
      </c>
      <c r="P11" s="77"/>
      <c r="Q11" s="77"/>
      <c r="R11" s="77"/>
      <c r="S11" s="77"/>
      <c r="T11" s="77">
        <v>0</v>
      </c>
      <c r="U11" s="77"/>
      <c r="V11" s="77"/>
      <c r="W11" s="77"/>
      <c r="X11" s="77"/>
      <c r="Y11" s="78">
        <f>Y10/T10-1</f>
        <v>2.0000000000000018E-2</v>
      </c>
      <c r="Z11" s="77"/>
      <c r="AA11" s="77"/>
      <c r="AB11" s="77"/>
      <c r="AC11" s="77"/>
      <c r="AD11" s="77">
        <f>AD10/Y10-1</f>
        <v>-0.35882352941176465</v>
      </c>
      <c r="AE11" s="77"/>
      <c r="AF11" s="77"/>
      <c r="AG11" s="77"/>
      <c r="AH11" s="77"/>
      <c r="AI11" s="77">
        <f>AI10/AD10-1</f>
        <v>0.55091743119266057</v>
      </c>
      <c r="AJ11" s="77"/>
      <c r="AK11" s="77"/>
      <c r="AL11" s="77"/>
      <c r="AM11" s="77"/>
      <c r="AN11" s="77">
        <f>AN10/AI10-1</f>
        <v>0.12392783200236601</v>
      </c>
      <c r="AO11" s="77"/>
      <c r="AP11" s="77"/>
      <c r="AQ11" s="77"/>
      <c r="AR11" s="77"/>
      <c r="AS11" s="77">
        <f>AS10/AN10-1</f>
        <v>0</v>
      </c>
      <c r="AT11" s="77"/>
      <c r="AU11" s="77"/>
      <c r="AV11" s="77"/>
      <c r="AW11" s="77"/>
      <c r="AX11" s="77">
        <f>AX10/AS10-1</f>
        <v>0</v>
      </c>
      <c r="AY11" s="137"/>
      <c r="AZ11" s="137"/>
      <c r="BA11" s="137"/>
      <c r="BB11" s="626"/>
      <c r="BC11" s="77">
        <f>BC10/AX10-1</f>
        <v>0</v>
      </c>
      <c r="BD11" s="137"/>
      <c r="BE11" s="137"/>
      <c r="BF11" s="137"/>
      <c r="BG11" s="626"/>
      <c r="BH11" s="77">
        <f>BH10/BC10-1</f>
        <v>0</v>
      </c>
      <c r="BI11" s="820"/>
      <c r="BJ11" s="137" t="e">
        <f>BJ10/BE10-1</f>
        <v>#DIV/0!</v>
      </c>
      <c r="BK11" s="77"/>
      <c r="BL11" s="77"/>
      <c r="BM11" s="77"/>
      <c r="BN11" s="626"/>
      <c r="BO11" s="137" t="e">
        <f>BO10/BI10-1</f>
        <v>#DIV/0!</v>
      </c>
      <c r="BP11" s="77"/>
      <c r="BQ11" s="77"/>
      <c r="BR11" s="77"/>
      <c r="BS11" s="77"/>
      <c r="BT11" s="77" t="e">
        <f>BT10/BN10-1</f>
        <v>#DIV/0!</v>
      </c>
      <c r="BU11" s="77"/>
      <c r="BV11" s="77"/>
      <c r="BW11" s="626"/>
      <c r="BZ11" s="47"/>
      <c r="CB11" s="186"/>
      <c r="CC11" s="212"/>
      <c r="CD11" s="212"/>
    </row>
    <row r="12" spans="1:82" ht="15" hidden="1" x14ac:dyDescent="0.2">
      <c r="A12" s="158" t="s">
        <v>106</v>
      </c>
      <c r="B12" s="53"/>
      <c r="C12" s="70"/>
      <c r="D12" s="53"/>
      <c r="E12" s="53"/>
      <c r="F12" s="75"/>
      <c r="G12" s="75"/>
      <c r="H12" s="75"/>
      <c r="I12" s="75"/>
      <c r="J12" s="75">
        <v>1</v>
      </c>
      <c r="K12" s="75"/>
      <c r="L12" s="75"/>
      <c r="M12" s="75"/>
      <c r="N12" s="75"/>
      <c r="O12" s="75">
        <v>1.05</v>
      </c>
      <c r="P12" s="75"/>
      <c r="Q12" s="75"/>
      <c r="R12" s="75"/>
      <c r="S12" s="75"/>
      <c r="T12" s="75">
        <f>O12*(1+T13)</f>
        <v>0.99749999999999994</v>
      </c>
      <c r="U12" s="75"/>
      <c r="V12" s="75"/>
      <c r="W12" s="75"/>
      <c r="X12" s="75"/>
      <c r="Y12" s="75">
        <v>1.43</v>
      </c>
      <c r="Z12" s="75"/>
      <c r="AA12" s="75"/>
      <c r="AB12" s="75"/>
      <c r="AC12" s="75"/>
      <c r="AD12" s="473">
        <v>0.86</v>
      </c>
      <c r="AE12" s="75"/>
      <c r="AF12" s="75"/>
      <c r="AG12" s="75"/>
      <c r="AH12" s="75"/>
      <c r="AI12" s="450">
        <f>3.4*21.6%</f>
        <v>0.73440000000000005</v>
      </c>
      <c r="AJ12" s="75"/>
      <c r="AK12" s="75"/>
      <c r="AL12" s="75"/>
      <c r="AM12" s="75"/>
      <c r="AN12" s="450">
        <v>0.81</v>
      </c>
      <c r="AO12" s="75"/>
      <c r="AP12" s="75"/>
      <c r="AQ12" s="75"/>
      <c r="AR12" s="75"/>
      <c r="AS12" s="450">
        <v>0.81</v>
      </c>
      <c r="AT12" s="75"/>
      <c r="AU12" s="75"/>
      <c r="AV12" s="75"/>
      <c r="AW12" s="75"/>
      <c r="AX12" s="450">
        <v>0.81</v>
      </c>
      <c r="AY12" s="138"/>
      <c r="AZ12" s="138"/>
      <c r="BA12" s="138"/>
      <c r="BB12" s="67"/>
      <c r="BC12" s="450">
        <v>0.81</v>
      </c>
      <c r="BD12" s="138"/>
      <c r="BE12" s="138"/>
      <c r="BF12" s="138"/>
      <c r="BG12" s="67"/>
      <c r="BH12" s="450">
        <v>0.81</v>
      </c>
      <c r="BI12" s="821"/>
      <c r="BJ12" s="451">
        <v>0.81</v>
      </c>
      <c r="BK12" s="75"/>
      <c r="BL12" s="75"/>
      <c r="BM12" s="75"/>
      <c r="BN12" s="67"/>
      <c r="BO12" s="451">
        <v>0.81</v>
      </c>
      <c r="BP12" s="75"/>
      <c r="BQ12" s="75"/>
      <c r="BR12" s="75"/>
      <c r="BS12" s="75"/>
      <c r="BT12" s="450">
        <v>0.81</v>
      </c>
      <c r="BU12" s="75"/>
      <c r="BV12" s="75"/>
      <c r="BW12" s="67"/>
      <c r="BZ12" s="47"/>
      <c r="CB12" s="186"/>
      <c r="CC12" s="212"/>
      <c r="CD12" s="212"/>
    </row>
    <row r="13" spans="1:82" ht="15" hidden="1" x14ac:dyDescent="0.2">
      <c r="A13" s="476" t="s">
        <v>26</v>
      </c>
      <c r="B13" s="77"/>
      <c r="C13" s="77"/>
      <c r="D13" s="77"/>
      <c r="E13" s="77"/>
      <c r="F13" s="77"/>
      <c r="G13" s="77"/>
      <c r="H13" s="77"/>
      <c r="I13" s="77"/>
      <c r="J13" s="77"/>
      <c r="K13" s="77"/>
      <c r="L13" s="77"/>
      <c r="M13" s="77"/>
      <c r="N13" s="77"/>
      <c r="O13" s="77">
        <f>O12/J12-1</f>
        <v>5.0000000000000044E-2</v>
      </c>
      <c r="P13" s="77"/>
      <c r="Q13" s="77"/>
      <c r="R13" s="77"/>
      <c r="S13" s="77"/>
      <c r="T13" s="77">
        <v>-0.05</v>
      </c>
      <c r="U13" s="77"/>
      <c r="V13" s="77"/>
      <c r="W13" s="77"/>
      <c r="X13" s="77"/>
      <c r="Y13" s="78">
        <f>Y12/T12-1</f>
        <v>0.43358395989974929</v>
      </c>
      <c r="Z13" s="77"/>
      <c r="AA13" s="77"/>
      <c r="AB13" s="77"/>
      <c r="AC13" s="77"/>
      <c r="AD13" s="77">
        <f>AD12/Y12-1</f>
        <v>-0.39860139860139854</v>
      </c>
      <c r="AE13" s="77"/>
      <c r="AF13" s="77"/>
      <c r="AG13" s="77"/>
      <c r="AH13" s="77"/>
      <c r="AI13" s="77">
        <f>AI12/AD12-1</f>
        <v>-0.14604651162790694</v>
      </c>
      <c r="AJ13" s="77"/>
      <c r="AK13" s="77"/>
      <c r="AL13" s="77"/>
      <c r="AM13" s="77"/>
      <c r="AN13" s="77">
        <f>AN12/AI12-1</f>
        <v>0.10294117647058831</v>
      </c>
      <c r="AO13" s="77"/>
      <c r="AP13" s="77"/>
      <c r="AQ13" s="77"/>
      <c r="AR13" s="77"/>
      <c r="AS13" s="77">
        <f>AS12/AN12-1</f>
        <v>0</v>
      </c>
      <c r="AT13" s="77"/>
      <c r="AU13" s="77"/>
      <c r="AV13" s="77"/>
      <c r="AW13" s="77"/>
      <c r="AX13" s="77">
        <f>AX12/AS12-1</f>
        <v>0</v>
      </c>
      <c r="AY13" s="137"/>
      <c r="AZ13" s="137"/>
      <c r="BA13" s="137"/>
      <c r="BB13" s="626"/>
      <c r="BC13" s="77">
        <f>BC12/AX12-1</f>
        <v>0</v>
      </c>
      <c r="BD13" s="137"/>
      <c r="BE13" s="137"/>
      <c r="BF13" s="137"/>
      <c r="BG13" s="626"/>
      <c r="BH13" s="77">
        <f>BH12/BC12-1</f>
        <v>0</v>
      </c>
      <c r="BI13" s="820"/>
      <c r="BJ13" s="137" t="e">
        <f>BJ12/BE12-1</f>
        <v>#DIV/0!</v>
      </c>
      <c r="BK13" s="77"/>
      <c r="BL13" s="77"/>
      <c r="BM13" s="77"/>
      <c r="BN13" s="626"/>
      <c r="BO13" s="137" t="e">
        <f>BO12/BI12-1</f>
        <v>#DIV/0!</v>
      </c>
      <c r="BP13" s="77"/>
      <c r="BQ13" s="77"/>
      <c r="BR13" s="77"/>
      <c r="BS13" s="77"/>
      <c r="BT13" s="77" t="e">
        <f>BT12/BN12-1</f>
        <v>#DIV/0!</v>
      </c>
      <c r="BU13" s="77"/>
      <c r="BV13" s="77"/>
      <c r="BW13" s="626"/>
      <c r="BZ13" s="47"/>
      <c r="CB13" s="186"/>
      <c r="CC13" s="212"/>
      <c r="CD13" s="212"/>
    </row>
    <row r="14" spans="1:82" ht="15" hidden="1" x14ac:dyDescent="0.2">
      <c r="A14" s="158" t="s">
        <v>107</v>
      </c>
      <c r="B14" s="53"/>
      <c r="C14" s="53"/>
      <c r="D14" s="53"/>
      <c r="E14" s="53"/>
      <c r="F14" s="75"/>
      <c r="G14" s="75"/>
      <c r="H14" s="75"/>
      <c r="I14" s="75"/>
      <c r="J14" s="75">
        <v>0.6</v>
      </c>
      <c r="K14" s="75"/>
      <c r="L14" s="75"/>
      <c r="M14" s="75"/>
      <c r="N14" s="75"/>
      <c r="O14" s="75">
        <v>0.48299999999999998</v>
      </c>
      <c r="P14" s="75"/>
      <c r="Q14" s="75"/>
      <c r="R14" s="75"/>
      <c r="S14" s="75"/>
      <c r="T14" s="75">
        <f>T16-T6-T8-T10-T12</f>
        <v>2.2219999999999991</v>
      </c>
      <c r="U14" s="75"/>
      <c r="V14" s="75"/>
      <c r="W14" s="75"/>
      <c r="X14" s="75"/>
      <c r="Y14" s="75">
        <v>0.72</v>
      </c>
      <c r="Z14" s="75"/>
      <c r="AA14" s="75"/>
      <c r="AB14" s="75"/>
      <c r="AC14" s="75"/>
      <c r="AD14" s="473">
        <f>1.24</f>
        <v>1.24</v>
      </c>
      <c r="AE14" s="75"/>
      <c r="AF14" s="75"/>
      <c r="AG14" s="75"/>
      <c r="AH14" s="348"/>
      <c r="AI14" s="450">
        <f>3.07*12.9%</f>
        <v>0.39602999999999999</v>
      </c>
      <c r="AJ14" s="75"/>
      <c r="AK14" s="75"/>
      <c r="AL14" s="75"/>
      <c r="AM14" s="348"/>
      <c r="AN14" s="450">
        <f>6.03*12.7%</f>
        <v>0.76580999999999999</v>
      </c>
      <c r="AO14" s="75"/>
      <c r="AP14" s="75"/>
      <c r="AQ14" s="75"/>
      <c r="AR14" s="348"/>
      <c r="AS14" s="450">
        <f>6.03*12.7%</f>
        <v>0.76580999999999999</v>
      </c>
      <c r="AT14" s="75"/>
      <c r="AU14" s="75"/>
      <c r="AV14" s="75"/>
      <c r="AW14" s="348"/>
      <c r="AX14" s="450">
        <f>6.03*12.7%</f>
        <v>0.76580999999999999</v>
      </c>
      <c r="AY14" s="138"/>
      <c r="AZ14" s="138"/>
      <c r="BA14" s="138"/>
      <c r="BB14" s="67"/>
      <c r="BC14" s="450">
        <f>6.03*12.7%</f>
        <v>0.76580999999999999</v>
      </c>
      <c r="BD14" s="138"/>
      <c r="BE14" s="138"/>
      <c r="BF14" s="138"/>
      <c r="BG14" s="67"/>
      <c r="BH14" s="450">
        <f>6.03*12.7%</f>
        <v>0.76580999999999999</v>
      </c>
      <c r="BI14" s="821"/>
      <c r="BJ14" s="451">
        <f>6.03*12.7%</f>
        <v>0.76580999999999999</v>
      </c>
      <c r="BK14" s="75"/>
      <c r="BL14" s="75"/>
      <c r="BM14" s="75"/>
      <c r="BN14" s="67"/>
      <c r="BO14" s="451">
        <f>6.03*12.7%</f>
        <v>0.76580999999999999</v>
      </c>
      <c r="BP14" s="75"/>
      <c r="BQ14" s="75"/>
      <c r="BR14" s="75"/>
      <c r="BS14" s="75"/>
      <c r="BT14" s="450">
        <f>6.03*12.7%</f>
        <v>0.76580999999999999</v>
      </c>
      <c r="BU14" s="75"/>
      <c r="BV14" s="75"/>
      <c r="BW14" s="67"/>
    </row>
    <row r="15" spans="1:82" hidden="1" x14ac:dyDescent="0.2">
      <c r="A15" s="226" t="s">
        <v>26</v>
      </c>
      <c r="B15" s="76"/>
      <c r="C15" s="76"/>
      <c r="D15" s="76"/>
      <c r="E15" s="76"/>
      <c r="F15" s="76"/>
      <c r="G15" s="76"/>
      <c r="H15" s="76"/>
      <c r="I15" s="76"/>
      <c r="J15" s="76"/>
      <c r="K15" s="76"/>
      <c r="L15" s="76"/>
      <c r="M15" s="76"/>
      <c r="N15" s="76"/>
      <c r="O15" s="76">
        <f>O14/J14-1</f>
        <v>-0.19499999999999995</v>
      </c>
      <c r="P15" s="76"/>
      <c r="Q15" s="76"/>
      <c r="R15" s="76"/>
      <c r="S15" s="76"/>
      <c r="T15" s="76">
        <v>-0.85</v>
      </c>
      <c r="U15" s="76"/>
      <c r="V15" s="76"/>
      <c r="W15" s="76"/>
      <c r="X15" s="76"/>
      <c r="Y15" s="78">
        <f>Y14/T14-1</f>
        <v>-0.67596759675967588</v>
      </c>
      <c r="Z15" s="76"/>
      <c r="AA15" s="76"/>
      <c r="AB15" s="76"/>
      <c r="AC15" s="76"/>
      <c r="AD15" s="77">
        <f>AD14/Y14-1</f>
        <v>0.72222222222222232</v>
      </c>
      <c r="AE15" s="76"/>
      <c r="AF15" s="76"/>
      <c r="AG15" s="76"/>
      <c r="AH15" s="76"/>
      <c r="AI15" s="77">
        <f>AI14/AD14-1</f>
        <v>-0.68062096774193548</v>
      </c>
      <c r="AJ15" s="76"/>
      <c r="AK15" s="76"/>
      <c r="AL15" s="76"/>
      <c r="AM15" s="76"/>
      <c r="AN15" s="77">
        <f>AN14/AI14-1</f>
        <v>0.93371714264070915</v>
      </c>
      <c r="AO15" s="76"/>
      <c r="AP15" s="76"/>
      <c r="AQ15" s="76"/>
      <c r="AR15" s="76"/>
      <c r="AS15" s="77">
        <f>AS14/AN14-1</f>
        <v>0</v>
      </c>
      <c r="AT15" s="76"/>
      <c r="AU15" s="76"/>
      <c r="AV15" s="76"/>
      <c r="AW15" s="76"/>
      <c r="AX15" s="77">
        <f>AX14/AS14-1</f>
        <v>0</v>
      </c>
      <c r="AY15" s="139"/>
      <c r="AZ15" s="139"/>
      <c r="BA15" s="139"/>
      <c r="BB15" s="627"/>
      <c r="BC15" s="77">
        <f>BC14/AX14-1</f>
        <v>0</v>
      </c>
      <c r="BD15" s="139"/>
      <c r="BE15" s="139"/>
      <c r="BF15" s="139"/>
      <c r="BG15" s="627"/>
      <c r="BH15" s="77">
        <f>BH14/BC14-1</f>
        <v>0</v>
      </c>
      <c r="BI15" s="766"/>
      <c r="BJ15" s="137" t="e">
        <f>BJ14/BE14-1</f>
        <v>#DIV/0!</v>
      </c>
      <c r="BK15" s="76"/>
      <c r="BL15" s="76"/>
      <c r="BM15" s="76"/>
      <c r="BN15" s="627"/>
      <c r="BO15" s="137" t="e">
        <f>BO14/BI14-1</f>
        <v>#DIV/0!</v>
      </c>
      <c r="BP15" s="76"/>
      <c r="BQ15" s="76"/>
      <c r="BR15" s="76"/>
      <c r="BS15" s="76"/>
      <c r="BT15" s="77" t="e">
        <f>BT14/BN14-1</f>
        <v>#DIV/0!</v>
      </c>
      <c r="BU15" s="76"/>
      <c r="BV15" s="76"/>
      <c r="BW15" s="627"/>
    </row>
    <row r="16" spans="1:82" ht="15.75" thickBot="1" x14ac:dyDescent="0.25">
      <c r="A16" s="477" t="s">
        <v>177</v>
      </c>
      <c r="B16" s="478">
        <v>5.2</v>
      </c>
      <c r="C16" s="478">
        <v>5.0999999999999996</v>
      </c>
      <c r="D16" s="478">
        <v>4.7</v>
      </c>
      <c r="E16" s="478">
        <v>3.9</v>
      </c>
      <c r="F16" s="478">
        <f>F21</f>
        <v>1.173</v>
      </c>
      <c r="G16" s="478">
        <f>G21</f>
        <v>1.2390000000000001</v>
      </c>
      <c r="H16" s="478">
        <f>H21</f>
        <v>1.349</v>
      </c>
      <c r="I16" s="478">
        <f>J16-(F16+G16+H16)</f>
        <v>1.4389999999999992</v>
      </c>
      <c r="J16" s="478">
        <f>J6+J8+J10+J12+J14</f>
        <v>5.1999999999999993</v>
      </c>
      <c r="K16" s="478">
        <f>K21</f>
        <v>1.39</v>
      </c>
      <c r="L16" s="478">
        <f>L21</f>
        <v>1.413</v>
      </c>
      <c r="M16" s="478">
        <f>M21</f>
        <v>1.179</v>
      </c>
      <c r="N16" s="478">
        <f>O16-(K16+L16+M16)</f>
        <v>0.35400000000000009</v>
      </c>
      <c r="O16" s="478">
        <f>O21</f>
        <v>4.3360000000000003</v>
      </c>
      <c r="P16" s="478">
        <f>P21</f>
        <v>0.29899999999999999</v>
      </c>
      <c r="Q16" s="478">
        <f>Q21</f>
        <v>0.34700000000000003</v>
      </c>
      <c r="R16" s="478">
        <f>R21</f>
        <v>0.93899999999999995</v>
      </c>
      <c r="S16" s="478">
        <f>T16-(P16+Q16+R16)</f>
        <v>3.1269999999999998</v>
      </c>
      <c r="T16" s="478">
        <f t="shared" ref="T16:Z16" si="0">T21</f>
        <v>4.7119999999999997</v>
      </c>
      <c r="U16" s="478">
        <f t="shared" si="0"/>
        <v>1.2729999999999999</v>
      </c>
      <c r="V16" s="478">
        <f t="shared" si="0"/>
        <v>1.4550000000000001</v>
      </c>
      <c r="W16" s="478">
        <f t="shared" si="0"/>
        <v>1.212</v>
      </c>
      <c r="X16" s="478">
        <f t="shared" si="0"/>
        <v>1.0940000000000003</v>
      </c>
      <c r="Y16" s="478">
        <f t="shared" si="0"/>
        <v>5.0339999999999998</v>
      </c>
      <c r="Z16" s="478">
        <f t="shared" si="0"/>
        <v>0.98699999999999999</v>
      </c>
      <c r="AA16" s="478">
        <f>AA21</f>
        <v>1.274</v>
      </c>
      <c r="AB16" s="478">
        <f>AB21</f>
        <v>1.3160000000000001</v>
      </c>
      <c r="AC16" s="478">
        <f>AD16-(Z16+AA16+AB16)</f>
        <v>0.68200000000000038</v>
      </c>
      <c r="AD16" s="478">
        <f>AD21</f>
        <v>4.2590000000000003</v>
      </c>
      <c r="AE16" s="478">
        <f>AE21</f>
        <v>0.85</v>
      </c>
      <c r="AF16" s="478">
        <f>AF21</f>
        <v>1.4430000000000001</v>
      </c>
      <c r="AG16" s="478">
        <f>AG21</f>
        <v>1.3149999999999999</v>
      </c>
      <c r="AH16" s="478">
        <f>AI16-(AE16+AF16+AG16)</f>
        <v>1.2099999999999995</v>
      </c>
      <c r="AI16" s="478">
        <f>AI21</f>
        <v>4.8179999999999996</v>
      </c>
      <c r="AJ16" s="478">
        <f>AJ21</f>
        <v>1.2509999999999999</v>
      </c>
      <c r="AK16" s="478">
        <f>AK21</f>
        <v>1.298</v>
      </c>
      <c r="AL16" s="478">
        <f>AL21</f>
        <v>0.91800000000000004</v>
      </c>
      <c r="AM16" s="478">
        <f>AN16-(AJ16+AK16+AL16)</f>
        <v>1.2710000000000004</v>
      </c>
      <c r="AN16" s="478">
        <f>AN21</f>
        <v>4.7380000000000004</v>
      </c>
      <c r="AO16" s="478">
        <f>AO21</f>
        <v>1.401</v>
      </c>
      <c r="AP16" s="478">
        <f>AP21</f>
        <v>1.2490000000000001</v>
      </c>
      <c r="AQ16" s="478">
        <v>1.234</v>
      </c>
      <c r="AR16" s="478">
        <f>AS16-(AO16+AP16+AQ16)</f>
        <v>0.72599999999999998</v>
      </c>
      <c r="AS16" s="478">
        <f t="shared" ref="AS16:AX16" si="1">AS21</f>
        <v>4.6100000000000003</v>
      </c>
      <c r="AT16" s="478">
        <f t="shared" si="1"/>
        <v>1.0669999999999999</v>
      </c>
      <c r="AU16" s="478">
        <f t="shared" si="1"/>
        <v>0.65</v>
      </c>
      <c r="AV16" s="478">
        <f t="shared" si="1"/>
        <v>1.1259999999999999</v>
      </c>
      <c r="AW16" s="478">
        <f t="shared" si="1"/>
        <v>0.93699999999999983</v>
      </c>
      <c r="AX16" s="478">
        <f t="shared" si="1"/>
        <v>3.78</v>
      </c>
      <c r="AY16" s="479">
        <f>AY21</f>
        <v>0.8596050955414013</v>
      </c>
      <c r="AZ16" s="479">
        <f>AZ21</f>
        <v>1.085370588235294</v>
      </c>
      <c r="BA16" s="479">
        <f>BA21</f>
        <v>0.97256869009584657</v>
      </c>
      <c r="BB16" s="478">
        <f>BC16-(AY16+AZ16+BA16)</f>
        <v>1.1834051060680228</v>
      </c>
      <c r="BC16" s="478">
        <f t="shared" ref="BC16" si="2">BC21</f>
        <v>4.1009494799405646</v>
      </c>
      <c r="BD16" s="479">
        <f>BD21</f>
        <v>0.96610389610389602</v>
      </c>
      <c r="BE16" s="479">
        <f>BE21</f>
        <v>1.0309708737864076</v>
      </c>
      <c r="BF16" s="479">
        <f>BF21</f>
        <v>0.95662385321100918</v>
      </c>
      <c r="BG16" s="478">
        <f>BH16-(BD16+BE16+BF16)</f>
        <v>1.1060175861167094</v>
      </c>
      <c r="BH16" s="478">
        <f t="shared" ref="BH16:BJ16" si="3">BH21</f>
        <v>4.0597162092180223</v>
      </c>
      <c r="BI16" s="822">
        <f>BI21</f>
        <v>1.0530817610062893</v>
      </c>
      <c r="BJ16" s="479">
        <f t="shared" si="3"/>
        <v>4.125</v>
      </c>
      <c r="BK16" s="478">
        <f>BK21</f>
        <v>0.86949999999999994</v>
      </c>
      <c r="BL16" s="478">
        <f>BL21</f>
        <v>1.1639999999999999</v>
      </c>
      <c r="BM16" s="478">
        <f>BM21</f>
        <v>1.1819999999999999</v>
      </c>
      <c r="BN16" s="628">
        <f>BO16-BK16-BL16-BM16</f>
        <v>1.0935000000000001</v>
      </c>
      <c r="BO16" s="479">
        <f t="shared" ref="BO16" si="4">BO21</f>
        <v>4.3090000000000002</v>
      </c>
      <c r="BP16" s="478">
        <f>BP21</f>
        <v>0.9890000000000001</v>
      </c>
      <c r="BQ16" s="478">
        <f>BQ21</f>
        <v>1.06</v>
      </c>
      <c r="BR16" s="478">
        <f>BR21</f>
        <v>0.98000000000000009</v>
      </c>
      <c r="BS16" s="478">
        <f>BS21</f>
        <v>1.1600000000000001</v>
      </c>
      <c r="BT16" s="478">
        <f t="shared" ref="BT16" si="5">BT21</f>
        <v>4.1890000000000001</v>
      </c>
      <c r="BU16" s="478">
        <f>BU21</f>
        <v>1.0049999999999999</v>
      </c>
      <c r="BV16" s="478">
        <f>BV21</f>
        <v>0.876</v>
      </c>
      <c r="BW16" s="628">
        <v>4.5999999999999996</v>
      </c>
      <c r="BX16" s="211"/>
      <c r="CA16" s="340"/>
      <c r="CB16" s="340"/>
      <c r="CC16" s="270"/>
    </row>
    <row r="17" spans="1:86" ht="15" hidden="1" thickBot="1" x14ac:dyDescent="0.25">
      <c r="A17" s="480" t="s">
        <v>26</v>
      </c>
      <c r="B17" s="74"/>
      <c r="C17" s="74">
        <f>C16/B16-1</f>
        <v>-1.9230769230769384E-2</v>
      </c>
      <c r="D17" s="205">
        <f>D16/C16-1</f>
        <v>-7.8431372549019551E-2</v>
      </c>
      <c r="E17" s="205">
        <f>E16/D16-1</f>
        <v>-0.17021276595744683</v>
      </c>
      <c r="F17" s="74"/>
      <c r="G17" s="74"/>
      <c r="H17" s="74"/>
      <c r="I17" s="74"/>
      <c r="J17" s="74">
        <f>J16/E16-1</f>
        <v>0.33333333333333326</v>
      </c>
      <c r="K17" s="74"/>
      <c r="L17" s="74"/>
      <c r="M17" s="74"/>
      <c r="N17" s="74"/>
      <c r="O17" s="74">
        <f>O16/J16-1</f>
        <v>-0.16615384615384599</v>
      </c>
      <c r="P17" s="74"/>
      <c r="Q17" s="74"/>
      <c r="R17" s="74"/>
      <c r="S17" s="74"/>
      <c r="T17" s="74">
        <f t="shared" ref="T17:Y17" si="6">T16/O16-1</f>
        <v>8.6715867158671411E-2</v>
      </c>
      <c r="U17" s="74">
        <f t="shared" si="6"/>
        <v>3.2575250836120402</v>
      </c>
      <c r="V17" s="74">
        <f t="shared" si="6"/>
        <v>3.1930835734870318</v>
      </c>
      <c r="W17" s="74">
        <f t="shared" si="6"/>
        <v>0.29073482428115027</v>
      </c>
      <c r="X17" s="74">
        <f t="shared" si="6"/>
        <v>-0.65014390789894461</v>
      </c>
      <c r="Y17" s="74">
        <f t="shared" si="6"/>
        <v>6.8336162988115401E-2</v>
      </c>
      <c r="Z17" s="74">
        <f>Z16/V16-1</f>
        <v>-0.32164948453608255</v>
      </c>
      <c r="AA17" s="74">
        <f t="shared" ref="AA17:AP17" si="7">AA16/V16-1</f>
        <v>-0.12439862542955327</v>
      </c>
      <c r="AB17" s="74">
        <f t="shared" si="7"/>
        <v>8.5808580858085959E-2</v>
      </c>
      <c r="AC17" s="74">
        <f t="shared" si="7"/>
        <v>-0.3765996343692869</v>
      </c>
      <c r="AD17" s="74">
        <f t="shared" si="7"/>
        <v>-0.15395311879221285</v>
      </c>
      <c r="AE17" s="74">
        <f t="shared" si="7"/>
        <v>-0.13880445795339413</v>
      </c>
      <c r="AF17" s="74">
        <f t="shared" si="7"/>
        <v>0.13265306122448983</v>
      </c>
      <c r="AG17" s="74">
        <f t="shared" si="7"/>
        <v>-7.5987841945301948E-4</v>
      </c>
      <c r="AH17" s="74">
        <f t="shared" si="7"/>
        <v>0.77419354838709498</v>
      </c>
      <c r="AI17" s="74">
        <f t="shared" si="7"/>
        <v>0.1312514674806291</v>
      </c>
      <c r="AJ17" s="74">
        <f t="shared" si="7"/>
        <v>0.47176470588235286</v>
      </c>
      <c r="AK17" s="74">
        <f t="shared" si="7"/>
        <v>-0.10048510048510051</v>
      </c>
      <c r="AL17" s="74">
        <f t="shared" si="7"/>
        <v>-0.30190114068441054</v>
      </c>
      <c r="AM17" s="74">
        <f t="shared" si="7"/>
        <v>5.0413223140496566E-2</v>
      </c>
      <c r="AN17" s="74">
        <f t="shared" si="7"/>
        <v>-1.6604400166043809E-2</v>
      </c>
      <c r="AO17" s="74">
        <f t="shared" si="7"/>
        <v>0.11990407673860926</v>
      </c>
      <c r="AP17" s="74">
        <f t="shared" si="7"/>
        <v>-3.7750385208012327E-2</v>
      </c>
      <c r="AQ17" s="74">
        <f>AQ16/AL16-1</f>
        <v>0.34422657952069713</v>
      </c>
      <c r="AR17" s="74">
        <f t="shared" ref="AR17:AX17" si="8">AR16/AM16-1</f>
        <v>-0.42879622344610557</v>
      </c>
      <c r="AS17" s="74">
        <f t="shared" si="8"/>
        <v>-2.701561840439004E-2</v>
      </c>
      <c r="AT17" s="74">
        <f t="shared" si="8"/>
        <v>-0.23840114204139906</v>
      </c>
      <c r="AU17" s="74">
        <f t="shared" si="8"/>
        <v>-0.47958366693354681</v>
      </c>
      <c r="AV17" s="74">
        <f t="shared" si="8"/>
        <v>-8.7520259319286975E-2</v>
      </c>
      <c r="AW17" s="74">
        <f t="shared" si="8"/>
        <v>0.29063360881542688</v>
      </c>
      <c r="AX17" s="74">
        <f t="shared" si="8"/>
        <v>-0.18004338394793939</v>
      </c>
      <c r="AY17" s="143">
        <f>AY16/AS16-1</f>
        <v>-0.81353468643353555</v>
      </c>
      <c r="AZ17" s="143">
        <f>AZ16/AT16-1</f>
        <v>1.7217046143668258E-2</v>
      </c>
      <c r="BA17" s="143">
        <f>BA16/AV16-1</f>
        <v>-0.13626226456851986</v>
      </c>
      <c r="BB17" s="143">
        <f>BB16/AW16-1</f>
        <v>0.26297236506726041</v>
      </c>
      <c r="BC17" s="74">
        <f t="shared" ref="BC17" si="9">BC16/AX16-1</f>
        <v>8.4907269825546194E-2</v>
      </c>
      <c r="BD17" s="143">
        <f>BD16/AX16-1</f>
        <v>-0.74441695870267299</v>
      </c>
      <c r="BE17" s="143">
        <f>BE16/AY16-1</f>
        <v>0.19935407448588438</v>
      </c>
      <c r="BF17" s="143">
        <f>BF16/BA16-1</f>
        <v>-1.6394561173119881E-2</v>
      </c>
      <c r="BG17" s="143">
        <f>BG16/BB16-1</f>
        <v>-6.5393937844700489E-2</v>
      </c>
      <c r="BH17" s="74">
        <f t="shared" ref="BH17:BJ17" si="10">BH16/BC16-1</f>
        <v>-1.0054566856829372E-2</v>
      </c>
      <c r="BI17" s="823">
        <f>BI16/BC16-1</f>
        <v>-0.74321025748857761</v>
      </c>
      <c r="BJ17" s="143">
        <f t="shared" si="10"/>
        <v>3.0010829644975994</v>
      </c>
      <c r="BK17" s="74">
        <f>BK16/BE16-1</f>
        <v>-0.15662020905923335</v>
      </c>
      <c r="BL17" s="74">
        <f>BL16/BF16-1</f>
        <v>0.21677919288015945</v>
      </c>
      <c r="BM17" s="74">
        <f>BM16/BG16-1</f>
        <v>6.8699101024305653E-2</v>
      </c>
      <c r="BN17" s="366"/>
      <c r="BO17" s="143">
        <f>BO16/BJ16-1</f>
        <v>4.4606060606060538E-2</v>
      </c>
      <c r="BP17" s="74">
        <f>BP16/BI16-1</f>
        <v>-6.0851648351648246E-2</v>
      </c>
      <c r="BQ17" s="74"/>
      <c r="BR17" s="74"/>
      <c r="BS17" s="74"/>
      <c r="BT17" s="74">
        <f>BT16/BO16-1</f>
        <v>-2.7848688790902743E-2</v>
      </c>
      <c r="BU17" s="74">
        <f>BU16/BN16-1</f>
        <v>-8.0932784636488564E-2</v>
      </c>
      <c r="BV17" s="74">
        <f>BV16/BO16-1</f>
        <v>-0.79670457182640986</v>
      </c>
      <c r="BW17" s="366"/>
      <c r="BZ17" s="211"/>
      <c r="CA17" s="340"/>
      <c r="CB17" s="340"/>
      <c r="CC17" s="270"/>
    </row>
    <row r="18" spans="1:86" ht="15.75" thickTop="1" x14ac:dyDescent="0.2">
      <c r="A18" s="514" t="s">
        <v>289</v>
      </c>
      <c r="B18" s="515">
        <f>C18-0.45</f>
        <v>5.55</v>
      </c>
      <c r="C18" s="516">
        <v>6</v>
      </c>
      <c r="D18" s="516">
        <v>6</v>
      </c>
      <c r="E18" s="204">
        <v>6</v>
      </c>
      <c r="F18" s="515"/>
      <c r="G18" s="515"/>
      <c r="H18" s="515"/>
      <c r="I18" s="515"/>
      <c r="J18" s="516">
        <v>6</v>
      </c>
      <c r="K18" s="515"/>
      <c r="L18" s="515"/>
      <c r="M18" s="515"/>
      <c r="N18" s="515"/>
      <c r="O18" s="516">
        <v>6</v>
      </c>
      <c r="P18" s="515"/>
      <c r="Q18" s="515"/>
      <c r="R18" s="515"/>
      <c r="S18" s="515"/>
      <c r="T18" s="516">
        <v>6</v>
      </c>
      <c r="U18" s="516">
        <v>6</v>
      </c>
      <c r="V18" s="516">
        <v>6</v>
      </c>
      <c r="W18" s="516">
        <v>6</v>
      </c>
      <c r="X18" s="516">
        <v>6</v>
      </c>
      <c r="Y18" s="516">
        <v>6</v>
      </c>
      <c r="Z18" s="516">
        <f>Y18</f>
        <v>6</v>
      </c>
      <c r="AA18" s="516">
        <f>Z18</f>
        <v>6</v>
      </c>
      <c r="AB18" s="516">
        <f>AA18</f>
        <v>6</v>
      </c>
      <c r="AC18" s="516">
        <f>AB18</f>
        <v>6</v>
      </c>
      <c r="AD18" s="517">
        <v>6</v>
      </c>
      <c r="AE18" s="517">
        <f>AD18</f>
        <v>6</v>
      </c>
      <c r="AF18" s="517">
        <f>AE18</f>
        <v>6</v>
      </c>
      <c r="AG18" s="517">
        <f>AF18</f>
        <v>6</v>
      </c>
      <c r="AH18" s="517">
        <f>AG18</f>
        <v>6</v>
      </c>
      <c r="AI18" s="517">
        <v>6</v>
      </c>
      <c r="AJ18" s="517">
        <f>AI18</f>
        <v>6</v>
      </c>
      <c r="AK18" s="517">
        <f>AJ18</f>
        <v>6</v>
      </c>
      <c r="AL18" s="517">
        <f>AK18</f>
        <v>6</v>
      </c>
      <c r="AM18" s="517">
        <f>AL18</f>
        <v>6</v>
      </c>
      <c r="AN18" s="517">
        <v>5.6879999999999997</v>
      </c>
      <c r="AO18" s="517">
        <f>AN18</f>
        <v>5.6879999999999997</v>
      </c>
      <c r="AP18" s="517">
        <f>AO18</f>
        <v>5.6879999999999997</v>
      </c>
      <c r="AQ18" s="517">
        <f>AP18</f>
        <v>5.6879999999999997</v>
      </c>
      <c r="AR18" s="517">
        <f>AQ18</f>
        <v>5.6879999999999997</v>
      </c>
      <c r="AS18" s="517">
        <v>5.3630000000000004</v>
      </c>
      <c r="AT18" s="517">
        <f>AS18</f>
        <v>5.3630000000000004</v>
      </c>
      <c r="AU18" s="517">
        <f>AT18</f>
        <v>5.3630000000000004</v>
      </c>
      <c r="AV18" s="517">
        <f>AU18</f>
        <v>5.3630000000000004</v>
      </c>
      <c r="AW18" s="517">
        <f>AV18</f>
        <v>5.3630000000000004</v>
      </c>
      <c r="AX18" s="517">
        <v>5.23</v>
      </c>
      <c r="AY18" s="518">
        <v>5.23</v>
      </c>
      <c r="AZ18" s="518">
        <v>5.23</v>
      </c>
      <c r="BA18" s="518">
        <v>5.23</v>
      </c>
      <c r="BB18" s="517">
        <f>BC18</f>
        <v>5.23</v>
      </c>
      <c r="BC18" s="517">
        <v>5.23</v>
      </c>
      <c r="BD18" s="518">
        <v>5.23</v>
      </c>
      <c r="BE18" s="518">
        <v>5.23</v>
      </c>
      <c r="BF18" s="518">
        <v>5.23</v>
      </c>
      <c r="BG18" s="517">
        <f>BH18</f>
        <v>5.23</v>
      </c>
      <c r="BH18" s="517">
        <v>5.23</v>
      </c>
      <c r="BI18" s="824">
        <v>5.23</v>
      </c>
      <c r="BJ18" s="518">
        <v>5.23</v>
      </c>
      <c r="BK18" s="517">
        <v>5.5</v>
      </c>
      <c r="BL18" s="517">
        <v>5.5</v>
      </c>
      <c r="BM18" s="517">
        <v>5.5</v>
      </c>
      <c r="BN18" s="629">
        <v>5.5</v>
      </c>
      <c r="BO18" s="518">
        <v>5.23</v>
      </c>
      <c r="BP18" s="517">
        <v>5.5</v>
      </c>
      <c r="BQ18" s="517">
        <v>5.5</v>
      </c>
      <c r="BR18" s="517">
        <v>5.5</v>
      </c>
      <c r="BS18" s="517">
        <v>5.5</v>
      </c>
      <c r="BT18" s="517">
        <v>5.5</v>
      </c>
      <c r="BU18" s="517">
        <v>5.5</v>
      </c>
      <c r="BV18" s="517">
        <v>5.5</v>
      </c>
      <c r="BW18" s="629">
        <v>5.5</v>
      </c>
      <c r="BY18" s="211"/>
      <c r="BZ18" s="212"/>
      <c r="CA18" s="340"/>
      <c r="CB18" s="340"/>
      <c r="CC18" s="270"/>
    </row>
    <row r="19" spans="1:86" ht="15" x14ac:dyDescent="0.2">
      <c r="A19" s="158" t="s">
        <v>290</v>
      </c>
      <c r="B19" s="206">
        <f>B20/B18</f>
        <v>0.92594594594594604</v>
      </c>
      <c r="C19" s="206">
        <f>C20/C18</f>
        <v>0.89783333333333326</v>
      </c>
      <c r="D19" s="206">
        <f>D20/D18</f>
        <v>0.87716666666666665</v>
      </c>
      <c r="E19" s="206">
        <f>E20/E18</f>
        <v>0.84766666666666668</v>
      </c>
      <c r="F19" s="201"/>
      <c r="G19" s="201"/>
      <c r="H19" s="201"/>
      <c r="I19" s="201"/>
      <c r="J19" s="206">
        <f>J20/J18</f>
        <v>0.84633333333333338</v>
      </c>
      <c r="K19" s="201"/>
      <c r="L19" s="201"/>
      <c r="M19" s="201"/>
      <c r="N19" s="201"/>
      <c r="O19" s="206">
        <f>O20/O18</f>
        <v>0.82266666666666666</v>
      </c>
      <c r="P19" s="201"/>
      <c r="Q19" s="201"/>
      <c r="R19" s="201"/>
      <c r="S19" s="201"/>
      <c r="T19" s="207">
        <f>T21/T18</f>
        <v>0.78533333333333333</v>
      </c>
      <c r="U19" s="206">
        <f>U20*4/U18</f>
        <v>0.66400000000000003</v>
      </c>
      <c r="V19" s="206">
        <f>V20*4/V18</f>
        <v>0.70466666666666666</v>
      </c>
      <c r="W19" s="206">
        <f>W20*4/W18</f>
        <v>0.67533333333333323</v>
      </c>
      <c r="X19" s="206">
        <f>X20*4/X18</f>
        <v>1.3846666666666667</v>
      </c>
      <c r="Y19" s="207">
        <f>Y21/Y18</f>
        <v>0.83899999999999997</v>
      </c>
      <c r="Z19" s="206">
        <f>Z20*4/Z18</f>
        <v>0.49866666666666665</v>
      </c>
      <c r="AA19" s="206">
        <f>AA20*4/AA18</f>
        <v>0.79999999999999993</v>
      </c>
      <c r="AB19" s="206">
        <f>AB20*4/AB18</f>
        <v>0.7486666666666667</v>
      </c>
      <c r="AC19" s="206">
        <f>AC20*4/AC18</f>
        <v>0.74933333333333374</v>
      </c>
      <c r="AD19" s="207">
        <f>AD21/AD18</f>
        <v>0.70983333333333343</v>
      </c>
      <c r="AE19" s="206">
        <f>AE20*4/AE18</f>
        <v>0.80799999999999994</v>
      </c>
      <c r="AF19" s="206">
        <f>AF20*4/AF18</f>
        <v>0.86866666666666659</v>
      </c>
      <c r="AG19" s="206">
        <f>AG20*4/AG18</f>
        <v>0.77599999999999991</v>
      </c>
      <c r="AH19" s="206">
        <f>AH20*4/AH18</f>
        <v>1.0666666666666671</v>
      </c>
      <c r="AI19" s="207">
        <f>AI21/AI18</f>
        <v>0.80299999999999994</v>
      </c>
      <c r="AJ19" s="206">
        <f>AJ20*4/AJ18</f>
        <v>0.86866666666666659</v>
      </c>
      <c r="AK19" s="206">
        <f>AK20*4/AK18</f>
        <v>0.82</v>
      </c>
      <c r="AL19" s="206">
        <f>AL20*4/AL18</f>
        <v>0.84799999999999998</v>
      </c>
      <c r="AM19" s="206">
        <f>AM20*4/AM18</f>
        <v>0.64533333333333331</v>
      </c>
      <c r="AN19" s="207">
        <f>AN21/AN18</f>
        <v>0.83298171589310843</v>
      </c>
      <c r="AO19" s="206">
        <f>AO20*4/AO18</f>
        <v>0.89310829817158932</v>
      </c>
      <c r="AP19" s="206">
        <f>AP20*4/AP18</f>
        <v>0.87834036568213791</v>
      </c>
      <c r="AQ19" s="206">
        <f>AQ20*4/AQ18</f>
        <v>0.91772151898734178</v>
      </c>
      <c r="AR19" s="206">
        <f>AR20*4/AR18</f>
        <v>0.7426160337552743</v>
      </c>
      <c r="AS19" s="207">
        <f>AS21/AS18</f>
        <v>0.85959351109453663</v>
      </c>
      <c r="AT19" s="206">
        <f>AT20*4/AT18</f>
        <v>0.62203990303934353</v>
      </c>
      <c r="AU19" s="206">
        <f>AU20*4/AU18</f>
        <v>0.43483125116539245</v>
      </c>
      <c r="AV19" s="206">
        <f>AV20*4/AV18</f>
        <v>0.98303188513891471</v>
      </c>
      <c r="AW19" s="206">
        <f>AW20*4/AW18</f>
        <v>1.0620921126235314</v>
      </c>
      <c r="AX19" s="207">
        <f>AX21/AX18</f>
        <v>0.72275334608030584</v>
      </c>
      <c r="AY19" s="207">
        <f>AY21*4/AY18</f>
        <v>0.65744175567219976</v>
      </c>
      <c r="AZ19" s="207">
        <f>AZ21*4/AZ18</f>
        <v>0.83011134855471813</v>
      </c>
      <c r="BA19" s="207">
        <f>BA21*4/BA18</f>
        <v>0.74383838630657473</v>
      </c>
      <c r="BB19" s="207">
        <f>BB21*4/BB18</f>
        <v>0.90508994727955849</v>
      </c>
      <c r="BC19" s="206">
        <f>BC21/BC18</f>
        <v>0.78412035945326275</v>
      </c>
      <c r="BD19" s="207">
        <f>BD21*4/BD18</f>
        <v>0.73889399319609628</v>
      </c>
      <c r="BE19" s="207">
        <f>BE21*4/BE18</f>
        <v>0.78850544840260617</v>
      </c>
      <c r="BF19" s="207">
        <f>BF21*4/BF18</f>
        <v>0.73164348237935684</v>
      </c>
      <c r="BG19" s="207">
        <f>BG21*4/BG18</f>
        <v>0.84590255152329585</v>
      </c>
      <c r="BH19" s="206">
        <f>BH21/BH18</f>
        <v>0.77623636887533887</v>
      </c>
      <c r="BI19" s="825">
        <f>BI21*4/BI18</f>
        <v>0.80541626080786932</v>
      </c>
      <c r="BJ19" s="207">
        <f>BJ21/BJ18</f>
        <v>0.78871892925430209</v>
      </c>
      <c r="BK19" s="888">
        <f>BK21*4/BK18</f>
        <v>0.63236363636363635</v>
      </c>
      <c r="BL19" s="888">
        <f>BL21*4/BL18</f>
        <v>0.84654545454545449</v>
      </c>
      <c r="BM19" s="888">
        <f>BM21*4/BM18</f>
        <v>0.85963636363636364</v>
      </c>
      <c r="BN19" s="888">
        <f>BN21*4/BN18</f>
        <v>0.79527272727272735</v>
      </c>
      <c r="BO19" s="207">
        <f>BO21/BO18</f>
        <v>0.82390057361376667</v>
      </c>
      <c r="BP19" s="888">
        <f>BP21*4/BP18</f>
        <v>0.7192727272727274</v>
      </c>
      <c r="BQ19" s="888">
        <f>BQ21*4/BQ18</f>
        <v>0.77090909090909099</v>
      </c>
      <c r="BR19" s="888">
        <f>BR21*4/BR18</f>
        <v>0.71272727272727276</v>
      </c>
      <c r="BS19" s="888">
        <f>BS21*4/BS18</f>
        <v>0.84363636363636374</v>
      </c>
      <c r="BT19" s="206">
        <f>BT21/BT18</f>
        <v>0.76163636363636367</v>
      </c>
      <c r="BU19" s="888">
        <f>BU21*4/BU18</f>
        <v>0.73090909090909084</v>
      </c>
      <c r="BV19" s="888">
        <f>BV21*4/BV18</f>
        <v>0.63709090909090904</v>
      </c>
      <c r="BW19" s="630">
        <f>BW21/BW18</f>
        <v>0.82727272727272727</v>
      </c>
    </row>
    <row r="20" spans="1:86" ht="15" x14ac:dyDescent="0.2">
      <c r="A20" s="158" t="s">
        <v>108</v>
      </c>
      <c r="B20" s="201">
        <v>5.1390000000000002</v>
      </c>
      <c r="C20" s="201">
        <v>5.3869999999999996</v>
      </c>
      <c r="D20" s="201">
        <v>5.2629999999999999</v>
      </c>
      <c r="E20" s="201">
        <v>5.0860000000000003</v>
      </c>
      <c r="F20" s="201">
        <v>1.226</v>
      </c>
      <c r="G20" s="201">
        <v>1.167</v>
      </c>
      <c r="H20" s="201">
        <v>1.264</v>
      </c>
      <c r="I20" s="201">
        <f>J20-(F20+G20+H20)</f>
        <v>1.4210000000000003</v>
      </c>
      <c r="J20" s="201">
        <v>5.0780000000000003</v>
      </c>
      <c r="K20" s="201">
        <v>1.288</v>
      </c>
      <c r="L20" s="201">
        <v>1.2829999999999999</v>
      </c>
      <c r="M20" s="201">
        <v>1.1919999999999999</v>
      </c>
      <c r="N20" s="201">
        <f>O20-(K20+L20+M20)</f>
        <v>1.173</v>
      </c>
      <c r="O20" s="201">
        <v>4.9359999999999999</v>
      </c>
      <c r="P20" s="201">
        <v>0.997</v>
      </c>
      <c r="Q20" s="201">
        <f>2.069-P20</f>
        <v>1.0720000000000001</v>
      </c>
      <c r="R20" s="201">
        <v>1.0089999999999999</v>
      </c>
      <c r="S20" s="201">
        <f>T20-(P20+Q20+R20)</f>
        <v>2.0770000000000004</v>
      </c>
      <c r="T20" s="201">
        <v>5.1550000000000002</v>
      </c>
      <c r="U20" s="201">
        <v>0.996</v>
      </c>
      <c r="V20" s="201">
        <v>1.0569999999999999</v>
      </c>
      <c r="W20" s="201">
        <v>1.0129999999999999</v>
      </c>
      <c r="X20" s="201">
        <f>Y20-(U20+V20+W20)</f>
        <v>2.077</v>
      </c>
      <c r="Y20" s="201">
        <v>5.1429999999999998</v>
      </c>
      <c r="Z20" s="201">
        <v>0.748</v>
      </c>
      <c r="AA20" s="201">
        <v>1.2</v>
      </c>
      <c r="AB20" s="201">
        <v>1.123</v>
      </c>
      <c r="AC20" s="201">
        <f>AD20-(Z20+AA20+AB20)</f>
        <v>1.1240000000000006</v>
      </c>
      <c r="AD20" s="201">
        <v>4.1950000000000003</v>
      </c>
      <c r="AE20" s="201">
        <v>1.212</v>
      </c>
      <c r="AF20" s="201">
        <v>1.3029999999999999</v>
      </c>
      <c r="AG20" s="201">
        <v>1.1639999999999999</v>
      </c>
      <c r="AH20" s="201">
        <f>AI20-(AE20+AF20+AG20)</f>
        <v>1.6000000000000005</v>
      </c>
      <c r="AI20" s="201">
        <v>5.2789999999999999</v>
      </c>
      <c r="AJ20" s="201">
        <v>1.3029999999999999</v>
      </c>
      <c r="AK20" s="201">
        <v>1.23</v>
      </c>
      <c r="AL20" s="201">
        <v>1.272</v>
      </c>
      <c r="AM20" s="201">
        <f>AN20-(AJ20+AK20+AL20)</f>
        <v>0.96799999999999997</v>
      </c>
      <c r="AN20" s="201">
        <v>4.7729999999999997</v>
      </c>
      <c r="AO20" s="201">
        <v>1.27</v>
      </c>
      <c r="AP20" s="201">
        <v>1.2490000000000001</v>
      </c>
      <c r="AQ20" s="201">
        <v>1.3049999999999999</v>
      </c>
      <c r="AR20" s="201">
        <f>AS20-(AO20+AP20+AQ20)</f>
        <v>1.056</v>
      </c>
      <c r="AS20" s="201">
        <v>4.88</v>
      </c>
      <c r="AT20" s="201">
        <v>0.83399999999999996</v>
      </c>
      <c r="AU20" s="201">
        <v>0.58299999999999996</v>
      </c>
      <c r="AV20" s="201">
        <v>1.3180000000000001</v>
      </c>
      <c r="AW20" s="201">
        <f>AX20-(AT20+AU20+AV20)</f>
        <v>1.4239999999999999</v>
      </c>
      <c r="AX20" s="201">
        <v>4.1589999999999998</v>
      </c>
      <c r="AY20" s="203">
        <v>1.145</v>
      </c>
      <c r="AZ20" s="203">
        <v>1.1100000000000001</v>
      </c>
      <c r="BA20" s="203">
        <v>1.0640000000000001</v>
      </c>
      <c r="BB20" s="201">
        <f>BC20-(AY20+AZ20+BA20)</f>
        <v>1.2080000000000002</v>
      </c>
      <c r="BC20" s="201">
        <v>4.5270000000000001</v>
      </c>
      <c r="BD20" s="201">
        <v>1.1519999999999999</v>
      </c>
      <c r="BE20" s="201">
        <v>1.022</v>
      </c>
      <c r="BF20" s="201">
        <v>1.1519999999999999</v>
      </c>
      <c r="BG20" s="201">
        <f>BH20-(BD20+BE20+BF20)</f>
        <v>1.1880000000000006</v>
      </c>
      <c r="BH20" s="201">
        <v>4.5140000000000002</v>
      </c>
      <c r="BI20" s="826">
        <v>1.093</v>
      </c>
      <c r="BJ20" s="203">
        <v>4.6909999999999998</v>
      </c>
      <c r="BK20" s="201">
        <v>1.07</v>
      </c>
      <c r="BL20" s="201">
        <v>1.1100000000000001</v>
      </c>
      <c r="BM20" s="201">
        <v>1.101</v>
      </c>
      <c r="BN20" s="201">
        <f>BO20-BK20-BL20-BM20</f>
        <v>1.1389999999999993</v>
      </c>
      <c r="BO20" s="203">
        <v>4.42</v>
      </c>
      <c r="BP20" s="201">
        <v>1.131</v>
      </c>
      <c r="BQ20" s="201">
        <v>1.1080000000000001</v>
      </c>
      <c r="BR20" s="201">
        <v>1.085</v>
      </c>
      <c r="BS20" s="201">
        <f>BT20-BP20-BQ20-BR20</f>
        <v>1.1779999999999995</v>
      </c>
      <c r="BT20" s="201">
        <v>4.5019999999999998</v>
      </c>
      <c r="BU20" s="201">
        <v>1.0620000000000001</v>
      </c>
      <c r="BV20" s="201">
        <v>0.95699999999999996</v>
      </c>
      <c r="BW20" s="631">
        <v>4.9000000000000004</v>
      </c>
      <c r="BY20" s="211"/>
      <c r="BZ20" s="211"/>
      <c r="CA20" s="340"/>
      <c r="CB20" s="228"/>
    </row>
    <row r="21" spans="1:86" ht="30" x14ac:dyDescent="0.2">
      <c r="A21" s="158" t="s">
        <v>112</v>
      </c>
      <c r="B21" s="201">
        <v>5.1980000000000004</v>
      </c>
      <c r="C21" s="201">
        <v>5.1369999999999996</v>
      </c>
      <c r="D21" s="201">
        <v>4.7210000000000001</v>
      </c>
      <c r="E21" s="201">
        <v>3.9119999999999999</v>
      </c>
      <c r="F21" s="201">
        <v>1.173</v>
      </c>
      <c r="G21" s="201">
        <v>1.2390000000000001</v>
      </c>
      <c r="H21" s="201">
        <v>1.349</v>
      </c>
      <c r="I21" s="201">
        <f>J21-(F21+G21+H21)</f>
        <v>1.4299999999999997</v>
      </c>
      <c r="J21" s="201">
        <v>5.1909999999999998</v>
      </c>
      <c r="K21" s="201">
        <v>1.39</v>
      </c>
      <c r="L21" s="201">
        <v>1.413</v>
      </c>
      <c r="M21" s="201">
        <v>1.179</v>
      </c>
      <c r="N21" s="201">
        <f>O21-(K21+L21+M21)</f>
        <v>0.35400000000000009</v>
      </c>
      <c r="O21" s="201">
        <v>4.3360000000000003</v>
      </c>
      <c r="P21" s="201">
        <v>0.29899999999999999</v>
      </c>
      <c r="Q21" s="201">
        <f>0.646-P21</f>
        <v>0.34700000000000003</v>
      </c>
      <c r="R21" s="201">
        <v>0.93899999999999995</v>
      </c>
      <c r="S21" s="201">
        <f>T21-(P21+Q21+R21)</f>
        <v>3.1269999999999998</v>
      </c>
      <c r="T21" s="201">
        <v>4.7119999999999997</v>
      </c>
      <c r="U21" s="201">
        <v>1.2729999999999999</v>
      </c>
      <c r="V21" s="201">
        <v>1.4550000000000001</v>
      </c>
      <c r="W21" s="201">
        <v>1.212</v>
      </c>
      <c r="X21" s="201">
        <f>Y21-(U21+V21+W21)</f>
        <v>1.0940000000000003</v>
      </c>
      <c r="Y21" s="201">
        <v>5.0339999999999998</v>
      </c>
      <c r="Z21" s="201">
        <v>0.98699999999999999</v>
      </c>
      <c r="AA21" s="201">
        <v>1.274</v>
      </c>
      <c r="AB21" s="201">
        <v>1.3160000000000001</v>
      </c>
      <c r="AC21" s="201">
        <f>AD21-(Z21+AA21+AB21)</f>
        <v>0.68200000000000038</v>
      </c>
      <c r="AD21" s="201">
        <v>4.2590000000000003</v>
      </c>
      <c r="AE21" s="201">
        <v>0.85</v>
      </c>
      <c r="AF21" s="201">
        <v>1.4430000000000001</v>
      </c>
      <c r="AG21" s="201">
        <v>1.3149999999999999</v>
      </c>
      <c r="AH21" s="201">
        <f>AI21-(AE21+AF21+AG21)</f>
        <v>1.2099999999999995</v>
      </c>
      <c r="AI21" s="201">
        <v>4.8179999999999996</v>
      </c>
      <c r="AJ21" s="201">
        <v>1.2509999999999999</v>
      </c>
      <c r="AK21" s="201">
        <v>1.298</v>
      </c>
      <c r="AL21" s="201">
        <v>0.91800000000000004</v>
      </c>
      <c r="AM21" s="201">
        <f>AN21-(AJ21+AK21+AL21)</f>
        <v>1.2710000000000004</v>
      </c>
      <c r="AN21" s="201">
        <f>4.738</f>
        <v>4.7380000000000004</v>
      </c>
      <c r="AO21" s="201">
        <v>1.401</v>
      </c>
      <c r="AP21" s="201">
        <v>1.2490000000000001</v>
      </c>
      <c r="AQ21" s="201">
        <v>1.234</v>
      </c>
      <c r="AR21" s="201">
        <f>AS21-(AO21+AP21+AQ21)</f>
        <v>0.72599999999999998</v>
      </c>
      <c r="AS21" s="201">
        <f>4.61</f>
        <v>4.6100000000000003</v>
      </c>
      <c r="AT21" s="201">
        <v>1.0669999999999999</v>
      </c>
      <c r="AU21" s="201">
        <v>0.65</v>
      </c>
      <c r="AV21" s="201">
        <v>1.1259999999999999</v>
      </c>
      <c r="AW21" s="201">
        <f>AX21-(AT21+AU21+AV21)</f>
        <v>0.93699999999999983</v>
      </c>
      <c r="AX21" s="201">
        <v>3.78</v>
      </c>
      <c r="AY21" s="203">
        <f>0.996-AY22</f>
        <v>0.8596050955414013</v>
      </c>
      <c r="AZ21" s="203">
        <f>1.226-AZ22</f>
        <v>1.085370588235294</v>
      </c>
      <c r="BA21" s="203">
        <f>1.111-BA22</f>
        <v>0.97256869009584657</v>
      </c>
      <c r="BB21" s="201">
        <f>BC21-(AY21+AZ21+BA21)</f>
        <v>1.1834051060680228</v>
      </c>
      <c r="BC21" s="201">
        <f>4.666-BC22</f>
        <v>4.1009494799405646</v>
      </c>
      <c r="BD21" s="201">
        <f>1.075-BD22</f>
        <v>0.96610389610389602</v>
      </c>
      <c r="BE21" s="201">
        <f>1.148-BE22</f>
        <v>1.0309708737864076</v>
      </c>
      <c r="BF21" s="201">
        <f>1.064-BF22</f>
        <v>0.95662385321100918</v>
      </c>
      <c r="BG21" s="201">
        <f>BH21-(BD21+BE21+BF21)</f>
        <v>1.1060175861167094</v>
      </c>
      <c r="BH21" s="201">
        <f>4.434-BH22</f>
        <v>4.0597162092180223</v>
      </c>
      <c r="BI21" s="826">
        <f>1.15-BI22</f>
        <v>1.0530817610062893</v>
      </c>
      <c r="BJ21" s="203">
        <f>4.499-BJ22</f>
        <v>4.125</v>
      </c>
      <c r="BK21" s="201">
        <f>0.963-BK22</f>
        <v>0.86949999999999994</v>
      </c>
      <c r="BL21" s="201">
        <f>1.261-BL22</f>
        <v>1.1639999999999999</v>
      </c>
      <c r="BM21" s="201">
        <f>1.28-BM22</f>
        <v>1.1819999999999999</v>
      </c>
      <c r="BN21" s="201">
        <f>BO21-BK21-BL21-BM21</f>
        <v>1.0935000000000001</v>
      </c>
      <c r="BO21" s="203">
        <f>4.683-BO22</f>
        <v>4.3090000000000002</v>
      </c>
      <c r="BP21" s="201">
        <f>1.084-BP22</f>
        <v>0.9890000000000001</v>
      </c>
      <c r="BQ21" s="201">
        <f>1.153-BQ22</f>
        <v>1.06</v>
      </c>
      <c r="BR21" s="201">
        <f>1.06-BR22</f>
        <v>0.98000000000000009</v>
      </c>
      <c r="BS21" s="201">
        <f>BT21-BP21-BQ21-BR21</f>
        <v>1.1600000000000001</v>
      </c>
      <c r="BT21" s="201">
        <f>4.556-BT22</f>
        <v>4.1890000000000001</v>
      </c>
      <c r="BU21" s="201">
        <f>1.103-BU22</f>
        <v>1.0049999999999999</v>
      </c>
      <c r="BV21" s="201">
        <f>0.971-BV22</f>
        <v>0.876</v>
      </c>
      <c r="BW21" s="631">
        <v>4.55</v>
      </c>
      <c r="BY21" s="211"/>
      <c r="BZ21" s="62"/>
      <c r="CC21" s="62"/>
    </row>
    <row r="22" spans="1:86" ht="30" x14ac:dyDescent="0.2">
      <c r="A22" s="158" t="s">
        <v>111</v>
      </c>
      <c r="B22" s="165">
        <v>0.245</v>
      </c>
      <c r="C22" s="201">
        <v>0.28000000000000003</v>
      </c>
      <c r="D22" s="201">
        <v>0.252</v>
      </c>
      <c r="E22" s="201">
        <v>0.23599999999999999</v>
      </c>
      <c r="F22" s="201">
        <v>0.05</v>
      </c>
      <c r="G22" s="201">
        <v>7.1999999999999995E-2</v>
      </c>
      <c r="H22" s="201">
        <v>7.6999999999999999E-2</v>
      </c>
      <c r="I22" s="201">
        <f>J22-(F22+G22+H22)</f>
        <v>6.5000000000000002E-2</v>
      </c>
      <c r="J22" s="201">
        <v>0.26400000000000001</v>
      </c>
      <c r="K22" s="201">
        <v>6.8000000000000005E-2</v>
      </c>
      <c r="L22" s="201">
        <v>8.7999999999999995E-2</v>
      </c>
      <c r="M22" s="201">
        <v>7.0000000000000007E-2</v>
      </c>
      <c r="N22" s="201">
        <f>O22-(K22+L22+M22)</f>
        <v>6.6999999999999976E-2</v>
      </c>
      <c r="O22" s="201">
        <v>0.29299999999999998</v>
      </c>
      <c r="P22" s="201">
        <v>3.1E-2</v>
      </c>
      <c r="Q22" s="201">
        <f>0.053-P22</f>
        <v>2.1999999999999999E-2</v>
      </c>
      <c r="R22" s="201">
        <v>0.04</v>
      </c>
      <c r="S22" s="201">
        <f>T22-(P22+Q22+R22)</f>
        <v>0.23</v>
      </c>
      <c r="T22" s="201">
        <v>0.32300000000000001</v>
      </c>
      <c r="U22" s="201">
        <v>5.6000000000000001E-2</v>
      </c>
      <c r="V22" s="201">
        <v>7.1999999999999995E-2</v>
      </c>
      <c r="W22" s="201">
        <v>7.3999999999999996E-2</v>
      </c>
      <c r="X22" s="201">
        <f>Y22-(U22+V22+W22)</f>
        <v>0.11899999999999999</v>
      </c>
      <c r="Y22" s="201">
        <v>0.32100000000000001</v>
      </c>
      <c r="Z22" s="201">
        <v>5.8999999999999997E-2</v>
      </c>
      <c r="AA22" s="201">
        <v>7.8E-2</v>
      </c>
      <c r="AB22" s="201">
        <v>7.9000000000000001E-2</v>
      </c>
      <c r="AC22" s="201">
        <f>AD22-(Z22+AA22+AB22)</f>
        <v>8.1999999999999962E-2</v>
      </c>
      <c r="AD22" s="201">
        <v>0.29799999999999999</v>
      </c>
      <c r="AE22" s="201">
        <v>6.9000000000000006E-2</v>
      </c>
      <c r="AF22" s="201">
        <v>6.9000000000000006E-2</v>
      </c>
      <c r="AG22" s="201">
        <v>7.4999999999999997E-2</v>
      </c>
      <c r="AH22" s="201">
        <f>AI22-(AE22+AF22+AG22)</f>
        <v>0.13399999999999995</v>
      </c>
      <c r="AI22" s="201">
        <v>0.34699999999999998</v>
      </c>
      <c r="AJ22" s="201">
        <v>5.8000000000000003E-2</v>
      </c>
      <c r="AK22" s="201">
        <v>8.3000000000000004E-2</v>
      </c>
      <c r="AL22" s="201">
        <v>9.7000000000000003E-2</v>
      </c>
      <c r="AM22" s="201">
        <f>AN22-(AJ22+AK22+AL22)</f>
        <v>6.2999999999999973E-2</v>
      </c>
      <c r="AN22" s="201">
        <f>0.301</f>
        <v>0.30099999999999999</v>
      </c>
      <c r="AO22" s="201">
        <v>6.6000000000000003E-2</v>
      </c>
      <c r="AP22" s="201">
        <v>0.10199999999999999</v>
      </c>
      <c r="AQ22" s="201">
        <v>8.4000000000000005E-2</v>
      </c>
      <c r="AR22" s="201">
        <f>AS22-(AO22+AP22+AQ22)</f>
        <v>3.2999999999999974E-2</v>
      </c>
      <c r="AS22" s="201">
        <f>0.285</f>
        <v>0.28499999999999998</v>
      </c>
      <c r="AT22" s="201">
        <v>7.3999999999999996E-2</v>
      </c>
      <c r="AU22" s="201">
        <v>6.9000000000000006E-2</v>
      </c>
      <c r="AV22" s="201">
        <v>7.5999999999999998E-2</v>
      </c>
      <c r="AW22" s="201">
        <f>AX22-(AT22+AU22+AV22)</f>
        <v>0.13099999999999995</v>
      </c>
      <c r="AX22" s="201">
        <v>0.35</v>
      </c>
      <c r="AY22" s="203">
        <f>0.996*(AY34-AY33)/AY34</f>
        <v>0.13639490445859873</v>
      </c>
      <c r="AZ22" s="203">
        <f>1.226*(AZ34-AZ33)/AZ34</f>
        <v>0.14062941176470589</v>
      </c>
      <c r="BA22" s="203">
        <f>1.111*(BA34-BA33)/BA34</f>
        <v>0.13843130990415337</v>
      </c>
      <c r="BB22" s="201">
        <f>BC22-(AY22+AZ22+BA22)</f>
        <v>0.1495948939319775</v>
      </c>
      <c r="BC22" s="201">
        <f>4.666*(BC34-BC33)/BC34</f>
        <v>0.56505052005943546</v>
      </c>
      <c r="BD22" s="201">
        <f>1.075*(BD34-BD33)/BD34</f>
        <v>0.10889610389610389</v>
      </c>
      <c r="BE22" s="201">
        <f>1.148*(BE34-BE33)/BE34</f>
        <v>0.11702912621359222</v>
      </c>
      <c r="BF22" s="201">
        <f>1.064*(BF34-BF33)/BF34</f>
        <v>0.10737614678899084</v>
      </c>
      <c r="BG22" s="201">
        <f>BH22-(BD22+BE22+BF22)</f>
        <v>4.0982413883291324E-2</v>
      </c>
      <c r="BH22" s="201">
        <f>4.434*(BH34-BH33)/BH34</f>
        <v>0.37428379078197827</v>
      </c>
      <c r="BI22" s="826">
        <f>1.15*(BI34-BI33)/BI34</f>
        <v>9.6918238993710687E-2</v>
      </c>
      <c r="BJ22" s="203">
        <v>0.374</v>
      </c>
      <c r="BK22" s="201">
        <f>BJ22*0.25</f>
        <v>9.35E-2</v>
      </c>
      <c r="BL22" s="201">
        <v>9.7000000000000003E-2</v>
      </c>
      <c r="BM22" s="201">
        <v>9.8000000000000004E-2</v>
      </c>
      <c r="BN22" s="201">
        <f>BO22-BK22-BL22-BM22</f>
        <v>8.5499999999999965E-2</v>
      </c>
      <c r="BO22" s="203">
        <v>0.374</v>
      </c>
      <c r="BP22" s="201">
        <v>9.5000000000000001E-2</v>
      </c>
      <c r="BQ22" s="201">
        <v>9.2999999999999999E-2</v>
      </c>
      <c r="BR22" s="201">
        <v>0.08</v>
      </c>
      <c r="BS22" s="201">
        <v>9.9000000000000005E-2</v>
      </c>
      <c r="BT22" s="201">
        <f>BP22+BQ22+BR22+BS22</f>
        <v>0.36699999999999999</v>
      </c>
      <c r="BU22" s="201">
        <v>9.8000000000000004E-2</v>
      </c>
      <c r="BV22" s="201">
        <v>9.5000000000000001E-2</v>
      </c>
      <c r="BW22" s="631">
        <v>0.36499999999999999</v>
      </c>
      <c r="BY22" s="211"/>
      <c r="BZ22" s="211"/>
      <c r="CC22" s="62"/>
    </row>
    <row r="23" spans="1:86" ht="30" x14ac:dyDescent="0.2">
      <c r="A23" s="158" t="s">
        <v>350</v>
      </c>
      <c r="B23" s="204">
        <f t="shared" ref="B23:T23" si="11">B20-B21-B22</f>
        <v>-0.30400000000000016</v>
      </c>
      <c r="C23" s="79">
        <f t="shared" si="11"/>
        <v>-3.0000000000000027E-2</v>
      </c>
      <c r="D23" s="204">
        <f t="shared" si="11"/>
        <v>0.28999999999999981</v>
      </c>
      <c r="E23" s="204">
        <f t="shared" si="11"/>
        <v>0.93800000000000039</v>
      </c>
      <c r="F23" s="204">
        <f t="shared" si="11"/>
        <v>2.9999999999999333E-3</v>
      </c>
      <c r="G23" s="204">
        <f t="shared" si="11"/>
        <v>-0.14400000000000007</v>
      </c>
      <c r="H23" s="79">
        <f t="shared" si="11"/>
        <v>-0.16199999999999998</v>
      </c>
      <c r="I23" s="79">
        <f t="shared" si="11"/>
        <v>-7.3999999999999455E-2</v>
      </c>
      <c r="J23" s="204">
        <f>J20-J21-J22</f>
        <v>-0.37699999999999956</v>
      </c>
      <c r="K23" s="204">
        <f>K20-K21-K22</f>
        <v>-0.16999999999999987</v>
      </c>
      <c r="L23" s="204">
        <f>L20-L21-L22</f>
        <v>-0.21800000000000011</v>
      </c>
      <c r="M23" s="79">
        <f>M20-M21-M22</f>
        <v>-5.7000000000000106E-2</v>
      </c>
      <c r="N23" s="79">
        <f>N20-N21-N22</f>
        <v>0.752</v>
      </c>
      <c r="O23" s="204">
        <f t="shared" si="11"/>
        <v>0.30699999999999966</v>
      </c>
      <c r="P23" s="204">
        <f t="shared" si="11"/>
        <v>0.66699999999999993</v>
      </c>
      <c r="Q23" s="204">
        <f>Q20-Q21-Q22</f>
        <v>0.70300000000000007</v>
      </c>
      <c r="R23" s="79">
        <f>R20-R21-R22</f>
        <v>2.999999999999995E-2</v>
      </c>
      <c r="S23" s="79">
        <f>S20-S21-S22</f>
        <v>-1.2799999999999994</v>
      </c>
      <c r="T23" s="204">
        <f t="shared" si="11"/>
        <v>0.1200000000000005</v>
      </c>
      <c r="U23" s="204">
        <f>U20-U21-U22</f>
        <v>-0.33299999999999991</v>
      </c>
      <c r="V23" s="204">
        <f>V20-V21-V22</f>
        <v>-0.47000000000000014</v>
      </c>
      <c r="W23" s="204">
        <f>W20-W21-W22</f>
        <v>-0.27300000000000008</v>
      </c>
      <c r="X23" s="204">
        <f>X24-W24</f>
        <v>0.86400000000000021</v>
      </c>
      <c r="Y23" s="204">
        <f t="shared" ref="Y23:AD23" si="12">Y20-Y21-Y22</f>
        <v>-0.21200000000000002</v>
      </c>
      <c r="Z23" s="204">
        <f t="shared" si="12"/>
        <v>-0.29799999999999999</v>
      </c>
      <c r="AA23" s="204">
        <f t="shared" si="12"/>
        <v>-0.15200000000000008</v>
      </c>
      <c r="AB23" s="204">
        <f t="shared" si="12"/>
        <v>-0.27200000000000008</v>
      </c>
      <c r="AC23" s="204">
        <f t="shared" si="12"/>
        <v>0.36000000000000021</v>
      </c>
      <c r="AD23" s="204">
        <f t="shared" si="12"/>
        <v>-0.36200000000000004</v>
      </c>
      <c r="AE23" s="204">
        <f>AE20-AE21-AE22</f>
        <v>0.29299999999999998</v>
      </c>
      <c r="AF23" s="204">
        <f>AF20-AF21-AF22</f>
        <v>-0.20900000000000013</v>
      </c>
      <c r="AG23" s="201">
        <f>AG20-AG21-AG22</f>
        <v>-0.22600000000000003</v>
      </c>
      <c r="AH23" s="201">
        <f>AI23-(AE23+AF23+AG23)</f>
        <v>0.2560000000000005</v>
      </c>
      <c r="AI23" s="165">
        <f>AI20-AI21-AI22</f>
        <v>0.11400000000000032</v>
      </c>
      <c r="AJ23" s="165">
        <f t="shared" ref="AJ23:AW23" si="13">AJ20-AJ21-AJ22</f>
        <v>-5.9999999999999568E-3</v>
      </c>
      <c r="AK23" s="165">
        <f t="shared" si="13"/>
        <v>-0.15100000000000008</v>
      </c>
      <c r="AL23" s="165">
        <f t="shared" si="13"/>
        <v>0.25700000000000001</v>
      </c>
      <c r="AM23" s="165">
        <f t="shared" si="13"/>
        <v>-0.36600000000000033</v>
      </c>
      <c r="AN23" s="165">
        <f t="shared" si="13"/>
        <v>-0.26600000000000074</v>
      </c>
      <c r="AO23" s="165">
        <f t="shared" si="13"/>
        <v>-0.19700000000000001</v>
      </c>
      <c r="AP23" s="165">
        <f t="shared" si="13"/>
        <v>-0.10199999999999999</v>
      </c>
      <c r="AQ23" s="165">
        <f t="shared" si="13"/>
        <v>-1.3000000000000053E-2</v>
      </c>
      <c r="AR23" s="165">
        <f t="shared" si="13"/>
        <v>0.2970000000000001</v>
      </c>
      <c r="AS23" s="165">
        <f t="shared" si="13"/>
        <v>-1.5000000000000402E-2</v>
      </c>
      <c r="AT23" s="165">
        <f t="shared" si="13"/>
        <v>-0.307</v>
      </c>
      <c r="AU23" s="165">
        <f t="shared" si="13"/>
        <v>-0.13600000000000007</v>
      </c>
      <c r="AV23" s="165">
        <f t="shared" si="13"/>
        <v>0.11600000000000017</v>
      </c>
      <c r="AW23" s="165">
        <f t="shared" si="13"/>
        <v>0.35600000000000015</v>
      </c>
      <c r="AX23" s="166">
        <f>AX20-AX21-AX22</f>
        <v>2.9000000000000026E-2</v>
      </c>
      <c r="AY23" s="166">
        <f>AY20-AY21-AY22</f>
        <v>0.14899999999999999</v>
      </c>
      <c r="AZ23" s="166">
        <f t="shared" ref="AZ23:BA23" si="14">AZ20-AZ21-AZ22</f>
        <v>-0.11599999999999977</v>
      </c>
      <c r="BA23" s="166">
        <f t="shared" si="14"/>
        <v>-4.6999999999999875E-2</v>
      </c>
      <c r="BB23" s="166">
        <f>BB20-BB21-BB22</f>
        <v>-0.12500000000000017</v>
      </c>
      <c r="BC23" s="166">
        <f>BC20-BC21-BC22</f>
        <v>-0.1389999999999999</v>
      </c>
      <c r="BD23" s="166">
        <f t="shared" ref="BD23:BE23" si="15">BD20-BD21-BD22</f>
        <v>7.6999999999999999E-2</v>
      </c>
      <c r="BE23" s="166">
        <f t="shared" si="15"/>
        <v>-0.12599999999999983</v>
      </c>
      <c r="BF23" s="166">
        <f t="shared" ref="BF23:BK23" si="16">BF20-BF21-BF22</f>
        <v>8.7999999999999898E-2</v>
      </c>
      <c r="BG23" s="166">
        <f t="shared" si="16"/>
        <v>4.099999999999987E-2</v>
      </c>
      <c r="BH23" s="166">
        <f t="shared" si="16"/>
        <v>7.9999999999999627E-2</v>
      </c>
      <c r="BI23" s="166">
        <f t="shared" si="16"/>
        <v>-5.6999999999999967E-2</v>
      </c>
      <c r="BJ23" s="166">
        <f t="shared" si="16"/>
        <v>0.19199999999999984</v>
      </c>
      <c r="BK23" s="201">
        <f t="shared" si="16"/>
        <v>0.10700000000000012</v>
      </c>
      <c r="BL23" s="201">
        <f t="shared" ref="BL23:BS23" si="17">BL20-BL21-BL22</f>
        <v>-0.15099999999999983</v>
      </c>
      <c r="BM23" s="201">
        <f t="shared" si="17"/>
        <v>-0.17899999999999996</v>
      </c>
      <c r="BN23" s="201">
        <f>BO23-BK23-BL23-BM23</f>
        <v>-4.0000000000000535E-2</v>
      </c>
      <c r="BO23" s="166">
        <f t="shared" si="17"/>
        <v>-0.26300000000000023</v>
      </c>
      <c r="BP23" s="201">
        <f t="shared" si="17"/>
        <v>4.6999999999999903E-2</v>
      </c>
      <c r="BQ23" s="201">
        <f t="shared" si="17"/>
        <v>-4.4999999999999957E-2</v>
      </c>
      <c r="BR23" s="201">
        <f t="shared" si="17"/>
        <v>2.499999999999987E-2</v>
      </c>
      <c r="BS23" s="201">
        <f t="shared" si="17"/>
        <v>-8.1000000000000655E-2</v>
      </c>
      <c r="BT23" s="165">
        <f t="shared" ref="BT23:BW23" si="18">BT20-BT21-BT22</f>
        <v>-5.400000000000027E-2</v>
      </c>
      <c r="BU23" s="201">
        <f t="shared" si="18"/>
        <v>-4.0999999999999842E-2</v>
      </c>
      <c r="BV23" s="201">
        <f t="shared" ref="BV23" si="19">BV20-BV21-BV22</f>
        <v>-1.400000000000004E-2</v>
      </c>
      <c r="BW23" s="946">
        <f t="shared" si="18"/>
        <v>-1.4999999999999458E-2</v>
      </c>
      <c r="BY23" s="211"/>
      <c r="BZ23" s="62"/>
      <c r="CC23" s="62"/>
    </row>
    <row r="24" spans="1:86" ht="15" x14ac:dyDescent="0.2">
      <c r="A24" s="158" t="s">
        <v>109</v>
      </c>
      <c r="B24" s="201">
        <v>0.46400000000000002</v>
      </c>
      <c r="C24" s="201">
        <v>0.434</v>
      </c>
      <c r="D24" s="201">
        <v>0.72399999999999998</v>
      </c>
      <c r="E24" s="201">
        <v>1.6619999999999999</v>
      </c>
      <c r="F24" s="201">
        <f>E24+F23</f>
        <v>1.6649999999999998</v>
      </c>
      <c r="G24" s="201">
        <f>F24+G23</f>
        <v>1.5209999999999997</v>
      </c>
      <c r="H24" s="201">
        <f>G24+H23</f>
        <v>1.3589999999999998</v>
      </c>
      <c r="I24" s="201">
        <f>H24+I23</f>
        <v>1.2850000000000004</v>
      </c>
      <c r="J24" s="201">
        <v>1.2849999999999999</v>
      </c>
      <c r="K24" s="201">
        <f>J24+K23</f>
        <v>1.115</v>
      </c>
      <c r="L24" s="201">
        <f>K24+L23</f>
        <v>0.89699999999999991</v>
      </c>
      <c r="M24" s="201">
        <f>L24+M23</f>
        <v>0.83999999999999986</v>
      </c>
      <c r="N24" s="201">
        <f>M24+N23</f>
        <v>1.5919999999999999</v>
      </c>
      <c r="O24" s="201">
        <v>1.006</v>
      </c>
      <c r="P24" s="201">
        <f>O24+P23</f>
        <v>1.673</v>
      </c>
      <c r="Q24" s="201">
        <f>P24+Q23</f>
        <v>2.3760000000000003</v>
      </c>
      <c r="R24" s="201">
        <f>Q24+R23</f>
        <v>2.4060000000000001</v>
      </c>
      <c r="S24" s="201">
        <f>R24+S23</f>
        <v>1.1260000000000008</v>
      </c>
      <c r="T24" s="201">
        <f>O24+T23</f>
        <v>1.1260000000000006</v>
      </c>
      <c r="U24" s="201">
        <f>T24+U23</f>
        <v>0.79300000000000059</v>
      </c>
      <c r="V24" s="201">
        <f>U24+V23</f>
        <v>0.32300000000000045</v>
      </c>
      <c r="W24" s="201">
        <f>V24+W23</f>
        <v>5.0000000000000377E-2</v>
      </c>
      <c r="X24" s="201">
        <f>Y24</f>
        <v>0.91400000000000059</v>
      </c>
      <c r="Y24" s="201">
        <f>T24+Y23</f>
        <v>0.91400000000000059</v>
      </c>
      <c r="Z24" s="201">
        <f>Y24+Z23</f>
        <v>0.61600000000000055</v>
      </c>
      <c r="AA24" s="201">
        <f>Z24+AA23</f>
        <v>0.46400000000000047</v>
      </c>
      <c r="AB24" s="201">
        <f>AA24+AB23</f>
        <v>0.19200000000000039</v>
      </c>
      <c r="AC24" s="201">
        <f>AB24+AC23</f>
        <v>0.5520000000000006</v>
      </c>
      <c r="AD24" s="201">
        <f>Y24+AD23</f>
        <v>0.55200000000000049</v>
      </c>
      <c r="AE24" s="201">
        <f>AD24+AE23</f>
        <v>0.84500000000000042</v>
      </c>
      <c r="AF24" s="201">
        <f>AE24+AF23</f>
        <v>0.63600000000000034</v>
      </c>
      <c r="AG24" s="201">
        <f>AF24+AG23</f>
        <v>0.41000000000000031</v>
      </c>
      <c r="AH24" s="201">
        <f>AG24+AH23</f>
        <v>0.66600000000000081</v>
      </c>
      <c r="AI24" s="201">
        <f>AD24+AI23</f>
        <v>0.66600000000000081</v>
      </c>
      <c r="AJ24" s="201">
        <f>AI24+AJ23</f>
        <v>0.66000000000000081</v>
      </c>
      <c r="AK24" s="201">
        <f>AJ24+AK23</f>
        <v>0.50900000000000079</v>
      </c>
      <c r="AL24" s="201">
        <f>AK24+AL23</f>
        <v>0.76600000000000079</v>
      </c>
      <c r="AM24" s="201">
        <f>AL24+AM23</f>
        <v>0.40000000000000047</v>
      </c>
      <c r="AN24" s="201">
        <f>AI24+AN23</f>
        <v>0.40000000000000008</v>
      </c>
      <c r="AO24" s="201">
        <f>AN24+AO23</f>
        <v>0.20300000000000007</v>
      </c>
      <c r="AP24" s="201">
        <f>AO24+AP23</f>
        <v>0.10100000000000008</v>
      </c>
      <c r="AQ24" s="201">
        <f>AP24+AQ23</f>
        <v>8.8000000000000023E-2</v>
      </c>
      <c r="AR24" s="201">
        <f>AQ24+AR23</f>
        <v>0.38500000000000012</v>
      </c>
      <c r="AS24" s="201">
        <f>AN24+AS23</f>
        <v>0.38499999999999968</v>
      </c>
      <c r="AT24" s="201">
        <f>AS24+AT23</f>
        <v>7.7999999999999681E-2</v>
      </c>
      <c r="AU24" s="201">
        <f>AT24+AU23</f>
        <v>-5.8000000000000385E-2</v>
      </c>
      <c r="AV24" s="201">
        <f>AU24+AV23</f>
        <v>5.7999999999999788E-2</v>
      </c>
      <c r="AW24" s="201">
        <f>AV24+AW23</f>
        <v>0.41399999999999992</v>
      </c>
      <c r="AX24" s="201">
        <f>AS24+AX23</f>
        <v>0.4139999999999997</v>
      </c>
      <c r="AY24" s="203">
        <v>0.56299999999999994</v>
      </c>
      <c r="AZ24" s="203">
        <v>0.44800000000000001</v>
      </c>
      <c r="BA24" s="203">
        <v>0.40100000000000002</v>
      </c>
      <c r="BB24" s="710">
        <f>BC24</f>
        <v>0.2749999999999998</v>
      </c>
      <c r="BC24" s="201">
        <f>AX24+BC23</f>
        <v>0.2749999999999998</v>
      </c>
      <c r="BD24" s="203">
        <v>0.35299999999999998</v>
      </c>
      <c r="BE24" s="203">
        <v>0.22600000000000001</v>
      </c>
      <c r="BF24" s="203">
        <v>0.314</v>
      </c>
      <c r="BG24" s="710">
        <f>BH24</f>
        <v>0.35499999999999943</v>
      </c>
      <c r="BH24" s="201">
        <f>BC24+BH23</f>
        <v>0.35499999999999943</v>
      </c>
      <c r="BI24" s="827">
        <v>0.29799999999999999</v>
      </c>
      <c r="BJ24" s="884">
        <v>0.54700000000000004</v>
      </c>
      <c r="BK24" s="711">
        <f>BJ24+BK23</f>
        <v>0.65400000000000014</v>
      </c>
      <c r="BL24" s="711">
        <f>BK24+BL23</f>
        <v>0.50300000000000034</v>
      </c>
      <c r="BM24" s="711">
        <f>BL24+BM23</f>
        <v>0.3240000000000004</v>
      </c>
      <c r="BN24" s="711">
        <f>BM24+BN23</f>
        <v>0.28399999999999986</v>
      </c>
      <c r="BO24" s="884">
        <v>0.28399999999999997</v>
      </c>
      <c r="BP24" s="201">
        <f>BK24+BP23</f>
        <v>0.70100000000000007</v>
      </c>
      <c r="BQ24" s="201">
        <f>BL24+BQ23</f>
        <v>0.45800000000000041</v>
      </c>
      <c r="BR24" s="201">
        <f>BM24+BR23</f>
        <v>0.34900000000000025</v>
      </c>
      <c r="BS24" s="201">
        <f>BN24+BS23</f>
        <v>0.20299999999999921</v>
      </c>
      <c r="BT24" s="711">
        <v>0.22900000000000001</v>
      </c>
      <c r="BU24" s="201">
        <f>BT24+BU23</f>
        <v>0.18800000000000017</v>
      </c>
      <c r="BV24" s="201">
        <f>BU24+BV23</f>
        <v>0.17400000000000013</v>
      </c>
      <c r="BW24" s="631">
        <v>0.3</v>
      </c>
      <c r="BY24" s="67"/>
      <c r="BZ24" s="62"/>
      <c r="CC24" s="62"/>
    </row>
    <row r="25" spans="1:86" ht="15.75" customHeight="1" x14ac:dyDescent="0.2">
      <c r="A25" s="29" t="s">
        <v>110</v>
      </c>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6"/>
      <c r="BB25" s="26"/>
      <c r="BC25" s="26"/>
      <c r="BD25" s="26"/>
      <c r="BE25" s="26"/>
      <c r="BF25" s="26"/>
      <c r="BG25" s="26"/>
      <c r="BH25" s="26"/>
      <c r="BI25" s="26"/>
      <c r="BJ25" s="29"/>
      <c r="BK25" s="29"/>
      <c r="BL25" s="29"/>
      <c r="BM25" s="29"/>
      <c r="BN25" s="29"/>
      <c r="BO25" s="29"/>
      <c r="BP25" s="29"/>
      <c r="BQ25" s="29"/>
      <c r="BR25" s="29"/>
      <c r="BS25" s="29"/>
      <c r="BT25" s="29"/>
      <c r="BU25" s="29"/>
      <c r="BV25" s="29"/>
      <c r="BW25" s="29"/>
      <c r="CC25" s="62"/>
    </row>
    <row r="26" spans="1:86" ht="15" hidden="1" x14ac:dyDescent="0.2">
      <c r="A26" s="158" t="s">
        <v>104</v>
      </c>
      <c r="B26" s="53"/>
      <c r="C26" s="53"/>
      <c r="D26" s="53"/>
      <c r="E26" s="53"/>
      <c r="F26" s="53"/>
      <c r="G26" s="53"/>
      <c r="H26" s="53"/>
      <c r="I26" s="53"/>
      <c r="J26" s="53">
        <v>225</v>
      </c>
      <c r="K26" s="53"/>
      <c r="L26" s="53"/>
      <c r="M26" s="53"/>
      <c r="N26" s="53"/>
      <c r="O26" s="53">
        <v>550</v>
      </c>
      <c r="P26" s="53"/>
      <c r="Q26" s="53"/>
      <c r="R26" s="53"/>
      <c r="S26" s="53"/>
      <c r="T26" s="53">
        <v>550</v>
      </c>
      <c r="U26" s="53"/>
      <c r="V26" s="53"/>
      <c r="W26" s="53"/>
      <c r="X26" s="53"/>
      <c r="Y26" s="53">
        <v>370.4</v>
      </c>
      <c r="Z26" s="53"/>
      <c r="AA26" s="53"/>
      <c r="AB26" s="53"/>
      <c r="AC26" s="53"/>
      <c r="AD26" s="53">
        <v>477</v>
      </c>
      <c r="AE26" s="53"/>
      <c r="AF26" s="53"/>
      <c r="AG26" s="53"/>
      <c r="AH26" s="53"/>
      <c r="AI26" s="53">
        <v>422</v>
      </c>
      <c r="AJ26" s="53"/>
      <c r="AK26" s="53"/>
      <c r="AL26" s="53"/>
      <c r="AM26" s="53"/>
      <c r="AN26" s="53">
        <v>395</v>
      </c>
      <c r="AO26" s="53"/>
      <c r="AP26" s="53"/>
      <c r="AQ26" s="53"/>
      <c r="AR26" s="53"/>
      <c r="AS26" s="53">
        <v>395</v>
      </c>
      <c r="AT26" s="53"/>
      <c r="AU26" s="53"/>
      <c r="AV26" s="53"/>
      <c r="AW26" s="53"/>
      <c r="AX26" s="53">
        <v>395</v>
      </c>
      <c r="AY26" s="140"/>
      <c r="AZ26" s="140"/>
      <c r="BA26" s="140"/>
      <c r="BB26" s="62"/>
      <c r="BC26" s="53">
        <v>395</v>
      </c>
      <c r="BD26" s="140"/>
      <c r="BE26" s="140"/>
      <c r="BF26" s="140"/>
      <c r="BG26" s="62"/>
      <c r="BH26" s="53">
        <v>395</v>
      </c>
      <c r="BI26" s="140"/>
      <c r="BJ26" s="53">
        <v>395</v>
      </c>
      <c r="BK26" s="140"/>
      <c r="BL26" s="140"/>
      <c r="BM26" s="140"/>
      <c r="BN26" s="140"/>
      <c r="BO26" s="53">
        <v>395</v>
      </c>
      <c r="BP26" s="140"/>
      <c r="BQ26" s="140"/>
      <c r="BR26" s="140"/>
      <c r="BS26" s="140"/>
      <c r="BT26" s="53">
        <v>395</v>
      </c>
      <c r="BU26" s="140"/>
      <c r="BV26" s="140"/>
      <c r="BW26" s="62"/>
    </row>
    <row r="27" spans="1:86" ht="30" hidden="1" x14ac:dyDescent="0.2">
      <c r="A27" s="158" t="s">
        <v>105</v>
      </c>
      <c r="B27" s="53"/>
      <c r="C27" s="53"/>
      <c r="D27" s="53"/>
      <c r="E27" s="53"/>
      <c r="F27" s="53"/>
      <c r="G27" s="53"/>
      <c r="H27" s="53"/>
      <c r="I27" s="53"/>
      <c r="J27" s="53">
        <v>270</v>
      </c>
      <c r="K27" s="53"/>
      <c r="L27" s="53"/>
      <c r="M27" s="53"/>
      <c r="N27" s="53"/>
      <c r="O27" s="53">
        <v>580</v>
      </c>
      <c r="P27" s="53"/>
      <c r="Q27" s="53"/>
      <c r="R27" s="53"/>
      <c r="S27" s="53"/>
      <c r="T27" s="53">
        <v>550</v>
      </c>
      <c r="U27" s="53"/>
      <c r="V27" s="53"/>
      <c r="W27" s="53"/>
      <c r="X27" s="53"/>
      <c r="Y27" s="53">
        <v>370.4</v>
      </c>
      <c r="Z27" s="53"/>
      <c r="AA27" s="53"/>
      <c r="AB27" s="53"/>
      <c r="AC27" s="53"/>
      <c r="AD27" s="53">
        <v>497</v>
      </c>
      <c r="AE27" s="53"/>
      <c r="AF27" s="53"/>
      <c r="AG27" s="53"/>
      <c r="AH27" s="53"/>
      <c r="AI27" s="53">
        <v>430</v>
      </c>
      <c r="AJ27" s="53"/>
      <c r="AK27" s="53"/>
      <c r="AL27" s="53"/>
      <c r="AM27" s="53"/>
      <c r="AN27" s="53">
        <v>360</v>
      </c>
      <c r="AO27" s="53"/>
      <c r="AP27" s="53"/>
      <c r="AQ27" s="53"/>
      <c r="AR27" s="53"/>
      <c r="AS27" s="53">
        <v>360</v>
      </c>
      <c r="AT27" s="53"/>
      <c r="AU27" s="53"/>
      <c r="AV27" s="53"/>
      <c r="AW27" s="53"/>
      <c r="AX27" s="53">
        <v>360</v>
      </c>
      <c r="AY27" s="140"/>
      <c r="AZ27" s="140"/>
      <c r="BA27" s="140"/>
      <c r="BB27" s="62"/>
      <c r="BC27" s="53">
        <v>360</v>
      </c>
      <c r="BD27" s="140"/>
      <c r="BE27" s="140"/>
      <c r="BF27" s="140"/>
      <c r="BG27" s="62"/>
      <c r="BH27" s="53">
        <v>360</v>
      </c>
      <c r="BI27" s="140"/>
      <c r="BJ27" s="53">
        <v>360</v>
      </c>
      <c r="BK27" s="140"/>
      <c r="BL27" s="140"/>
      <c r="BM27" s="140"/>
      <c r="BN27" s="140"/>
      <c r="BO27" s="53">
        <v>360</v>
      </c>
      <c r="BP27" s="140"/>
      <c r="BQ27" s="140"/>
      <c r="BR27" s="140"/>
      <c r="BS27" s="140"/>
      <c r="BT27" s="53">
        <v>360</v>
      </c>
      <c r="BU27" s="140"/>
      <c r="BV27" s="140"/>
      <c r="BW27" s="62"/>
    </row>
    <row r="28" spans="1:86" ht="15" hidden="1" x14ac:dyDescent="0.2">
      <c r="A28" s="158" t="s">
        <v>25</v>
      </c>
      <c r="B28" s="53"/>
      <c r="C28" s="53"/>
      <c r="D28" s="208"/>
      <c r="E28" s="53"/>
      <c r="F28" s="53"/>
      <c r="G28" s="53"/>
      <c r="H28" s="53"/>
      <c r="I28" s="53"/>
      <c r="J28" s="53">
        <v>260</v>
      </c>
      <c r="K28" s="53"/>
      <c r="L28" s="53"/>
      <c r="M28" s="53"/>
      <c r="N28" s="53"/>
      <c r="O28" s="53">
        <v>580</v>
      </c>
      <c r="P28" s="53"/>
      <c r="Q28" s="53"/>
      <c r="R28" s="53"/>
      <c r="S28" s="53"/>
      <c r="T28" s="53">
        <v>500</v>
      </c>
      <c r="U28" s="53"/>
      <c r="V28" s="53"/>
      <c r="W28" s="53"/>
      <c r="X28" s="53"/>
      <c r="Y28" s="53">
        <v>370.4</v>
      </c>
      <c r="Z28" s="53"/>
      <c r="AA28" s="53"/>
      <c r="AB28" s="53"/>
      <c r="AC28" s="53"/>
      <c r="AD28" s="53">
        <v>490</v>
      </c>
      <c r="AE28" s="53"/>
      <c r="AF28" s="53"/>
      <c r="AG28" s="53"/>
      <c r="AH28" s="53"/>
      <c r="AI28" s="53">
        <v>460</v>
      </c>
      <c r="AJ28" s="53"/>
      <c r="AK28" s="53"/>
      <c r="AL28" s="53"/>
      <c r="AM28" s="53"/>
      <c r="AN28" s="53">
        <v>385</v>
      </c>
      <c r="AO28" s="53"/>
      <c r="AP28" s="53"/>
      <c r="AQ28" s="53"/>
      <c r="AR28" s="53"/>
      <c r="AS28" s="53">
        <v>385</v>
      </c>
      <c r="AT28" s="53"/>
      <c r="AU28" s="53"/>
      <c r="AV28" s="53"/>
      <c r="AW28" s="53"/>
      <c r="AX28" s="53">
        <v>385</v>
      </c>
      <c r="AY28" s="140"/>
      <c r="AZ28" s="140"/>
      <c r="BA28" s="140"/>
      <c r="BB28" s="62"/>
      <c r="BC28" s="53">
        <v>385</v>
      </c>
      <c r="BD28" s="140"/>
      <c r="BE28" s="140"/>
      <c r="BF28" s="140"/>
      <c r="BG28" s="62"/>
      <c r="BH28" s="53">
        <v>385</v>
      </c>
      <c r="BI28" s="140"/>
      <c r="BJ28" s="53">
        <v>385</v>
      </c>
      <c r="BK28" s="140"/>
      <c r="BL28" s="140"/>
      <c r="BM28" s="140"/>
      <c r="BN28" s="140"/>
      <c r="BO28" s="53">
        <v>385</v>
      </c>
      <c r="BP28" s="140"/>
      <c r="BQ28" s="140"/>
      <c r="BR28" s="140"/>
      <c r="BS28" s="140"/>
      <c r="BT28" s="53">
        <v>385</v>
      </c>
      <c r="BU28" s="140"/>
      <c r="BV28" s="140"/>
      <c r="BW28" s="62"/>
    </row>
    <row r="29" spans="1:86" ht="15" hidden="1" x14ac:dyDescent="0.2">
      <c r="A29" s="158" t="s">
        <v>106</v>
      </c>
      <c r="B29" s="53"/>
      <c r="C29" s="53"/>
      <c r="D29" s="53"/>
      <c r="E29" s="53"/>
      <c r="F29" s="53"/>
      <c r="G29" s="53"/>
      <c r="H29" s="53"/>
      <c r="I29" s="53"/>
      <c r="J29" s="53">
        <v>240</v>
      </c>
      <c r="K29" s="53"/>
      <c r="L29" s="53"/>
      <c r="M29" s="53"/>
      <c r="N29" s="53"/>
      <c r="O29" s="53">
        <v>500</v>
      </c>
      <c r="P29" s="53"/>
      <c r="Q29" s="53"/>
      <c r="R29" s="53"/>
      <c r="S29" s="53"/>
      <c r="T29" s="53">
        <v>460</v>
      </c>
      <c r="U29" s="53"/>
      <c r="V29" s="53"/>
      <c r="W29" s="53"/>
      <c r="X29" s="53"/>
      <c r="Y29" s="53">
        <v>385</v>
      </c>
      <c r="Z29" s="53"/>
      <c r="AA29" s="53"/>
      <c r="AB29" s="53"/>
      <c r="AC29" s="53"/>
      <c r="AD29" s="53">
        <f>350*3/8+490*5/8</f>
        <v>437.5</v>
      </c>
      <c r="AE29" s="53"/>
      <c r="AF29" s="53"/>
      <c r="AG29" s="53"/>
      <c r="AH29" s="53"/>
      <c r="AI29" s="53">
        <v>490</v>
      </c>
      <c r="AJ29" s="53"/>
      <c r="AK29" s="53"/>
      <c r="AL29" s="53"/>
      <c r="AM29" s="53"/>
      <c r="AN29" s="53">
        <v>386</v>
      </c>
      <c r="AO29" s="53"/>
      <c r="AP29" s="53"/>
      <c r="AQ29" s="53"/>
      <c r="AR29" s="53"/>
      <c r="AS29" s="53">
        <v>386</v>
      </c>
      <c r="AT29" s="53"/>
      <c r="AU29" s="53"/>
      <c r="AV29" s="53"/>
      <c r="AW29" s="53"/>
      <c r="AX29" s="53">
        <v>386</v>
      </c>
      <c r="AY29" s="140"/>
      <c r="AZ29" s="140"/>
      <c r="BA29" s="140"/>
      <c r="BB29" s="62"/>
      <c r="BC29" s="53">
        <v>386</v>
      </c>
      <c r="BD29" s="140"/>
      <c r="BE29" s="140"/>
      <c r="BF29" s="140"/>
      <c r="BG29" s="62"/>
      <c r="BH29" s="53">
        <v>386</v>
      </c>
      <c r="BI29" s="140"/>
      <c r="BJ29" s="53">
        <v>386</v>
      </c>
      <c r="BK29" s="140"/>
      <c r="BL29" s="140"/>
      <c r="BM29" s="140"/>
      <c r="BN29" s="140"/>
      <c r="BO29" s="53">
        <v>386</v>
      </c>
      <c r="BP29" s="140"/>
      <c r="BQ29" s="140"/>
      <c r="BR29" s="140"/>
      <c r="BS29" s="140"/>
      <c r="BT29" s="53">
        <v>386</v>
      </c>
      <c r="BU29" s="140"/>
      <c r="BV29" s="140"/>
      <c r="BW29" s="62"/>
      <c r="BY29" s="271"/>
      <c r="BZ29" s="271"/>
      <c r="CA29" s="271"/>
      <c r="CB29" s="271"/>
      <c r="CC29" s="271"/>
      <c r="CD29" s="271"/>
      <c r="CE29" s="271"/>
      <c r="CF29" s="271"/>
      <c r="CG29" s="271"/>
      <c r="CH29" s="271"/>
    </row>
    <row r="30" spans="1:86" ht="15" hidden="1" x14ac:dyDescent="0.2">
      <c r="A30" s="158" t="s">
        <v>107</v>
      </c>
      <c r="B30" s="71"/>
      <c r="C30" s="71"/>
      <c r="D30" s="71"/>
      <c r="E30" s="71"/>
      <c r="F30" s="71"/>
      <c r="G30" s="71"/>
      <c r="H30" s="71"/>
      <c r="I30" s="71"/>
      <c r="J30" s="71">
        <v>175</v>
      </c>
      <c r="K30" s="71"/>
      <c r="L30" s="71"/>
      <c r="M30" s="71"/>
      <c r="N30" s="71"/>
      <c r="O30" s="71">
        <v>476</v>
      </c>
      <c r="P30" s="71"/>
      <c r="Q30" s="71"/>
      <c r="R30" s="71"/>
      <c r="S30" s="71"/>
      <c r="T30" s="71">
        <v>500</v>
      </c>
      <c r="U30" s="71"/>
      <c r="V30" s="71"/>
      <c r="W30" s="71"/>
      <c r="X30" s="71"/>
      <c r="Y30" s="71">
        <v>350</v>
      </c>
      <c r="Z30" s="71"/>
      <c r="AA30" s="71"/>
      <c r="AB30" s="71"/>
      <c r="AC30" s="71"/>
      <c r="AD30" s="71">
        <f>400*0.5+470*0.5</f>
        <v>435</v>
      </c>
      <c r="AE30" s="71"/>
      <c r="AF30" s="71"/>
      <c r="AG30" s="71"/>
      <c r="AH30" s="71"/>
      <c r="AI30" s="71">
        <v>470</v>
      </c>
      <c r="AJ30" s="71"/>
      <c r="AK30" s="71"/>
      <c r="AL30" s="71"/>
      <c r="AM30" s="71"/>
      <c r="AN30" s="71">
        <v>389</v>
      </c>
      <c r="AO30" s="71"/>
      <c r="AP30" s="71"/>
      <c r="AQ30" s="71"/>
      <c r="AR30" s="71"/>
      <c r="AS30" s="71">
        <v>389</v>
      </c>
      <c r="AT30" s="71"/>
      <c r="AU30" s="71"/>
      <c r="AV30" s="71"/>
      <c r="AW30" s="71"/>
      <c r="AX30" s="71">
        <v>389</v>
      </c>
      <c r="AY30" s="141"/>
      <c r="AZ30" s="141"/>
      <c r="BA30" s="141"/>
      <c r="BB30" s="633"/>
      <c r="BC30" s="71">
        <v>389</v>
      </c>
      <c r="BD30" s="141"/>
      <c r="BE30" s="141"/>
      <c r="BF30" s="141"/>
      <c r="BG30" s="633"/>
      <c r="BH30" s="71">
        <v>389</v>
      </c>
      <c r="BI30" s="141"/>
      <c r="BJ30" s="71">
        <v>389</v>
      </c>
      <c r="BK30" s="141"/>
      <c r="BL30" s="141"/>
      <c r="BM30" s="141"/>
      <c r="BN30" s="141"/>
      <c r="BO30" s="71">
        <v>389</v>
      </c>
      <c r="BP30" s="141"/>
      <c r="BQ30" s="141"/>
      <c r="BR30" s="141"/>
      <c r="BS30" s="141"/>
      <c r="BT30" s="71">
        <v>389</v>
      </c>
      <c r="BU30" s="141"/>
      <c r="BV30" s="141"/>
      <c r="BW30" s="633"/>
    </row>
    <row r="31" spans="1:86" ht="15" x14ac:dyDescent="0.2">
      <c r="A31" s="519" t="s">
        <v>100</v>
      </c>
      <c r="B31" s="482" t="e">
        <f>#REF!/(B16+B22)</f>
        <v>#REF!</v>
      </c>
      <c r="C31" s="482" t="e">
        <f>#REF!/(C16+C22)</f>
        <v>#REF!</v>
      </c>
      <c r="D31" s="482" t="e">
        <f>#REF!/(D16+D22)</f>
        <v>#REF!</v>
      </c>
      <c r="E31" s="482" t="e">
        <f>#REF!/(E16+E22)</f>
        <v>#REF!</v>
      </c>
      <c r="F31" s="482" t="e">
        <f>#REF!/(F16+F22)</f>
        <v>#REF!</v>
      </c>
      <c r="G31" s="482" t="e">
        <f>#REF!/(G16+G22)</f>
        <v>#REF!</v>
      </c>
      <c r="H31" s="482" t="e">
        <f>#REF!/(H16+H22)</f>
        <v>#REF!</v>
      </c>
      <c r="I31" s="482" t="e">
        <f>#REF!/(I16+I22)</f>
        <v>#REF!</v>
      </c>
      <c r="J31" s="482" t="e">
        <f>#REF!/(J16+J22)</f>
        <v>#REF!</v>
      </c>
      <c r="K31" s="482" t="e">
        <f>#REF!/(K16+K22)</f>
        <v>#REF!</v>
      </c>
      <c r="L31" s="482" t="e">
        <f>#REF!/(L16+L22)</f>
        <v>#REF!</v>
      </c>
      <c r="M31" s="482" t="e">
        <f>#REF!/(M16+M22)</f>
        <v>#REF!</v>
      </c>
      <c r="N31" s="482" t="e">
        <f>#REF!/(N16+N22)</f>
        <v>#REF!</v>
      </c>
      <c r="O31" s="482" t="e">
        <f>#REF!/(O16+O22)</f>
        <v>#REF!</v>
      </c>
      <c r="P31" s="482" t="e">
        <f>#REF!/(P16+P22)</f>
        <v>#REF!</v>
      </c>
      <c r="Q31" s="482" t="e">
        <f>#REF!/(Q16+Q22)</f>
        <v>#REF!</v>
      </c>
      <c r="R31" s="482" t="e">
        <f>#REF!/(R16+R22)</f>
        <v>#REF!</v>
      </c>
      <c r="S31" s="482" t="e">
        <f>#REF!/(S16+S22)</f>
        <v>#REF!</v>
      </c>
      <c r="T31" s="482">
        <f>T37</f>
        <v>381.36672325976235</v>
      </c>
      <c r="U31" s="482" t="e">
        <f>#REF!/(U16+U22)</f>
        <v>#REF!</v>
      </c>
      <c r="V31" s="482" t="e">
        <f>#REF!/(V16+V22)</f>
        <v>#REF!</v>
      </c>
      <c r="W31" s="482" t="e">
        <f>#REF!/(W16+W22)</f>
        <v>#REF!</v>
      </c>
      <c r="X31" s="482" t="e">
        <f>#REF!/(X16+X22)</f>
        <v>#REF!</v>
      </c>
      <c r="Y31" s="482">
        <f>Y37</f>
        <v>321.81168057210965</v>
      </c>
      <c r="Z31" s="482" t="e">
        <f>#REF!/(Z16+Z22)</f>
        <v>#REF!</v>
      </c>
      <c r="AA31" s="482" t="e">
        <f>#REF!/(AA16+AA22)</f>
        <v>#REF!</v>
      </c>
      <c r="AB31" s="482" t="e">
        <f>#REF!/(AB16+AB22)</f>
        <v>#REF!</v>
      </c>
      <c r="AC31" s="482" t="e">
        <f>#REF!/(AC16+AC22)</f>
        <v>#REF!</v>
      </c>
      <c r="AD31" s="482">
        <f>AD37</f>
        <v>303.35759567973702</v>
      </c>
      <c r="AE31" s="482" t="e">
        <f>#REF!/(AE16+AE22)</f>
        <v>#REF!</v>
      </c>
      <c r="AF31" s="482" t="e">
        <f>#REF!/(AF16+AF22)</f>
        <v>#REF!</v>
      </c>
      <c r="AG31" s="482" t="e">
        <f>#REF!/(AG16+AG22)</f>
        <v>#REF!</v>
      </c>
      <c r="AH31" s="482" t="e">
        <f>#REF!/(AH16+AH22)</f>
        <v>#REF!</v>
      </c>
      <c r="AI31" s="482">
        <v>259.05</v>
      </c>
      <c r="AJ31" s="482" t="e">
        <f>#REF!/(AJ16+AJ22)</f>
        <v>#REF!</v>
      </c>
      <c r="AK31" s="482" t="e">
        <f>#REF!/(AK16+AK22)</f>
        <v>#REF!</v>
      </c>
      <c r="AL31" s="482" t="e">
        <f>#REF!/(AL16+AL22)</f>
        <v>#REF!</v>
      </c>
      <c r="AM31" s="482" t="e">
        <f>#REF!/(AM16+AM22)</f>
        <v>#REF!</v>
      </c>
      <c r="AN31" s="482">
        <v>236.2</v>
      </c>
      <c r="AO31" s="482" t="e">
        <f>#REF!/(AO16+AO22)</f>
        <v>#REF!</v>
      </c>
      <c r="AP31" s="482" t="e">
        <f>#REF!/(AP16+AP22)</f>
        <v>#REF!</v>
      </c>
      <c r="AQ31" s="482" t="e">
        <f>#REF!/(AQ16+AQ22)</f>
        <v>#REF!</v>
      </c>
      <c r="AR31" s="482" t="e">
        <f>#REF!/(AR16+AR22)</f>
        <v>#REF!</v>
      </c>
      <c r="AS31" s="482">
        <f>277.6</f>
        <v>277.60000000000002</v>
      </c>
      <c r="AT31" s="482" t="e">
        <f>#REF!/(AT16+AT22)</f>
        <v>#REF!</v>
      </c>
      <c r="AU31" s="482" t="e">
        <f>#REF!/(AU16+AU22)</f>
        <v>#REF!</v>
      </c>
      <c r="AV31" s="482" t="e">
        <f>#REF!/(AV16+AV22)</f>
        <v>#REF!</v>
      </c>
      <c r="AW31" s="482" t="e">
        <f>#REF!/(AW16+AW22)</f>
        <v>#REF!</v>
      </c>
      <c r="AX31" s="482">
        <v>286</v>
      </c>
      <c r="AY31" s="483">
        <f>AY37</f>
        <v>250</v>
      </c>
      <c r="AZ31" s="483">
        <f>AZ37</f>
        <v>226</v>
      </c>
      <c r="BA31" s="483">
        <f>BA37</f>
        <v>220</v>
      </c>
      <c r="BB31" s="709">
        <f>BC31</f>
        <v>230</v>
      </c>
      <c r="BC31" s="483">
        <f t="shared" ref="BC31:BI31" si="20">BC37</f>
        <v>230</v>
      </c>
      <c r="BD31" s="483">
        <f t="shared" si="20"/>
        <v>257</v>
      </c>
      <c r="BE31" s="483">
        <f t="shared" si="20"/>
        <v>281</v>
      </c>
      <c r="BF31" s="483">
        <f t="shared" si="20"/>
        <v>317</v>
      </c>
      <c r="BG31" s="483">
        <f t="shared" si="20"/>
        <v>337</v>
      </c>
      <c r="BH31" s="483">
        <f t="shared" si="20"/>
        <v>337</v>
      </c>
      <c r="BI31" s="828">
        <f t="shared" si="20"/>
        <v>601</v>
      </c>
      <c r="BJ31" s="483">
        <v>682</v>
      </c>
      <c r="BK31" s="482">
        <f t="shared" ref="BK31:BL31" si="21">BK37</f>
        <v>541</v>
      </c>
      <c r="BL31" s="482">
        <f t="shared" si="21"/>
        <v>403</v>
      </c>
      <c r="BM31" s="482">
        <f t="shared" ref="BM31:BN31" si="22">BM37</f>
        <v>342</v>
      </c>
      <c r="BN31" s="482">
        <f t="shared" si="22"/>
        <v>343</v>
      </c>
      <c r="BO31" s="483">
        <v>393</v>
      </c>
      <c r="BP31" s="482">
        <f t="shared" ref="BP31:BR31" si="23">BP37</f>
        <v>324</v>
      </c>
      <c r="BQ31" s="482">
        <f t="shared" ref="BQ31" si="24">BQ37</f>
        <v>300</v>
      </c>
      <c r="BR31" s="482">
        <f t="shared" si="23"/>
        <v>297</v>
      </c>
      <c r="BS31" s="482">
        <f t="shared" ref="BS31" si="25">BS37</f>
        <v>285</v>
      </c>
      <c r="BT31" s="482">
        <v>302</v>
      </c>
      <c r="BU31" s="482">
        <f t="shared" ref="BU31:BV31" si="26">BU37</f>
        <v>300</v>
      </c>
      <c r="BV31" s="482">
        <f t="shared" si="26"/>
        <v>333</v>
      </c>
      <c r="BW31" s="636">
        <v>320</v>
      </c>
      <c r="CC31" s="62"/>
    </row>
    <row r="32" spans="1:86" ht="15" hidden="1" x14ac:dyDescent="0.2">
      <c r="A32" s="484" t="s">
        <v>113</v>
      </c>
      <c r="B32" s="273" t="e">
        <f>B31</f>
        <v>#REF!</v>
      </c>
      <c r="C32" s="273" t="e">
        <f>C31</f>
        <v>#REF!</v>
      </c>
      <c r="D32" s="273" t="e">
        <f>D31</f>
        <v>#REF!</v>
      </c>
      <c r="E32" s="273" t="e">
        <f>E31</f>
        <v>#REF!</v>
      </c>
      <c r="F32" s="273" t="e">
        <f t="shared" ref="F32:AL32" si="27">F31</f>
        <v>#REF!</v>
      </c>
      <c r="G32" s="273" t="e">
        <f t="shared" si="27"/>
        <v>#REF!</v>
      </c>
      <c r="H32" s="273" t="e">
        <f t="shared" si="27"/>
        <v>#REF!</v>
      </c>
      <c r="I32" s="273" t="e">
        <f t="shared" si="27"/>
        <v>#REF!</v>
      </c>
      <c r="J32" s="273" t="e">
        <f t="shared" si="27"/>
        <v>#REF!</v>
      </c>
      <c r="K32" s="273" t="e">
        <f t="shared" si="27"/>
        <v>#REF!</v>
      </c>
      <c r="L32" s="273" t="e">
        <f t="shared" si="27"/>
        <v>#REF!</v>
      </c>
      <c r="M32" s="273" t="e">
        <f t="shared" si="27"/>
        <v>#REF!</v>
      </c>
      <c r="N32" s="273" t="e">
        <f t="shared" si="27"/>
        <v>#REF!</v>
      </c>
      <c r="O32" s="273" t="e">
        <f t="shared" si="27"/>
        <v>#REF!</v>
      </c>
      <c r="P32" s="273" t="e">
        <f t="shared" si="27"/>
        <v>#REF!</v>
      </c>
      <c r="Q32" s="273" t="e">
        <f t="shared" si="27"/>
        <v>#REF!</v>
      </c>
      <c r="R32" s="273" t="e">
        <f t="shared" si="27"/>
        <v>#REF!</v>
      </c>
      <c r="S32" s="273" t="e">
        <f t="shared" si="27"/>
        <v>#REF!</v>
      </c>
      <c r="T32" s="273">
        <f t="shared" si="27"/>
        <v>381.36672325976235</v>
      </c>
      <c r="U32" s="273" t="e">
        <f t="shared" si="27"/>
        <v>#REF!</v>
      </c>
      <c r="V32" s="273" t="e">
        <f t="shared" si="27"/>
        <v>#REF!</v>
      </c>
      <c r="W32" s="273" t="e">
        <f t="shared" si="27"/>
        <v>#REF!</v>
      </c>
      <c r="X32" s="273" t="e">
        <f t="shared" si="27"/>
        <v>#REF!</v>
      </c>
      <c r="Y32" s="273">
        <f t="shared" si="27"/>
        <v>321.81168057210965</v>
      </c>
      <c r="Z32" s="273" t="e">
        <f t="shared" si="27"/>
        <v>#REF!</v>
      </c>
      <c r="AA32" s="273" t="e">
        <f t="shared" si="27"/>
        <v>#REF!</v>
      </c>
      <c r="AB32" s="273" t="e">
        <f t="shared" si="27"/>
        <v>#REF!</v>
      </c>
      <c r="AC32" s="273" t="e">
        <f t="shared" si="27"/>
        <v>#REF!</v>
      </c>
      <c r="AD32" s="273">
        <f t="shared" si="27"/>
        <v>303.35759567973702</v>
      </c>
      <c r="AE32" s="273" t="e">
        <f t="shared" si="27"/>
        <v>#REF!</v>
      </c>
      <c r="AF32" s="273" t="e">
        <f t="shared" si="27"/>
        <v>#REF!</v>
      </c>
      <c r="AG32" s="273" t="e">
        <f t="shared" si="27"/>
        <v>#REF!</v>
      </c>
      <c r="AH32" s="273" t="e">
        <f t="shared" si="27"/>
        <v>#REF!</v>
      </c>
      <c r="AI32" s="273">
        <f t="shared" si="27"/>
        <v>259.05</v>
      </c>
      <c r="AJ32" s="273" t="e">
        <f t="shared" si="27"/>
        <v>#REF!</v>
      </c>
      <c r="AK32" s="273" t="e">
        <f t="shared" si="27"/>
        <v>#REF!</v>
      </c>
      <c r="AL32" s="273" t="e">
        <f t="shared" si="27"/>
        <v>#REF!</v>
      </c>
      <c r="AM32" s="273" t="e">
        <f>AM31</f>
        <v>#REF!</v>
      </c>
      <c r="AN32" s="273">
        <f>(AN6*AN26+AN8*AN27+AN10*AN28+AN12*AN29+AN14*AN30)/AN16</f>
        <v>378.66823343182779</v>
      </c>
      <c r="AO32" s="273" t="e">
        <f t="shared" ref="AO32:AZ32" si="28">AO31</f>
        <v>#REF!</v>
      </c>
      <c r="AP32" s="273" t="e">
        <f t="shared" si="28"/>
        <v>#REF!</v>
      </c>
      <c r="AQ32" s="273" t="e">
        <f t="shared" si="28"/>
        <v>#REF!</v>
      </c>
      <c r="AR32" s="273" t="e">
        <f t="shared" si="28"/>
        <v>#REF!</v>
      </c>
      <c r="AS32" s="273">
        <f t="shared" si="28"/>
        <v>277.60000000000002</v>
      </c>
      <c r="AT32" s="273" t="e">
        <f t="shared" si="28"/>
        <v>#REF!</v>
      </c>
      <c r="AU32" s="273" t="e">
        <f t="shared" si="28"/>
        <v>#REF!</v>
      </c>
      <c r="AV32" s="273" t="e">
        <f t="shared" si="28"/>
        <v>#REF!</v>
      </c>
      <c r="AW32" s="273" t="e">
        <f t="shared" si="28"/>
        <v>#REF!</v>
      </c>
      <c r="AX32" s="273">
        <f t="shared" si="28"/>
        <v>286</v>
      </c>
      <c r="AY32" s="272">
        <f>AY31</f>
        <v>250</v>
      </c>
      <c r="AZ32" s="272">
        <f t="shared" si="28"/>
        <v>226</v>
      </c>
      <c r="BA32" s="272">
        <f t="shared" ref="BA32" si="29">BA31</f>
        <v>220</v>
      </c>
      <c r="BB32" s="634"/>
      <c r="BC32" s="273">
        <f t="shared" ref="BC32" si="30">BC31</f>
        <v>230</v>
      </c>
      <c r="BD32" s="272">
        <f>BD31</f>
        <v>257</v>
      </c>
      <c r="BE32" s="272">
        <f t="shared" ref="BE32:BF32" si="31">BE31</f>
        <v>281</v>
      </c>
      <c r="BF32" s="272">
        <f t="shared" si="31"/>
        <v>317</v>
      </c>
      <c r="BG32" s="634"/>
      <c r="BH32" s="273">
        <f t="shared" ref="BH32:BJ32" si="32">BH31</f>
        <v>337</v>
      </c>
      <c r="BI32" s="829">
        <f>BI31</f>
        <v>601</v>
      </c>
      <c r="BJ32" s="272">
        <f t="shared" si="32"/>
        <v>682</v>
      </c>
      <c r="BK32" s="273">
        <f>BK31</f>
        <v>541</v>
      </c>
      <c r="BL32" s="273">
        <f>BL31</f>
        <v>403</v>
      </c>
      <c r="BM32" s="273">
        <f>BM31</f>
        <v>342</v>
      </c>
      <c r="BN32" s="634"/>
      <c r="BO32" s="272">
        <f t="shared" ref="BO32" si="33">BO31</f>
        <v>393</v>
      </c>
      <c r="BP32" s="273">
        <f>BP31</f>
        <v>324</v>
      </c>
      <c r="BQ32" s="273">
        <f>BQ31</f>
        <v>300</v>
      </c>
      <c r="BR32" s="273">
        <f>BR31</f>
        <v>297</v>
      </c>
      <c r="BS32" s="273">
        <f>BS31</f>
        <v>285</v>
      </c>
      <c r="BT32" s="273">
        <f t="shared" ref="BT32" si="34">BT31</f>
        <v>302</v>
      </c>
      <c r="BU32" s="273">
        <f>BU31</f>
        <v>300</v>
      </c>
      <c r="BV32" s="273">
        <f>BV31</f>
        <v>333</v>
      </c>
      <c r="BW32" s="634">
        <f>BW31</f>
        <v>320</v>
      </c>
    </row>
    <row r="33" spans="1:81" ht="15" x14ac:dyDescent="0.2">
      <c r="A33" s="158" t="s">
        <v>178</v>
      </c>
      <c r="B33" s="463" t="e">
        <f>#REF!</f>
        <v>#REF!</v>
      </c>
      <c r="C33" s="463" t="e">
        <f>#REF!</f>
        <v>#REF!</v>
      </c>
      <c r="D33" s="463" t="e">
        <f>#REF!</f>
        <v>#REF!</v>
      </c>
      <c r="E33" s="463" t="e">
        <f>#REF!</f>
        <v>#REF!</v>
      </c>
      <c r="F33" s="463">
        <v>246.16800000000001</v>
      </c>
      <c r="G33" s="463">
        <v>265.70999999999998</v>
      </c>
      <c r="H33" s="463">
        <f>317.726</f>
        <v>317.726</v>
      </c>
      <c r="I33" s="463" t="e">
        <f>J33-(F33+G33+H33)</f>
        <v>#REF!</v>
      </c>
      <c r="J33" s="463" t="e">
        <f>#REF!</f>
        <v>#REF!</v>
      </c>
      <c r="K33" s="463">
        <v>523.12900000000002</v>
      </c>
      <c r="L33" s="463">
        <v>770.92</v>
      </c>
      <c r="M33" s="463">
        <v>835.08</v>
      </c>
      <c r="N33" s="463">
        <f>O33-(K33+L33+M33)</f>
        <v>-164.38799999999992</v>
      </c>
      <c r="O33" s="463">
        <f>1964.741</f>
        <v>1964.741</v>
      </c>
      <c r="P33" s="463" t="e">
        <f>#REF!</f>
        <v>#REF!</v>
      </c>
      <c r="Q33" s="463" t="e">
        <f>#REF!</f>
        <v>#REF!</v>
      </c>
      <c r="R33" s="463" t="e">
        <f>#REF!</f>
        <v>#REF!</v>
      </c>
      <c r="S33" s="463" t="e">
        <f>#REF!</f>
        <v>#REF!</v>
      </c>
      <c r="T33" s="463">
        <v>1797</v>
      </c>
      <c r="U33" s="463" t="e">
        <f>#REF!</f>
        <v>#REF!</v>
      </c>
      <c r="V33" s="463" t="e">
        <f>#REF!</f>
        <v>#REF!</v>
      </c>
      <c r="W33" s="463" t="e">
        <f>#REF!</f>
        <v>#REF!</v>
      </c>
      <c r="X33" s="463" t="e">
        <f>#REF!</f>
        <v>#REF!</v>
      </c>
      <c r="Y33" s="463">
        <v>1620</v>
      </c>
      <c r="Z33" s="463" t="e">
        <f>#REF!</f>
        <v>#REF!</v>
      </c>
      <c r="AA33" s="463" t="e">
        <f>#REF!</f>
        <v>#REF!</v>
      </c>
      <c r="AB33" s="463" t="e">
        <f>#REF!</f>
        <v>#REF!</v>
      </c>
      <c r="AC33" s="463" t="e">
        <f>#REF!</f>
        <v>#REF!</v>
      </c>
      <c r="AD33" s="463">
        <v>1292</v>
      </c>
      <c r="AE33" s="463" t="e">
        <f>#REF!</f>
        <v>#REF!</v>
      </c>
      <c r="AF33" s="463" t="e">
        <f>#REF!</f>
        <v>#REF!</v>
      </c>
      <c r="AG33" s="463" t="e">
        <f>#REF!</f>
        <v>#REF!</v>
      </c>
      <c r="AH33" s="463" t="e">
        <f>#REF!</f>
        <v>#REF!</v>
      </c>
      <c r="AI33" s="463">
        <f>'Reported Rev.. Split'!K6</f>
        <v>1213</v>
      </c>
      <c r="AJ33" s="463" t="e">
        <f>#REF!</f>
        <v>#REF!</v>
      </c>
      <c r="AK33" s="463" t="e">
        <f>#REF!</f>
        <v>#REF!</v>
      </c>
      <c r="AL33" s="463" t="e">
        <f>#REF!</f>
        <v>#REF!</v>
      </c>
      <c r="AM33" s="463" t="e">
        <f>AN33-(AJ33+AK33+AL33)</f>
        <v>#REF!</v>
      </c>
      <c r="AN33" s="463">
        <f>'Reported Rev.. Split'!J6</f>
        <v>1258</v>
      </c>
      <c r="AO33" s="463" t="e">
        <f>#REF!</f>
        <v>#REF!</v>
      </c>
      <c r="AP33" s="463" t="e">
        <f>#REF!</f>
        <v>#REF!</v>
      </c>
      <c r="AQ33" s="463" t="e">
        <f>#REF!</f>
        <v>#REF!</v>
      </c>
      <c r="AR33" s="71" t="e">
        <f>AS33-(AO33+AP33+AQ33)</f>
        <v>#REF!</v>
      </c>
      <c r="AS33" s="463">
        <f>'Reported Rev.. Split'!I6</f>
        <v>1481</v>
      </c>
      <c r="AT33" s="463" t="e">
        <f>#REF!</f>
        <v>#REF!</v>
      </c>
      <c r="AU33" s="463" t="e">
        <f>#REF!</f>
        <v>#REF!</v>
      </c>
      <c r="AV33" s="463" t="e">
        <f>#REF!</f>
        <v>#REF!</v>
      </c>
      <c r="AW33" s="463" t="e">
        <f>AX33-(AT33+AU33+AV33)</f>
        <v>#REF!</v>
      </c>
      <c r="AX33" s="463">
        <f>'Reported Rev.. Split'!H6</f>
        <v>1330</v>
      </c>
      <c r="AY33" s="481">
        <f>'Reported Rev.. Split'!AE6</f>
        <v>271</v>
      </c>
      <c r="AZ33" s="481">
        <f>'Reported Rev.. Split'!AD6</f>
        <v>301</v>
      </c>
      <c r="BA33" s="481">
        <f>'Reported Rev.. Split'!AC6</f>
        <v>274</v>
      </c>
      <c r="BB33" s="481">
        <f>BC33-(AY33+AZ33+BA33)</f>
        <v>337</v>
      </c>
      <c r="BC33" s="463">
        <f>'Reported Rev.. Split'!G6</f>
        <v>1183</v>
      </c>
      <c r="BD33" s="481">
        <f>'Reported Rev.. Split'!AA6</f>
        <v>346</v>
      </c>
      <c r="BE33" s="481">
        <f>'Reported Rev.. Split'!Z6</f>
        <v>370</v>
      </c>
      <c r="BF33" s="481">
        <f>'Reported Rev.. Split'!Y6</f>
        <v>392</v>
      </c>
      <c r="BG33" s="481">
        <f>BH33-(BD33+BE33+BF33)</f>
        <v>660</v>
      </c>
      <c r="BH33" s="463">
        <f>'Reported Rev.. Split'!F6</f>
        <v>1768</v>
      </c>
      <c r="BI33" s="830">
        <f>'Reported Rev.. Split'!W6</f>
        <v>728</v>
      </c>
      <c r="BJ33" s="481">
        <f>'Reported Rev.. Split'!E6</f>
        <v>3031</v>
      </c>
      <c r="BK33" s="463">
        <f>'Reported Rev.. Split'!V6</f>
        <v>530</v>
      </c>
      <c r="BL33" s="463">
        <f>'Reported Rev.. Split'!U6</f>
        <v>505</v>
      </c>
      <c r="BM33" s="463">
        <f>'Reported Rev.. Split'!T6</f>
        <v>477</v>
      </c>
      <c r="BN33" s="463">
        <f>'Reported Rev.. Split'!S6</f>
        <v>461</v>
      </c>
      <c r="BO33" s="481">
        <f>'Reported Rev.. Split'!D6</f>
        <v>1973</v>
      </c>
      <c r="BP33" s="463">
        <f>'Reported Rev.. Split'!R6</f>
        <v>367</v>
      </c>
      <c r="BQ33" s="463">
        <f>'Reported Rev.. Split'!Q6</f>
        <v>381</v>
      </c>
      <c r="BR33" s="463">
        <f>'Reported Rev.. Split'!P6</f>
        <v>341</v>
      </c>
      <c r="BS33" s="463">
        <f>'Reported Rev.. Split'!O6</f>
        <v>373</v>
      </c>
      <c r="BT33" s="463">
        <f>BP33+BQ33+BR33+BS33</f>
        <v>1462</v>
      </c>
      <c r="BU33" s="463">
        <f>'Reported Rev.. Split'!N6</f>
        <v>358</v>
      </c>
      <c r="BV33" s="463">
        <f>'Reported Rev.. Split'!M6</f>
        <v>347</v>
      </c>
      <c r="BW33" s="632">
        <f>BW31*BW16</f>
        <v>1472</v>
      </c>
      <c r="CC33" s="62"/>
    </row>
    <row r="34" spans="1:81" ht="15" x14ac:dyDescent="0.2">
      <c r="A34" s="158" t="s">
        <v>179</v>
      </c>
      <c r="B34" s="53" t="e">
        <f>B33+85.837</f>
        <v>#REF!</v>
      </c>
      <c r="C34" s="53" t="e">
        <f>C33+103.063</f>
        <v>#REF!</v>
      </c>
      <c r="D34" s="53" t="e">
        <f>D33+136.273</f>
        <v>#REF!</v>
      </c>
      <c r="E34" s="53" t="e">
        <f>E33+133.722</f>
        <v>#REF!</v>
      </c>
      <c r="F34" s="53">
        <f>F33+29.68</f>
        <v>275.84800000000001</v>
      </c>
      <c r="G34" s="53">
        <f>G33+38.102</f>
        <v>303.81199999999995</v>
      </c>
      <c r="H34" s="53">
        <f>H33+40.02</f>
        <v>357.74599999999998</v>
      </c>
      <c r="I34" s="53" t="e">
        <f>J34-(F34+G34+H34)</f>
        <v>#REF!</v>
      </c>
      <c r="J34" s="53" t="e">
        <f>J33+158.183</f>
        <v>#REF!</v>
      </c>
      <c r="K34" s="53">
        <f>K33+58.309</f>
        <v>581.43799999999999</v>
      </c>
      <c r="L34" s="53">
        <f>L33+83.313</f>
        <v>854.23299999999995</v>
      </c>
      <c r="M34" s="53">
        <f>M33+102.555</f>
        <v>937.63499999999999</v>
      </c>
      <c r="N34" s="53">
        <f>O34-(K34+L34+M34)</f>
        <v>-174.97799999999961</v>
      </c>
      <c r="O34" s="53">
        <f>2198.328</f>
        <v>2198.328</v>
      </c>
      <c r="P34" s="53" t="e">
        <f>P33+40.747</f>
        <v>#REF!</v>
      </c>
      <c r="Q34" s="53">
        <v>240.5</v>
      </c>
      <c r="R34" s="53">
        <f>477.6</f>
        <v>477.6</v>
      </c>
      <c r="S34" s="53" t="e">
        <f>T34-(P34+Q34+R34)</f>
        <v>#REF!</v>
      </c>
      <c r="T34" s="53">
        <v>2027</v>
      </c>
      <c r="U34" s="53">
        <v>538.79999999999995</v>
      </c>
      <c r="V34" s="53">
        <v>563.70000000000005</v>
      </c>
      <c r="W34" s="53" t="e">
        <f>W33+47.709</f>
        <v>#REF!</v>
      </c>
      <c r="X34" s="53" t="e">
        <f>X33+47.709</f>
        <v>#REF!</v>
      </c>
      <c r="Y34" s="53">
        <v>1816</v>
      </c>
      <c r="Z34" s="53" t="e">
        <f>Z33+46.019</f>
        <v>#REF!</v>
      </c>
      <c r="AA34" s="53" t="e">
        <f>AA33+61.6</f>
        <v>#REF!</v>
      </c>
      <c r="AB34" s="53" t="e">
        <f>AB33+62.827</f>
        <v>#REF!</v>
      </c>
      <c r="AC34" s="53" t="e">
        <f>AC33+62.827</f>
        <v>#REF!</v>
      </c>
      <c r="AD34" s="53">
        <v>1450</v>
      </c>
      <c r="AE34" s="53" t="e">
        <f>AE33+46.019</f>
        <v>#REF!</v>
      </c>
      <c r="AF34" s="53" t="e">
        <f>AF33+69</f>
        <v>#REF!</v>
      </c>
      <c r="AG34" s="53" t="e">
        <f>AG33+62.827</f>
        <v>#REF!</v>
      </c>
      <c r="AH34" s="53" t="e">
        <f>AI34-(AE34+AF34+AG34)</f>
        <v>#REF!</v>
      </c>
      <c r="AI34" s="53">
        <f>AI33+135</f>
        <v>1348</v>
      </c>
      <c r="AJ34" s="53" t="e">
        <f>AJ33+54.439</f>
        <v>#REF!</v>
      </c>
      <c r="AK34" s="53" t="e">
        <f>AK33+67</f>
        <v>#REF!</v>
      </c>
      <c r="AL34" s="53" t="e">
        <f>AL33+59</f>
        <v>#REF!</v>
      </c>
      <c r="AM34" s="53" t="e">
        <f>AN34-(AJ34+AK34+AL34)</f>
        <v>#REF!</v>
      </c>
      <c r="AN34" s="53">
        <f>AN33+125</f>
        <v>1383</v>
      </c>
      <c r="AO34" s="53" t="e">
        <f>AO33+45.647</f>
        <v>#REF!</v>
      </c>
      <c r="AP34" s="53" t="e">
        <f>AP33+57.359</f>
        <v>#REF!</v>
      </c>
      <c r="AQ34" s="53">
        <v>450.02800000000002</v>
      </c>
      <c r="AR34" s="53" t="e">
        <f>AS34-(AO34+AP34+AQ34)</f>
        <v>#REF!</v>
      </c>
      <c r="AS34" s="53">
        <f>AS33+142</f>
        <v>1623</v>
      </c>
      <c r="AT34" s="53" t="e">
        <f>AT33+34.819</f>
        <v>#REF!</v>
      </c>
      <c r="AU34" s="53" t="e">
        <f>AU33+37</f>
        <v>#REF!</v>
      </c>
      <c r="AV34" s="53" t="e">
        <f>AV33+43</f>
        <v>#REF!</v>
      </c>
      <c r="AW34" s="53" t="e">
        <f>AX34-(AT34+AU34+AV34)</f>
        <v>#REF!</v>
      </c>
      <c r="AX34" s="53">
        <f>AX33+164</f>
        <v>1494</v>
      </c>
      <c r="AY34" s="140">
        <f>AY33+43</f>
        <v>314</v>
      </c>
      <c r="AZ34" s="140">
        <f>AZ33+39</f>
        <v>340</v>
      </c>
      <c r="BA34" s="140">
        <f>BA33+39</f>
        <v>313</v>
      </c>
      <c r="BB34" s="140">
        <f>BC34-(AY34+AZ34+BA34)</f>
        <v>379</v>
      </c>
      <c r="BC34" s="53">
        <f>1346</f>
        <v>1346</v>
      </c>
      <c r="BD34" s="140">
        <v>385</v>
      </c>
      <c r="BE34" s="140">
        <f>412</f>
        <v>412</v>
      </c>
      <c r="BF34" s="140">
        <f>436</f>
        <v>436</v>
      </c>
      <c r="BG34" s="140">
        <f>BH34-(BD34+BE34+BF34)</f>
        <v>698</v>
      </c>
      <c r="BH34" s="53">
        <v>1931</v>
      </c>
      <c r="BI34" s="831">
        <v>795</v>
      </c>
      <c r="BJ34" s="140">
        <f>BJ33+282</f>
        <v>3313</v>
      </c>
      <c r="BK34" s="53">
        <f>BK33+53</f>
        <v>583</v>
      </c>
      <c r="BL34" s="53">
        <v>546</v>
      </c>
      <c r="BM34" s="53">
        <v>526</v>
      </c>
      <c r="BN34" s="71">
        <f>BO34-BK34-BL34-BM34</f>
        <v>447</v>
      </c>
      <c r="BO34" s="140">
        <f>BO33+129</f>
        <v>2102</v>
      </c>
      <c r="BP34" s="53">
        <f>BP33+31</f>
        <v>398</v>
      </c>
      <c r="BQ34" s="53">
        <f>BQ33+41</f>
        <v>422</v>
      </c>
      <c r="BR34" s="53">
        <f>BR33+48</f>
        <v>389</v>
      </c>
      <c r="BS34" s="53">
        <f>BS33+49</f>
        <v>422</v>
      </c>
      <c r="BT34" s="71">
        <f>BP34+BQ34+BR34+BS34</f>
        <v>1631</v>
      </c>
      <c r="BU34" s="53">
        <f>BU33+47</f>
        <v>405</v>
      </c>
      <c r="BV34" s="53">
        <f>BV33+36</f>
        <v>383</v>
      </c>
      <c r="BW34" s="62"/>
    </row>
    <row r="35" spans="1:81" ht="15" customHeight="1" x14ac:dyDescent="0.2">
      <c r="A35" s="29" t="s">
        <v>114</v>
      </c>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6"/>
      <c r="BB35" s="26"/>
      <c r="BC35" s="26"/>
      <c r="BD35" s="26"/>
      <c r="BE35" s="26"/>
      <c r="BF35" s="26"/>
      <c r="BG35" s="26"/>
      <c r="BH35" s="26"/>
      <c r="BI35" s="26"/>
      <c r="BJ35" s="29"/>
      <c r="BK35" s="29"/>
      <c r="BL35" s="29"/>
      <c r="BM35" s="29"/>
      <c r="BN35" s="29"/>
      <c r="BO35" s="29"/>
      <c r="BP35" s="29"/>
      <c r="BQ35" s="29"/>
      <c r="BR35" s="29"/>
      <c r="BS35" s="29"/>
      <c r="BT35" s="29"/>
      <c r="BU35" s="29"/>
      <c r="BV35" s="29"/>
      <c r="BW35" s="29"/>
    </row>
    <row r="36" spans="1:81" ht="19.5" customHeight="1" x14ac:dyDescent="0.2">
      <c r="A36" s="158" t="s">
        <v>285</v>
      </c>
      <c r="B36" s="53" t="e">
        <f>#REF!</f>
        <v>#REF!</v>
      </c>
      <c r="C36" s="53" t="e">
        <f>#REF!</f>
        <v>#REF!</v>
      </c>
      <c r="D36" s="53" t="e">
        <f>#REF!</f>
        <v>#REF!</v>
      </c>
      <c r="E36" s="53" t="e">
        <f>#REF!</f>
        <v>#REF!</v>
      </c>
      <c r="F36" s="53">
        <f>F33</f>
        <v>246.16800000000001</v>
      </c>
      <c r="G36" s="53">
        <f>G33</f>
        <v>265.70999999999998</v>
      </c>
      <c r="H36" s="53">
        <f>H33</f>
        <v>317.726</v>
      </c>
      <c r="I36" s="53" t="e">
        <f>I33</f>
        <v>#REF!</v>
      </c>
      <c r="J36" s="53" t="e">
        <f>#REF!</f>
        <v>#REF!</v>
      </c>
      <c r="K36" s="53">
        <f>K33</f>
        <v>523.12900000000002</v>
      </c>
      <c r="L36" s="53">
        <f>L33</f>
        <v>770.92</v>
      </c>
      <c r="M36" s="53">
        <f>M33</f>
        <v>835.08</v>
      </c>
      <c r="N36" s="53">
        <f>N33</f>
        <v>-164.38799999999992</v>
      </c>
      <c r="O36" s="53">
        <f>O33</f>
        <v>1964.741</v>
      </c>
      <c r="P36" s="53" t="e">
        <f>#REF!</f>
        <v>#REF!</v>
      </c>
      <c r="Q36" s="53" t="e">
        <f>#REF!</f>
        <v>#REF!</v>
      </c>
      <c r="R36" s="53" t="e">
        <f>#REF!</f>
        <v>#REF!</v>
      </c>
      <c r="S36" s="53" t="e">
        <f>#REF!</f>
        <v>#REF!</v>
      </c>
      <c r="T36" s="53">
        <f>T33</f>
        <v>1797</v>
      </c>
      <c r="U36" s="53" t="e">
        <f>#REF!</f>
        <v>#REF!</v>
      </c>
      <c r="V36" s="53" t="e">
        <f>#REF!</f>
        <v>#REF!</v>
      </c>
      <c r="W36" s="53" t="e">
        <f>#REF!</f>
        <v>#REF!</v>
      </c>
      <c r="X36" s="53" t="e">
        <f>#REF!</f>
        <v>#REF!</v>
      </c>
      <c r="Y36" s="53">
        <f>Y33</f>
        <v>1620</v>
      </c>
      <c r="Z36" s="53" t="e">
        <f>#REF!</f>
        <v>#REF!</v>
      </c>
      <c r="AA36" s="53" t="e">
        <f>#REF!</f>
        <v>#REF!</v>
      </c>
      <c r="AB36" s="53" t="e">
        <f>#REF!</f>
        <v>#REF!</v>
      </c>
      <c r="AC36" s="53" t="e">
        <f>#REF!</f>
        <v>#REF!</v>
      </c>
      <c r="AD36" s="53">
        <f>AD33</f>
        <v>1292</v>
      </c>
      <c r="AE36" s="53" t="e">
        <f>#REF!</f>
        <v>#REF!</v>
      </c>
      <c r="AF36" s="53" t="e">
        <f>#REF!</f>
        <v>#REF!</v>
      </c>
      <c r="AG36" s="53" t="e">
        <f>#REF!</f>
        <v>#REF!</v>
      </c>
      <c r="AH36" s="53" t="e">
        <f>AI36-(AE36+AF36+AG36)</f>
        <v>#REF!</v>
      </c>
      <c r="AI36" s="53">
        <f>AI33</f>
        <v>1213</v>
      </c>
      <c r="AJ36" s="53" t="e">
        <f>#REF!</f>
        <v>#REF!</v>
      </c>
      <c r="AK36" s="53" t="e">
        <f>#REF!</f>
        <v>#REF!</v>
      </c>
      <c r="AL36" s="53" t="e">
        <f>#REF!</f>
        <v>#REF!</v>
      </c>
      <c r="AM36" s="53" t="e">
        <f>AN36-(AJ36+AK36+AL36)</f>
        <v>#REF!</v>
      </c>
      <c r="AN36" s="53">
        <f>AN33</f>
        <v>1258</v>
      </c>
      <c r="AO36" s="53" t="e">
        <f>#REF!</f>
        <v>#REF!</v>
      </c>
      <c r="AP36" s="53" t="e">
        <f>#REF!</f>
        <v>#REF!</v>
      </c>
      <c r="AQ36" s="53" t="e">
        <f>#REF!</f>
        <v>#REF!</v>
      </c>
      <c r="AR36" s="53" t="e">
        <f>AS36-(AO36+AP36+AQ36)</f>
        <v>#REF!</v>
      </c>
      <c r="AS36" s="53">
        <f>AS33</f>
        <v>1481</v>
      </c>
      <c r="AT36" s="53" t="e">
        <f>#REF!</f>
        <v>#REF!</v>
      </c>
      <c r="AU36" s="53" t="e">
        <f>#REF!</f>
        <v>#REF!</v>
      </c>
      <c r="AV36" s="53" t="e">
        <f>#REF!</f>
        <v>#REF!</v>
      </c>
      <c r="AW36" s="53" t="e">
        <f>AX36-(AT36+AU36+AV36)</f>
        <v>#REF!</v>
      </c>
      <c r="AX36" s="53">
        <f>AX33</f>
        <v>1330</v>
      </c>
      <c r="AY36" s="140">
        <f>AY33</f>
        <v>271</v>
      </c>
      <c r="AZ36" s="140">
        <f>AZ33</f>
        <v>301</v>
      </c>
      <c r="BA36" s="140">
        <f>BA33</f>
        <v>274</v>
      </c>
      <c r="BB36" s="481">
        <f>BC36-(AY36+AZ36+BA36)</f>
        <v>337</v>
      </c>
      <c r="BC36" s="463">
        <f>BC33</f>
        <v>1183</v>
      </c>
      <c r="BD36" s="463">
        <f>BD33</f>
        <v>346</v>
      </c>
      <c r="BE36" s="463">
        <f>BE33</f>
        <v>370</v>
      </c>
      <c r="BF36" s="463">
        <f>BF33</f>
        <v>392</v>
      </c>
      <c r="BG36" s="463">
        <f>BH36-(BD36+BE36+BF36)</f>
        <v>660</v>
      </c>
      <c r="BH36" s="463">
        <f t="shared" ref="BH36:BW36" si="35">BH33</f>
        <v>1768</v>
      </c>
      <c r="BI36" s="830">
        <f t="shared" si="35"/>
        <v>728</v>
      </c>
      <c r="BJ36" s="481">
        <f t="shared" si="35"/>
        <v>3031</v>
      </c>
      <c r="BK36" s="463">
        <f t="shared" si="35"/>
        <v>530</v>
      </c>
      <c r="BL36" s="463">
        <f t="shared" si="35"/>
        <v>505</v>
      </c>
      <c r="BM36" s="463">
        <f t="shared" si="35"/>
        <v>477</v>
      </c>
      <c r="BN36" s="481">
        <f t="shared" ref="BN36:BS36" si="36">BN33</f>
        <v>461</v>
      </c>
      <c r="BO36" s="481">
        <f t="shared" si="36"/>
        <v>1973</v>
      </c>
      <c r="BP36" s="463">
        <f t="shared" si="36"/>
        <v>367</v>
      </c>
      <c r="BQ36" s="463">
        <f t="shared" si="36"/>
        <v>381</v>
      </c>
      <c r="BR36" s="463">
        <f t="shared" si="36"/>
        <v>341</v>
      </c>
      <c r="BS36" s="463">
        <f t="shared" si="36"/>
        <v>373</v>
      </c>
      <c r="BT36" s="463">
        <f t="shared" ref="BT36:BU36" si="37">BT33</f>
        <v>1462</v>
      </c>
      <c r="BU36" s="463">
        <f t="shared" si="37"/>
        <v>358</v>
      </c>
      <c r="BV36" s="463">
        <f t="shared" ref="BV36" si="38">BV33</f>
        <v>347</v>
      </c>
      <c r="BW36" s="62">
        <f t="shared" si="35"/>
        <v>1472</v>
      </c>
      <c r="BY36" s="62"/>
    </row>
    <row r="37" spans="1:81" ht="15" customHeight="1" x14ac:dyDescent="0.2">
      <c r="A37" s="158" t="s">
        <v>180</v>
      </c>
      <c r="B37" s="53" t="e">
        <f t="shared" ref="B37:AH37" si="39">B36/B16</f>
        <v>#REF!</v>
      </c>
      <c r="C37" s="53" t="e">
        <f t="shared" si="39"/>
        <v>#REF!</v>
      </c>
      <c r="D37" s="53" t="e">
        <f t="shared" si="39"/>
        <v>#REF!</v>
      </c>
      <c r="E37" s="53" t="e">
        <f t="shared" si="39"/>
        <v>#REF!</v>
      </c>
      <c r="F37" s="53">
        <f t="shared" si="39"/>
        <v>209.86189258312021</v>
      </c>
      <c r="G37" s="53">
        <f t="shared" si="39"/>
        <v>214.45520581113797</v>
      </c>
      <c r="H37" s="53">
        <f t="shared" si="39"/>
        <v>235.52705707931801</v>
      </c>
      <c r="I37" s="53" t="e">
        <f t="shared" si="39"/>
        <v>#REF!</v>
      </c>
      <c r="J37" s="53" t="e">
        <f t="shared" si="39"/>
        <v>#REF!</v>
      </c>
      <c r="K37" s="53">
        <f t="shared" si="39"/>
        <v>376.3517985611511</v>
      </c>
      <c r="L37" s="53">
        <f t="shared" si="39"/>
        <v>545.59094125973104</v>
      </c>
      <c r="M37" s="53">
        <f t="shared" si="39"/>
        <v>708.29516539440203</v>
      </c>
      <c r="N37" s="53">
        <f t="shared" si="39"/>
        <v>-464.37288135593184</v>
      </c>
      <c r="O37" s="53">
        <f t="shared" si="39"/>
        <v>453.12292435424348</v>
      </c>
      <c r="P37" s="53" t="e">
        <f t="shared" si="39"/>
        <v>#REF!</v>
      </c>
      <c r="Q37" s="53" t="e">
        <f t="shared" si="39"/>
        <v>#REF!</v>
      </c>
      <c r="R37" s="53" t="e">
        <f t="shared" si="39"/>
        <v>#REF!</v>
      </c>
      <c r="S37" s="53" t="e">
        <f t="shared" si="39"/>
        <v>#REF!</v>
      </c>
      <c r="T37" s="53">
        <f t="shared" si="39"/>
        <v>381.36672325976235</v>
      </c>
      <c r="U37" s="53" t="e">
        <f t="shared" si="39"/>
        <v>#REF!</v>
      </c>
      <c r="V37" s="53" t="e">
        <f t="shared" si="39"/>
        <v>#REF!</v>
      </c>
      <c r="W37" s="53" t="e">
        <f t="shared" si="39"/>
        <v>#REF!</v>
      </c>
      <c r="X37" s="53" t="e">
        <f t="shared" si="39"/>
        <v>#REF!</v>
      </c>
      <c r="Y37" s="53">
        <f t="shared" si="39"/>
        <v>321.81168057210965</v>
      </c>
      <c r="Z37" s="53" t="e">
        <f t="shared" si="39"/>
        <v>#REF!</v>
      </c>
      <c r="AA37" s="53" t="e">
        <f t="shared" si="39"/>
        <v>#REF!</v>
      </c>
      <c r="AB37" s="53" t="e">
        <f t="shared" si="39"/>
        <v>#REF!</v>
      </c>
      <c r="AC37" s="53" t="e">
        <f t="shared" si="39"/>
        <v>#REF!</v>
      </c>
      <c r="AD37" s="79">
        <f t="shared" si="39"/>
        <v>303.35759567973702</v>
      </c>
      <c r="AE37" s="79" t="e">
        <f t="shared" si="39"/>
        <v>#REF!</v>
      </c>
      <c r="AF37" s="79" t="e">
        <f t="shared" si="39"/>
        <v>#REF!</v>
      </c>
      <c r="AG37" s="79" t="e">
        <f t="shared" si="39"/>
        <v>#REF!</v>
      </c>
      <c r="AH37" s="79" t="e">
        <f t="shared" si="39"/>
        <v>#REF!</v>
      </c>
      <c r="AI37" s="79">
        <f>AI31</f>
        <v>259.05</v>
      </c>
      <c r="AJ37" s="79" t="e">
        <f>AJ36/AJ16</f>
        <v>#REF!</v>
      </c>
      <c r="AK37" s="79" t="e">
        <f>AK36/AK16</f>
        <v>#REF!</v>
      </c>
      <c r="AL37" s="79" t="e">
        <f>AL36/AL16</f>
        <v>#REF!</v>
      </c>
      <c r="AM37" s="79" t="e">
        <f>AM36/AM16</f>
        <v>#REF!</v>
      </c>
      <c r="AN37" s="79">
        <f>AN31</f>
        <v>236.2</v>
      </c>
      <c r="AO37" s="79" t="e">
        <f>AO36/AO16</f>
        <v>#REF!</v>
      </c>
      <c r="AP37" s="79" t="e">
        <f>AP36/AP16</f>
        <v>#REF!</v>
      </c>
      <c r="AQ37" s="79" t="e">
        <f>AQ36/AQ16</f>
        <v>#REF!</v>
      </c>
      <c r="AR37" s="79" t="e">
        <f>AR36/AR16</f>
        <v>#REF!</v>
      </c>
      <c r="AS37" s="79">
        <v>277.60000000000002</v>
      </c>
      <c r="AT37" s="79" t="e">
        <f>AT36/AT16</f>
        <v>#REF!</v>
      </c>
      <c r="AU37" s="79" t="e">
        <f>AU36/AU16</f>
        <v>#REF!</v>
      </c>
      <c r="AV37" s="79" t="e">
        <f>AV36/AV16</f>
        <v>#REF!</v>
      </c>
      <c r="AW37" s="79" t="e">
        <f>AW36/AW16</f>
        <v>#REF!</v>
      </c>
      <c r="AX37" s="79">
        <v>286</v>
      </c>
      <c r="AY37" s="142">
        <v>250</v>
      </c>
      <c r="AZ37" s="142">
        <v>226</v>
      </c>
      <c r="BA37" s="142">
        <v>220</v>
      </c>
      <c r="BB37" s="751">
        <f>BC37</f>
        <v>230</v>
      </c>
      <c r="BC37" s="79">
        <v>230</v>
      </c>
      <c r="BD37" s="79">
        <v>257</v>
      </c>
      <c r="BE37" s="79">
        <v>281</v>
      </c>
      <c r="BF37" s="79">
        <v>317</v>
      </c>
      <c r="BG37" s="79">
        <f>BH37</f>
        <v>337</v>
      </c>
      <c r="BH37" s="79">
        <v>337</v>
      </c>
      <c r="BI37" s="928">
        <v>601</v>
      </c>
      <c r="BJ37" s="142">
        <f>BJ31</f>
        <v>682</v>
      </c>
      <c r="BK37" s="79">
        <v>541</v>
      </c>
      <c r="BL37" s="79">
        <v>403</v>
      </c>
      <c r="BM37" s="79">
        <v>342</v>
      </c>
      <c r="BN37" s="79">
        <v>343</v>
      </c>
      <c r="BO37" s="142">
        <f>BO31</f>
        <v>393</v>
      </c>
      <c r="BP37" s="79">
        <v>324</v>
      </c>
      <c r="BQ37" s="79">
        <v>300</v>
      </c>
      <c r="BR37" s="79">
        <f>BM37-45</f>
        <v>297</v>
      </c>
      <c r="BS37" s="79">
        <v>285</v>
      </c>
      <c r="BT37" s="79">
        <f>BT31</f>
        <v>302</v>
      </c>
      <c r="BU37" s="79">
        <v>300</v>
      </c>
      <c r="BV37" s="79">
        <v>333</v>
      </c>
      <c r="BW37" s="751">
        <v>320</v>
      </c>
      <c r="BY37" s="62">
        <f>'DCF 1.6.2025'!BA7</f>
        <v>333</v>
      </c>
      <c r="BZ37" s="62">
        <v>355</v>
      </c>
      <c r="CA37" s="261">
        <f>AX65</f>
        <v>339.963768115942</v>
      </c>
      <c r="CB37" s="62">
        <f>BW37</f>
        <v>320</v>
      </c>
    </row>
    <row r="38" spans="1:81" ht="30" customHeight="1" x14ac:dyDescent="0.2">
      <c r="A38" s="158" t="s">
        <v>116</v>
      </c>
      <c r="B38" s="53" t="e">
        <f t="shared" ref="B38:AG38" si="40">B36-B40</f>
        <v>#REF!</v>
      </c>
      <c r="C38" s="53" t="e">
        <f t="shared" si="40"/>
        <v>#REF!</v>
      </c>
      <c r="D38" s="53" t="e">
        <f t="shared" si="40"/>
        <v>#REF!</v>
      </c>
      <c r="E38" s="53" t="e">
        <f t="shared" si="40"/>
        <v>#REF!</v>
      </c>
      <c r="F38" s="53">
        <f t="shared" si="40"/>
        <v>183.952</v>
      </c>
      <c r="G38" s="53">
        <f t="shared" si="40"/>
        <v>184.351</v>
      </c>
      <c r="H38" s="53">
        <f t="shared" si="40"/>
        <v>201.88400000000001</v>
      </c>
      <c r="I38" s="53" t="e">
        <f t="shared" si="40"/>
        <v>#REF!</v>
      </c>
      <c r="J38" s="53" t="e">
        <f t="shared" si="40"/>
        <v>#REF!</v>
      </c>
      <c r="K38" s="53">
        <f t="shared" si="40"/>
        <v>242.59700000000004</v>
      </c>
      <c r="L38" s="53">
        <f t="shared" si="40"/>
        <v>283.45799999999997</v>
      </c>
      <c r="M38" s="53">
        <f t="shared" si="40"/>
        <v>238.245</v>
      </c>
      <c r="N38" s="53">
        <f t="shared" si="40"/>
        <v>203.95000000000005</v>
      </c>
      <c r="O38" s="140">
        <f>O36-O40</f>
        <v>968.25</v>
      </c>
      <c r="P38" s="53" t="e">
        <f t="shared" si="40"/>
        <v>#REF!</v>
      </c>
      <c r="Q38" s="53" t="e">
        <f t="shared" si="40"/>
        <v>#REF!</v>
      </c>
      <c r="R38" s="53" t="e">
        <f t="shared" si="40"/>
        <v>#REF!</v>
      </c>
      <c r="S38" s="53" t="e">
        <f t="shared" si="40"/>
        <v>#REF!</v>
      </c>
      <c r="T38" s="140">
        <f>T36-T40</f>
        <v>1057</v>
      </c>
      <c r="U38" s="53" t="e">
        <f t="shared" si="40"/>
        <v>#REF!</v>
      </c>
      <c r="V38" s="53" t="e">
        <f t="shared" si="40"/>
        <v>#REF!</v>
      </c>
      <c r="W38" s="53" t="e">
        <f t="shared" si="40"/>
        <v>#REF!</v>
      </c>
      <c r="X38" s="53" t="e">
        <f t="shared" si="40"/>
        <v>#REF!</v>
      </c>
      <c r="Y38" s="140">
        <f>Y36-Y40</f>
        <v>1084</v>
      </c>
      <c r="Z38" s="53" t="e">
        <f t="shared" si="40"/>
        <v>#REF!</v>
      </c>
      <c r="AA38" s="53" t="e">
        <f t="shared" si="40"/>
        <v>#REF!</v>
      </c>
      <c r="AB38" s="53" t="e">
        <f t="shared" si="40"/>
        <v>#REF!</v>
      </c>
      <c r="AC38" s="53" t="e">
        <f t="shared" si="40"/>
        <v>#REF!</v>
      </c>
      <c r="AD38" s="140">
        <f>AD36-AD40</f>
        <v>917</v>
      </c>
      <c r="AE38" s="53" t="e">
        <f t="shared" si="40"/>
        <v>#REF!</v>
      </c>
      <c r="AF38" s="53" t="e">
        <f t="shared" si="40"/>
        <v>#REF!</v>
      </c>
      <c r="AG38" s="53" t="e">
        <f t="shared" si="40"/>
        <v>#REF!</v>
      </c>
      <c r="AH38" s="53" t="e">
        <f>AI38-(AE38+AF38+AG38)</f>
        <v>#REF!</v>
      </c>
      <c r="AI38" s="140">
        <f>AI36-AI40</f>
        <v>968</v>
      </c>
      <c r="AJ38" s="53" t="e">
        <f>AJ36-AJ40</f>
        <v>#REF!</v>
      </c>
      <c r="AK38" s="53" t="e">
        <f>AK36-AK40</f>
        <v>#REF!</v>
      </c>
      <c r="AL38" s="53" t="e">
        <f>AL36-AL40</f>
        <v>#REF!</v>
      </c>
      <c r="AM38" s="53" t="e">
        <f>AN38-(AJ38+AK38+AL38)</f>
        <v>#REF!</v>
      </c>
      <c r="AN38" s="140">
        <f>AN36-AN40</f>
        <v>1060</v>
      </c>
      <c r="AO38" s="53" t="e">
        <f>AO36-AO40</f>
        <v>#REF!</v>
      </c>
      <c r="AP38" s="53" t="e">
        <f>AP36-AP40</f>
        <v>#REF!</v>
      </c>
      <c r="AQ38" s="53" t="e">
        <f>AQ36-AQ40</f>
        <v>#REF!</v>
      </c>
      <c r="AR38" s="53" t="e">
        <f>AS38-(AO38+AP38+AQ38)</f>
        <v>#REF!</v>
      </c>
      <c r="AS38" s="140">
        <f>AS36-AS40</f>
        <v>1166</v>
      </c>
      <c r="AT38" s="53" t="e">
        <f>AT36-AT40</f>
        <v>#REF!</v>
      </c>
      <c r="AU38" s="53" t="e">
        <f>AU36-AU40</f>
        <v>#REF!</v>
      </c>
      <c r="AV38" s="53" t="e">
        <f>AV36-AV40</f>
        <v>#REF!</v>
      </c>
      <c r="AW38" s="53" t="e">
        <f>AX38-(AT38+AU38+AV38)</f>
        <v>#REF!</v>
      </c>
      <c r="AX38" s="140">
        <f t="shared" ref="AX38:AZ39" si="41">AX36-AX40</f>
        <v>1041</v>
      </c>
      <c r="AY38" s="140">
        <f t="shared" si="41"/>
        <v>257</v>
      </c>
      <c r="AZ38" s="140">
        <f t="shared" si="41"/>
        <v>263</v>
      </c>
      <c r="BA38" s="140">
        <f t="shared" ref="BA38:BB38" si="42">BA36-BA40</f>
        <v>246</v>
      </c>
      <c r="BB38" s="140">
        <f t="shared" si="42"/>
        <v>297</v>
      </c>
      <c r="BC38" s="53">
        <f t="shared" ref="BC38:BG38" si="43">BC36-BC40</f>
        <v>1063</v>
      </c>
      <c r="BD38" s="53">
        <f t="shared" si="43"/>
        <v>317</v>
      </c>
      <c r="BE38" s="53">
        <f t="shared" si="43"/>
        <v>327</v>
      </c>
      <c r="BF38" s="53">
        <f t="shared" si="43"/>
        <v>309</v>
      </c>
      <c r="BG38" s="53">
        <f t="shared" si="43"/>
        <v>416</v>
      </c>
      <c r="BH38" s="53">
        <f t="shared" ref="BH38:BI38" si="44">BH36-BH40</f>
        <v>1369</v>
      </c>
      <c r="BI38" s="831">
        <f t="shared" si="44"/>
        <v>318</v>
      </c>
      <c r="BJ38" s="140">
        <f t="shared" ref="BJ38:BK38" si="45">BJ36-BJ40</f>
        <v>1209</v>
      </c>
      <c r="BK38" s="53">
        <f t="shared" si="45"/>
        <v>276</v>
      </c>
      <c r="BL38" s="53">
        <f t="shared" ref="BL38:BS38" si="46">BL36-BL40</f>
        <v>338</v>
      </c>
      <c r="BM38" s="53">
        <f t="shared" si="46"/>
        <v>352</v>
      </c>
      <c r="BN38" s="53">
        <f>BO38-BK38-BL38-BM38</f>
        <v>339</v>
      </c>
      <c r="BO38" s="140">
        <f t="shared" si="46"/>
        <v>1305</v>
      </c>
      <c r="BP38" s="53">
        <f t="shared" si="46"/>
        <v>305</v>
      </c>
      <c r="BQ38" s="53">
        <f t="shared" si="46"/>
        <v>321</v>
      </c>
      <c r="BR38" s="53">
        <f t="shared" si="46"/>
        <v>282</v>
      </c>
      <c r="BS38" s="53">
        <f t="shared" si="46"/>
        <v>304</v>
      </c>
      <c r="BT38" s="53">
        <f t="shared" ref="BT38:BU38" si="47">BT36-BT40</f>
        <v>1212</v>
      </c>
      <c r="BU38" s="53">
        <f t="shared" si="47"/>
        <v>302</v>
      </c>
      <c r="BV38" s="53">
        <f t="shared" ref="BV38" si="48">BV36-BV40</f>
        <v>295</v>
      </c>
      <c r="BW38" s="62">
        <f>BW36-BW40</f>
        <v>1127</v>
      </c>
      <c r="BY38" s="209"/>
      <c r="CA38" s="62"/>
    </row>
    <row r="39" spans="1:81" ht="30" customHeight="1" x14ac:dyDescent="0.2">
      <c r="A39" s="158" t="s">
        <v>117</v>
      </c>
      <c r="B39" s="79" t="e">
        <f t="shared" ref="B39:AH39" si="49">B38/B16</f>
        <v>#REF!</v>
      </c>
      <c r="C39" s="79" t="e">
        <f t="shared" si="49"/>
        <v>#REF!</v>
      </c>
      <c r="D39" s="79" t="e">
        <f t="shared" si="49"/>
        <v>#REF!</v>
      </c>
      <c r="E39" s="79" t="e">
        <f t="shared" si="49"/>
        <v>#REF!</v>
      </c>
      <c r="F39" s="79">
        <f t="shared" si="49"/>
        <v>156.82182438192669</v>
      </c>
      <c r="G39" s="79">
        <f t="shared" si="49"/>
        <v>148.79015334947536</v>
      </c>
      <c r="H39" s="79">
        <f t="shared" si="49"/>
        <v>149.65455893254264</v>
      </c>
      <c r="I39" s="79" t="e">
        <f t="shared" si="49"/>
        <v>#REF!</v>
      </c>
      <c r="J39" s="79" t="e">
        <f t="shared" si="49"/>
        <v>#REF!</v>
      </c>
      <c r="K39" s="79">
        <f t="shared" si="49"/>
        <v>174.53021582733817</v>
      </c>
      <c r="L39" s="79">
        <f t="shared" si="49"/>
        <v>200.60721868365178</v>
      </c>
      <c r="M39" s="79">
        <f t="shared" si="49"/>
        <v>202.07379134860051</v>
      </c>
      <c r="N39" s="79">
        <f t="shared" si="49"/>
        <v>576.12994350282486</v>
      </c>
      <c r="O39" s="142">
        <f>O37-O41</f>
        <v>223.30488929889296</v>
      </c>
      <c r="P39" s="79" t="e">
        <f t="shared" si="49"/>
        <v>#REF!</v>
      </c>
      <c r="Q39" s="79" t="e">
        <f t="shared" si="49"/>
        <v>#REF!</v>
      </c>
      <c r="R39" s="79" t="e">
        <f t="shared" si="49"/>
        <v>#REF!</v>
      </c>
      <c r="S39" s="79" t="e">
        <f t="shared" si="49"/>
        <v>#REF!</v>
      </c>
      <c r="T39" s="142">
        <f>T37-T41</f>
        <v>224.32088285229204</v>
      </c>
      <c r="U39" s="79" t="e">
        <f t="shared" si="49"/>
        <v>#REF!</v>
      </c>
      <c r="V39" s="79" t="e">
        <f t="shared" si="49"/>
        <v>#REF!</v>
      </c>
      <c r="W39" s="79" t="e">
        <f t="shared" si="49"/>
        <v>#REF!</v>
      </c>
      <c r="X39" s="79" t="e">
        <f t="shared" si="49"/>
        <v>#REF!</v>
      </c>
      <c r="Y39" s="142">
        <f>Y37-Y41</f>
        <v>215.33571712355979</v>
      </c>
      <c r="Z39" s="79" t="e">
        <f t="shared" si="49"/>
        <v>#REF!</v>
      </c>
      <c r="AA39" s="79" t="e">
        <f t="shared" si="49"/>
        <v>#REF!</v>
      </c>
      <c r="AB39" s="79" t="e">
        <f t="shared" si="49"/>
        <v>#REF!</v>
      </c>
      <c r="AC39" s="79" t="e">
        <f t="shared" si="49"/>
        <v>#REF!</v>
      </c>
      <c r="AD39" s="140">
        <f>AD37-AD41</f>
        <v>215.30875792439539</v>
      </c>
      <c r="AE39" s="53" t="e">
        <f t="shared" si="49"/>
        <v>#REF!</v>
      </c>
      <c r="AF39" s="53" t="e">
        <f t="shared" si="49"/>
        <v>#REF!</v>
      </c>
      <c r="AG39" s="53" t="e">
        <f t="shared" si="49"/>
        <v>#REF!</v>
      </c>
      <c r="AH39" s="53" t="e">
        <f t="shared" si="49"/>
        <v>#REF!</v>
      </c>
      <c r="AI39" s="140">
        <f>AI37-AI41</f>
        <v>208.19902449149026</v>
      </c>
      <c r="AJ39" s="53" t="e">
        <f>AJ38/AJ16</f>
        <v>#REF!</v>
      </c>
      <c r="AK39" s="53" t="e">
        <f>AK38/AK16</f>
        <v>#REF!</v>
      </c>
      <c r="AL39" s="53" t="e">
        <f>AL38/AL16</f>
        <v>#REF!</v>
      </c>
      <c r="AM39" s="53" t="e">
        <f>AM38/AM16</f>
        <v>#REF!</v>
      </c>
      <c r="AN39" s="140">
        <f>AN37-AN41</f>
        <v>194.41021528070917</v>
      </c>
      <c r="AO39" s="53" t="e">
        <f>AO38/AO16</f>
        <v>#REF!</v>
      </c>
      <c r="AP39" s="53" t="e">
        <f>AP38/AP16</f>
        <v>#REF!</v>
      </c>
      <c r="AQ39" s="53" t="e">
        <f>AQ38/AQ16</f>
        <v>#REF!</v>
      </c>
      <c r="AR39" s="53" t="e">
        <f>AR38/AR16</f>
        <v>#REF!</v>
      </c>
      <c r="AS39" s="140">
        <f>AS37-AS41</f>
        <v>209.27028199566163</v>
      </c>
      <c r="AT39" s="53" t="e">
        <f>AT38/AT16</f>
        <v>#REF!</v>
      </c>
      <c r="AU39" s="53" t="e">
        <f>AU38/AU16</f>
        <v>#REF!</v>
      </c>
      <c r="AV39" s="53" t="e">
        <f>AV38/AV16</f>
        <v>#REF!</v>
      </c>
      <c r="AW39" s="53" t="e">
        <f>AW38/AW21</f>
        <v>#REF!</v>
      </c>
      <c r="AX39" s="140">
        <f t="shared" si="41"/>
        <v>209.54497354497354</v>
      </c>
      <c r="AY39" s="140">
        <f t="shared" si="41"/>
        <v>233.71345159234724</v>
      </c>
      <c r="AZ39" s="140">
        <f t="shared" si="41"/>
        <v>190.98891677009209</v>
      </c>
      <c r="BA39" s="140">
        <f t="shared" ref="BA39:BB39" si="50">BA37-BA41</f>
        <v>191.21025971210258</v>
      </c>
      <c r="BB39" s="140">
        <f t="shared" si="50"/>
        <v>196.19923321701404</v>
      </c>
      <c r="BC39" s="53">
        <f t="shared" ref="BC39:BG39" si="51">BC37-BC41</f>
        <v>200.73848371286468</v>
      </c>
      <c r="BD39" s="53">
        <f t="shared" si="51"/>
        <v>226.98252453286733</v>
      </c>
      <c r="BE39" s="53">
        <f t="shared" si="51"/>
        <v>239.29174121857048</v>
      </c>
      <c r="BF39" s="53">
        <f t="shared" si="51"/>
        <v>230.23653521558998</v>
      </c>
      <c r="BG39" s="53">
        <f t="shared" si="51"/>
        <v>116.388679653189</v>
      </c>
      <c r="BH39" s="53">
        <f t="shared" ref="BH39:BI39" si="52">BH37-BH41</f>
        <v>238.71726804597139</v>
      </c>
      <c r="BI39" s="831">
        <f t="shared" si="52"/>
        <v>211.66650740563784</v>
      </c>
      <c r="BJ39" s="140">
        <f t="shared" ref="BJ39:BK39" si="53">BJ37-BJ41</f>
        <v>240.30303030303031</v>
      </c>
      <c r="BK39" s="53">
        <f t="shared" si="53"/>
        <v>248.87809085681425</v>
      </c>
      <c r="BL39" s="53">
        <f t="shared" ref="BL39:BR39" si="54">BL37-BL41</f>
        <v>259.52920962199312</v>
      </c>
      <c r="BM39" s="53">
        <f t="shared" si="54"/>
        <v>236.24703891708967</v>
      </c>
      <c r="BN39" s="53">
        <f t="shared" si="54"/>
        <v>231.43164151806127</v>
      </c>
      <c r="BO39" s="140">
        <f t="shared" si="54"/>
        <v>237.97563239730798</v>
      </c>
      <c r="BP39" s="53">
        <f t="shared" si="54"/>
        <v>261.3104145601618</v>
      </c>
      <c r="BQ39" s="53">
        <f t="shared" si="54"/>
        <v>243.39622641509433</v>
      </c>
      <c r="BR39" s="53">
        <f t="shared" si="54"/>
        <v>236.79591836734693</v>
      </c>
      <c r="BS39" s="53">
        <f t="shared" ref="BS39:BU39" si="55">BS37-BS41</f>
        <v>225.51724137931035</v>
      </c>
      <c r="BT39" s="53">
        <f t="shared" si="55"/>
        <v>242.31988541417999</v>
      </c>
      <c r="BU39" s="53">
        <f t="shared" si="55"/>
        <v>244.27860696517411</v>
      </c>
      <c r="BV39" s="53">
        <f t="shared" ref="BV39" si="56">BV37-BV41</f>
        <v>273.63926940639271</v>
      </c>
      <c r="BW39" s="62">
        <v>245</v>
      </c>
      <c r="BY39" s="46">
        <v>240</v>
      </c>
      <c r="BZ39" s="46">
        <v>255</v>
      </c>
      <c r="CA39" s="46">
        <v>245</v>
      </c>
      <c r="CB39" s="62">
        <v>245</v>
      </c>
    </row>
    <row r="40" spans="1:81" ht="15" customHeight="1" x14ac:dyDescent="0.2">
      <c r="A40" s="940" t="s">
        <v>578</v>
      </c>
      <c r="B40" s="941" t="e">
        <f>#REF!</f>
        <v>#REF!</v>
      </c>
      <c r="C40" s="941" t="e">
        <f>#REF!</f>
        <v>#REF!</v>
      </c>
      <c r="D40" s="941" t="e">
        <f>#REF!</f>
        <v>#REF!</v>
      </c>
      <c r="E40" s="941" t="e">
        <f>#REF!</f>
        <v>#REF!</v>
      </c>
      <c r="F40" s="941">
        <v>62.216000000000001</v>
      </c>
      <c r="G40" s="941">
        <v>81.358999999999995</v>
      </c>
      <c r="H40" s="941">
        <v>115.842</v>
      </c>
      <c r="I40" s="941" t="e">
        <f>J40-(F40+G40+H40)</f>
        <v>#REF!</v>
      </c>
      <c r="J40" s="941" t="e">
        <f>#REF!</f>
        <v>#REF!</v>
      </c>
      <c r="K40" s="941">
        <v>280.53199999999998</v>
      </c>
      <c r="L40" s="941">
        <v>487.46199999999999</v>
      </c>
      <c r="M40" s="941">
        <v>596.83500000000004</v>
      </c>
      <c r="N40" s="941">
        <f>O40-(K40+L40+M40)</f>
        <v>-368.33799999999997</v>
      </c>
      <c r="O40" s="941">
        <v>996.49099999999999</v>
      </c>
      <c r="P40" s="941" t="e">
        <f>#REF!</f>
        <v>#REF!</v>
      </c>
      <c r="Q40" s="941" t="e">
        <f>#REF!</f>
        <v>#REF!</v>
      </c>
      <c r="R40" s="941" t="e">
        <f>#REF!</f>
        <v>#REF!</v>
      </c>
      <c r="S40" s="941" t="e">
        <f>#REF!</f>
        <v>#REF!</v>
      </c>
      <c r="T40" s="941">
        <v>740</v>
      </c>
      <c r="U40" s="941" t="e">
        <f>#REF!</f>
        <v>#REF!</v>
      </c>
      <c r="V40" s="941" t="e">
        <f>#REF!</f>
        <v>#REF!</v>
      </c>
      <c r="W40" s="941" t="e">
        <f>#REF!</f>
        <v>#REF!</v>
      </c>
      <c r="X40" s="941" t="e">
        <f>#REF!</f>
        <v>#REF!</v>
      </c>
      <c r="Y40" s="941">
        <v>536</v>
      </c>
      <c r="Z40" s="941" t="e">
        <f>#REF!</f>
        <v>#REF!</v>
      </c>
      <c r="AA40" s="941" t="e">
        <f>#REF!</f>
        <v>#REF!</v>
      </c>
      <c r="AB40" s="941" t="e">
        <f>#REF!</f>
        <v>#REF!</v>
      </c>
      <c r="AC40" s="941" t="e">
        <f>#REF!</f>
        <v>#REF!</v>
      </c>
      <c r="AD40" s="941">
        <v>375</v>
      </c>
      <c r="AE40" s="941" t="e">
        <f>#REF!</f>
        <v>#REF!</v>
      </c>
      <c r="AF40" s="941" t="e">
        <f>#REF!</f>
        <v>#REF!</v>
      </c>
      <c r="AG40" s="941" t="e">
        <f>#REF!</f>
        <v>#REF!</v>
      </c>
      <c r="AH40" s="941" t="e">
        <f>AI40-(AE40+AF40+AG40)</f>
        <v>#REF!</v>
      </c>
      <c r="AI40" s="941">
        <f>'Reported Rev.. Split'!K33</f>
        <v>245</v>
      </c>
      <c r="AJ40" s="941" t="e">
        <f>#REF!</f>
        <v>#REF!</v>
      </c>
      <c r="AK40" s="941" t="e">
        <f>#REF!</f>
        <v>#REF!</v>
      </c>
      <c r="AL40" s="941" t="e">
        <f>#REF!</f>
        <v>#REF!</v>
      </c>
      <c r="AM40" s="941" t="e">
        <f>AN40-(AJ40+AK40+AL40)</f>
        <v>#REF!</v>
      </c>
      <c r="AN40" s="941">
        <f>'Reported Rev.. Split'!J33</f>
        <v>198</v>
      </c>
      <c r="AO40" s="941" t="e">
        <f>#REF!</f>
        <v>#REF!</v>
      </c>
      <c r="AP40" s="941">
        <v>139</v>
      </c>
      <c r="AQ40" s="941" t="e">
        <f>#REF!</f>
        <v>#REF!</v>
      </c>
      <c r="AR40" s="941" t="e">
        <f>AS40-(AO40+AP40+AQ40)</f>
        <v>#REF!</v>
      </c>
      <c r="AS40" s="941">
        <f>'Reported Rev.. Split'!I33</f>
        <v>315</v>
      </c>
      <c r="AT40" s="941">
        <v>177</v>
      </c>
      <c r="AU40" s="941">
        <v>104</v>
      </c>
      <c r="AV40" s="941">
        <v>135</v>
      </c>
      <c r="AW40" s="941">
        <f>AX40-(AT40+AU40+AV40)</f>
        <v>-127</v>
      </c>
      <c r="AX40" s="941">
        <f>'Reported Rev.. Split'!H33</f>
        <v>289</v>
      </c>
      <c r="AY40" s="942">
        <f>'Reported Rev.. Split'!AE33</f>
        <v>14</v>
      </c>
      <c r="AZ40" s="942">
        <f>'Reported Rev.. Split'!AD33</f>
        <v>38</v>
      </c>
      <c r="BA40" s="942">
        <f>'Reported Rev.. Split'!AC33</f>
        <v>28</v>
      </c>
      <c r="BB40" s="942">
        <f>'Reported Rev.. Split'!AB33</f>
        <v>40</v>
      </c>
      <c r="BC40" s="941">
        <f>'Reported Rev.. Split'!G33</f>
        <v>120</v>
      </c>
      <c r="BD40" s="942">
        <f>'Reported Rev.. Split'!AA33</f>
        <v>29</v>
      </c>
      <c r="BE40" s="942">
        <f>'Reported Rev.. Split'!Z33</f>
        <v>43</v>
      </c>
      <c r="BF40" s="942">
        <f>'Reported Rev.. Split'!Y33</f>
        <v>83</v>
      </c>
      <c r="BG40" s="942">
        <f>'Reported Rev.. Split'!X33</f>
        <v>244</v>
      </c>
      <c r="BH40" s="941">
        <f>'Reported Rev.. Split'!F33</f>
        <v>399</v>
      </c>
      <c r="BI40" s="943">
        <f>'Reported Rev.. Split'!W33</f>
        <v>410</v>
      </c>
      <c r="BJ40" s="942">
        <f>'Reported Rev.. Split'!E33</f>
        <v>1822</v>
      </c>
      <c r="BK40" s="941">
        <f>'Reported Rev.. Split'!V33</f>
        <v>254</v>
      </c>
      <c r="BL40" s="941">
        <f>'Reported Rev.. Split'!U33</f>
        <v>167</v>
      </c>
      <c r="BM40" s="941">
        <f>'Reported Rev.. Split'!T33</f>
        <v>125</v>
      </c>
      <c r="BN40" s="941">
        <f>'Reported Rev.. Split'!S33</f>
        <v>122</v>
      </c>
      <c r="BO40" s="942">
        <f>'Reported Rev.. Split'!D33</f>
        <v>668</v>
      </c>
      <c r="BP40" s="941">
        <f>'Reported Rev.. Split'!R33</f>
        <v>62</v>
      </c>
      <c r="BQ40" s="941">
        <f>'Reported Rev.. Split'!Q33</f>
        <v>60</v>
      </c>
      <c r="BR40" s="941">
        <f>'Reported Rev.. Split'!P33</f>
        <v>59</v>
      </c>
      <c r="BS40" s="941">
        <f>'Reported Rev.. Split'!O33</f>
        <v>69</v>
      </c>
      <c r="BT40" s="941">
        <f>BP40+BQ40+BR40+BS40</f>
        <v>250</v>
      </c>
      <c r="BU40" s="941">
        <f>'Reported Rev.. Split'!N33</f>
        <v>56</v>
      </c>
      <c r="BV40" s="941">
        <f>'Reported Rev.. Split'!M33</f>
        <v>52</v>
      </c>
      <c r="BW40" s="944">
        <f>BW41*BW16</f>
        <v>345</v>
      </c>
    </row>
    <row r="41" spans="1:81" ht="15" customHeight="1" x14ac:dyDescent="0.2">
      <c r="A41" s="158" t="s">
        <v>115</v>
      </c>
      <c r="B41" s="53" t="e">
        <f t="shared" ref="B41:AC41" si="57">B40/B16</f>
        <v>#REF!</v>
      </c>
      <c r="C41" s="53" t="e">
        <f t="shared" si="57"/>
        <v>#REF!</v>
      </c>
      <c r="D41" s="53" t="e">
        <f t="shared" si="57"/>
        <v>#REF!</v>
      </c>
      <c r="E41" s="53" t="e">
        <f t="shared" si="57"/>
        <v>#REF!</v>
      </c>
      <c r="F41" s="53">
        <f t="shared" si="57"/>
        <v>53.04006820119352</v>
      </c>
      <c r="G41" s="53">
        <f t="shared" si="57"/>
        <v>65.665052461662626</v>
      </c>
      <c r="H41" s="53">
        <f t="shared" si="57"/>
        <v>85.872498146775385</v>
      </c>
      <c r="I41" s="53" t="e">
        <f t="shared" si="57"/>
        <v>#REF!</v>
      </c>
      <c r="J41" s="53" t="e">
        <f t="shared" si="57"/>
        <v>#REF!</v>
      </c>
      <c r="K41" s="53">
        <f t="shared" si="57"/>
        <v>201.82158273381296</v>
      </c>
      <c r="L41" s="53">
        <f t="shared" si="57"/>
        <v>344.98372257607923</v>
      </c>
      <c r="M41" s="53">
        <f t="shared" si="57"/>
        <v>506.22137404580155</v>
      </c>
      <c r="N41" s="53">
        <f t="shared" si="57"/>
        <v>-1040.5028248587566</v>
      </c>
      <c r="O41" s="140">
        <f t="shared" si="57"/>
        <v>229.81803505535052</v>
      </c>
      <c r="P41" s="53" t="e">
        <f t="shared" si="57"/>
        <v>#REF!</v>
      </c>
      <c r="Q41" s="53" t="e">
        <f t="shared" si="57"/>
        <v>#REF!</v>
      </c>
      <c r="R41" s="53" t="e">
        <f t="shared" si="57"/>
        <v>#REF!</v>
      </c>
      <c r="S41" s="53" t="e">
        <f t="shared" si="57"/>
        <v>#REF!</v>
      </c>
      <c r="T41" s="140">
        <f t="shared" si="57"/>
        <v>157.04584040747031</v>
      </c>
      <c r="U41" s="53" t="e">
        <f t="shared" si="57"/>
        <v>#REF!</v>
      </c>
      <c r="V41" s="53" t="e">
        <f t="shared" si="57"/>
        <v>#REF!</v>
      </c>
      <c r="W41" s="53" t="e">
        <f t="shared" si="57"/>
        <v>#REF!</v>
      </c>
      <c r="X41" s="53" t="e">
        <f t="shared" si="57"/>
        <v>#REF!</v>
      </c>
      <c r="Y41" s="140">
        <f t="shared" si="57"/>
        <v>106.47596344854986</v>
      </c>
      <c r="Z41" s="53" t="e">
        <f t="shared" si="57"/>
        <v>#REF!</v>
      </c>
      <c r="AA41" s="53" t="e">
        <f t="shared" si="57"/>
        <v>#REF!</v>
      </c>
      <c r="AB41" s="53" t="e">
        <f t="shared" si="57"/>
        <v>#REF!</v>
      </c>
      <c r="AC41" s="53" t="e">
        <f t="shared" si="57"/>
        <v>#REF!</v>
      </c>
      <c r="AD41" s="140">
        <f>AD40/AD16</f>
        <v>88.048837755341623</v>
      </c>
      <c r="AE41" s="53" t="e">
        <f t="shared" ref="AE41:AZ41" si="58">AE40/AE16</f>
        <v>#REF!</v>
      </c>
      <c r="AF41" s="53" t="e">
        <f t="shared" si="58"/>
        <v>#REF!</v>
      </c>
      <c r="AG41" s="53" t="e">
        <f t="shared" si="58"/>
        <v>#REF!</v>
      </c>
      <c r="AH41" s="71" t="e">
        <f t="shared" si="58"/>
        <v>#REF!</v>
      </c>
      <c r="AI41" s="140">
        <f t="shared" si="58"/>
        <v>50.850975508509762</v>
      </c>
      <c r="AJ41" s="53" t="e">
        <f t="shared" si="58"/>
        <v>#REF!</v>
      </c>
      <c r="AK41" s="53" t="e">
        <f t="shared" si="58"/>
        <v>#REF!</v>
      </c>
      <c r="AL41" s="53" t="e">
        <f t="shared" si="58"/>
        <v>#REF!</v>
      </c>
      <c r="AM41" s="71" t="e">
        <f t="shared" si="58"/>
        <v>#REF!</v>
      </c>
      <c r="AN41" s="140">
        <f t="shared" si="58"/>
        <v>41.789784719290836</v>
      </c>
      <c r="AO41" s="53" t="e">
        <f t="shared" si="58"/>
        <v>#REF!</v>
      </c>
      <c r="AP41" s="53">
        <f t="shared" si="58"/>
        <v>111.28903122497998</v>
      </c>
      <c r="AQ41" s="53" t="e">
        <f t="shared" si="58"/>
        <v>#REF!</v>
      </c>
      <c r="AR41" s="71" t="e">
        <f t="shared" si="58"/>
        <v>#REF!</v>
      </c>
      <c r="AS41" s="140">
        <f t="shared" si="58"/>
        <v>68.329718004338389</v>
      </c>
      <c r="AT41" s="53">
        <f t="shared" si="58"/>
        <v>165.88566073102157</v>
      </c>
      <c r="AU41" s="53">
        <f t="shared" si="58"/>
        <v>160</v>
      </c>
      <c r="AV41" s="53">
        <f t="shared" si="58"/>
        <v>119.89342806394318</v>
      </c>
      <c r="AW41" s="71">
        <f t="shared" si="58"/>
        <v>-135.53895410885809</v>
      </c>
      <c r="AX41" s="140">
        <f t="shared" si="58"/>
        <v>76.455026455026456</v>
      </c>
      <c r="AY41" s="140">
        <f t="shared" si="58"/>
        <v>16.286548407652752</v>
      </c>
      <c r="AZ41" s="140">
        <f t="shared" si="58"/>
        <v>35.011083229907925</v>
      </c>
      <c r="BA41" s="140">
        <f t="shared" ref="BA41:BB41" si="59">BA40/BA16</f>
        <v>28.789740287897406</v>
      </c>
      <c r="BB41" s="140">
        <f t="shared" si="59"/>
        <v>33.80076678298596</v>
      </c>
      <c r="BC41" s="53">
        <f t="shared" ref="BC41:BG41" si="60">BC40/BC16</f>
        <v>29.261516287135333</v>
      </c>
      <c r="BD41" s="140">
        <f t="shared" si="60"/>
        <v>30.01747546713268</v>
      </c>
      <c r="BE41" s="140">
        <f t="shared" si="60"/>
        <v>41.708258781429521</v>
      </c>
      <c r="BF41" s="140">
        <f t="shared" si="60"/>
        <v>86.763464784410004</v>
      </c>
      <c r="BG41" s="140">
        <f t="shared" si="60"/>
        <v>220.611320346811</v>
      </c>
      <c r="BH41" s="53">
        <f t="shared" ref="BH41:BI41" si="61">BH40/BH16</f>
        <v>98.282731954028606</v>
      </c>
      <c r="BI41" s="831">
        <f t="shared" si="61"/>
        <v>389.33349259436216</v>
      </c>
      <c r="BJ41" s="140">
        <f t="shared" ref="BJ41:BK41" si="62">BJ40/BJ16</f>
        <v>441.69696969696969</v>
      </c>
      <c r="BK41" s="53">
        <f t="shared" si="62"/>
        <v>292.12190914318575</v>
      </c>
      <c r="BL41" s="53">
        <f t="shared" ref="BL41:BP41" si="63">BL40/BL16</f>
        <v>143.47079037800688</v>
      </c>
      <c r="BM41" s="53">
        <f t="shared" si="63"/>
        <v>105.75296108291033</v>
      </c>
      <c r="BN41" s="53">
        <f t="shared" si="63"/>
        <v>111.56835848193872</v>
      </c>
      <c r="BO41" s="140">
        <f t="shared" si="63"/>
        <v>155.02436760269202</v>
      </c>
      <c r="BP41" s="53">
        <f t="shared" si="63"/>
        <v>62.689585439838211</v>
      </c>
      <c r="BQ41" s="53">
        <f t="shared" ref="BQ41:BR41" si="64">BQ40/BQ16</f>
        <v>56.60377358490566</v>
      </c>
      <c r="BR41" s="53">
        <f t="shared" si="64"/>
        <v>60.204081632653057</v>
      </c>
      <c r="BS41" s="53">
        <f t="shared" ref="BS41:BU41" si="65">BS40/BS16</f>
        <v>59.482758620689651</v>
      </c>
      <c r="BT41" s="53">
        <f t="shared" si="65"/>
        <v>59.680114585820007</v>
      </c>
      <c r="BU41" s="53">
        <f t="shared" si="65"/>
        <v>55.72139303482588</v>
      </c>
      <c r="BV41" s="53">
        <f t="shared" ref="BV41" si="66">BV40/BV16</f>
        <v>59.360730593607308</v>
      </c>
      <c r="BW41" s="62">
        <f>BW37-BW39</f>
        <v>75</v>
      </c>
      <c r="BY41" s="62">
        <f>BY37-BY39</f>
        <v>93</v>
      </c>
      <c r="BZ41" s="62">
        <f>BZ37-BZ39</f>
        <v>100</v>
      </c>
      <c r="CA41" s="62">
        <f>CA37-CA39</f>
        <v>94.963768115942003</v>
      </c>
      <c r="CB41" s="62">
        <f>CB37-CB39</f>
        <v>75</v>
      </c>
    </row>
    <row r="42" spans="1:81" ht="15.75" customHeight="1" thickBot="1" x14ac:dyDescent="0.25">
      <c r="A42" s="520" t="s">
        <v>203</v>
      </c>
      <c r="B42" s="164" t="e">
        <f>B40/B34</f>
        <v>#REF!</v>
      </c>
      <c r="C42" s="164" t="e">
        <f>C40/C34</f>
        <v>#REF!</v>
      </c>
      <c r="D42" s="164" t="e">
        <f>D40/D34</f>
        <v>#REF!</v>
      </c>
      <c r="E42" s="164" t="e">
        <f>E40/E34</f>
        <v>#REF!</v>
      </c>
      <c r="F42" s="164">
        <f>F40/F33</f>
        <v>0.2527379675668649</v>
      </c>
      <c r="G42" s="164">
        <f>G40/G33</f>
        <v>0.30619472357081029</v>
      </c>
      <c r="H42" s="164">
        <f>H40/H33</f>
        <v>0.36459716862957392</v>
      </c>
      <c r="I42" s="164" t="e">
        <f>I40/I33</f>
        <v>#REF!</v>
      </c>
      <c r="J42" s="164" t="e">
        <f>J40/J34</f>
        <v>#REF!</v>
      </c>
      <c r="K42" s="164">
        <f>K40/K33</f>
        <v>0.53625778727617845</v>
      </c>
      <c r="L42" s="164">
        <f>L40/L33</f>
        <v>0.63231204275411201</v>
      </c>
      <c r="M42" s="164">
        <f>M40/M33</f>
        <v>0.71470398045696226</v>
      </c>
      <c r="N42" s="164">
        <f>N40/N33</f>
        <v>2.2406623354502773</v>
      </c>
      <c r="O42" s="164">
        <f>O40/O34</f>
        <v>0.45329495871407727</v>
      </c>
      <c r="P42" s="164" t="e">
        <f>P40/P33</f>
        <v>#REF!</v>
      </c>
      <c r="Q42" s="164" t="e">
        <f>Q40/Q33</f>
        <v>#REF!</v>
      </c>
      <c r="R42" s="164" t="e">
        <f>R40/R33</f>
        <v>#REF!</v>
      </c>
      <c r="S42" s="164" t="e">
        <f>S40/S33</f>
        <v>#REF!</v>
      </c>
      <c r="T42" s="359">
        <f>T40/T36</f>
        <v>0.41179744017807457</v>
      </c>
      <c r="U42" s="164" t="e">
        <f>U40/U33</f>
        <v>#REF!</v>
      </c>
      <c r="V42" s="164" t="e">
        <f>V40/V33</f>
        <v>#REF!</v>
      </c>
      <c r="W42" s="164" t="e">
        <f>W40/W33</f>
        <v>#REF!</v>
      </c>
      <c r="X42" s="164" t="e">
        <f>X40/X33</f>
        <v>#REF!</v>
      </c>
      <c r="Y42" s="359">
        <f>Y40/Y36</f>
        <v>0.33086419753086421</v>
      </c>
      <c r="Z42" s="164" t="e">
        <f>Z40/Z33</f>
        <v>#REF!</v>
      </c>
      <c r="AA42" s="164" t="e">
        <f>AA40/AA33</f>
        <v>#REF!</v>
      </c>
      <c r="AB42" s="164" t="e">
        <f>AB40/AB33</f>
        <v>#REF!</v>
      </c>
      <c r="AC42" s="164" t="e">
        <f>AC40/AC33</f>
        <v>#REF!</v>
      </c>
      <c r="AD42" s="359">
        <f>AD40/AD36</f>
        <v>0.29024767801857587</v>
      </c>
      <c r="AE42" s="164" t="e">
        <f>AE40/AE33</f>
        <v>#REF!</v>
      </c>
      <c r="AF42" s="164" t="e">
        <f>AF40/AF33</f>
        <v>#REF!</v>
      </c>
      <c r="AG42" s="164" t="e">
        <f>AG40/AG33</f>
        <v>#REF!</v>
      </c>
      <c r="AH42" s="164" t="e">
        <f>AH40/AH33</f>
        <v>#REF!</v>
      </c>
      <c r="AI42" s="359">
        <f>AI40/AI36</f>
        <v>0.2019785655399835</v>
      </c>
      <c r="AJ42" s="164" t="e">
        <f>AJ40/AJ33</f>
        <v>#REF!</v>
      </c>
      <c r="AK42" s="164" t="e">
        <f>AK40/AK33</f>
        <v>#REF!</v>
      </c>
      <c r="AL42" s="164" t="e">
        <f>AL40/AL33</f>
        <v>#REF!</v>
      </c>
      <c r="AM42" s="164" t="e">
        <f>AM40/AM33</f>
        <v>#REF!</v>
      </c>
      <c r="AN42" s="359">
        <f>AN40/AN36</f>
        <v>0.15739268680445151</v>
      </c>
      <c r="AO42" s="164" t="e">
        <f>AO40/AO33</f>
        <v>#REF!</v>
      </c>
      <c r="AP42" s="164" t="e">
        <f>AP40/AP33</f>
        <v>#REF!</v>
      </c>
      <c r="AQ42" s="164" t="e">
        <f>AQ40/AQ33</f>
        <v>#REF!</v>
      </c>
      <c r="AR42" s="164" t="e">
        <f>AR40/AR33</f>
        <v>#REF!</v>
      </c>
      <c r="AS42" s="359">
        <f>AS40/AS36</f>
        <v>0.21269412559081702</v>
      </c>
      <c r="AT42" s="164" t="e">
        <f>AT40/AT34</f>
        <v>#REF!</v>
      </c>
      <c r="AU42" s="164" t="e">
        <f>AU40/AU34</f>
        <v>#REF!</v>
      </c>
      <c r="AV42" s="164" t="e">
        <f>AV40/AV34</f>
        <v>#REF!</v>
      </c>
      <c r="AW42" s="164" t="e">
        <f>AW40/AW34</f>
        <v>#REF!</v>
      </c>
      <c r="AX42" s="359">
        <f t="shared" ref="AX42:BW42" si="67">AX40/AX36</f>
        <v>0.21729323308270676</v>
      </c>
      <c r="AY42" s="359">
        <f t="shared" si="67"/>
        <v>5.1660516605166053E-2</v>
      </c>
      <c r="AZ42" s="359">
        <f t="shared" si="67"/>
        <v>0.12624584717607973</v>
      </c>
      <c r="BA42" s="359">
        <f t="shared" si="67"/>
        <v>0.10218978102189781</v>
      </c>
      <c r="BB42" s="359">
        <f t="shared" si="67"/>
        <v>0.11869436201780416</v>
      </c>
      <c r="BC42" s="164">
        <f t="shared" si="67"/>
        <v>0.10143702451394759</v>
      </c>
      <c r="BD42" s="359">
        <f t="shared" si="67"/>
        <v>8.3815028901734104E-2</v>
      </c>
      <c r="BE42" s="359">
        <f t="shared" si="67"/>
        <v>0.11621621621621622</v>
      </c>
      <c r="BF42" s="359">
        <f t="shared" si="67"/>
        <v>0.21173469387755103</v>
      </c>
      <c r="BG42" s="359">
        <f t="shared" si="67"/>
        <v>0.36969696969696969</v>
      </c>
      <c r="BH42" s="164">
        <f t="shared" si="67"/>
        <v>0.22567873303167421</v>
      </c>
      <c r="BI42" s="832">
        <f t="shared" si="67"/>
        <v>0.56318681318681318</v>
      </c>
      <c r="BJ42" s="359">
        <f t="shared" ref="BJ42:BK42" si="68">BJ40/BJ36</f>
        <v>0.6011217419993401</v>
      </c>
      <c r="BK42" s="164">
        <f t="shared" si="68"/>
        <v>0.47924528301886793</v>
      </c>
      <c r="BL42" s="164">
        <f t="shared" ref="BL42:BP42" si="69">BL40/BL36</f>
        <v>0.33069306930693071</v>
      </c>
      <c r="BM42" s="164">
        <f t="shared" si="69"/>
        <v>0.26205450733752622</v>
      </c>
      <c r="BN42" s="164">
        <f t="shared" si="69"/>
        <v>0.2646420824295011</v>
      </c>
      <c r="BO42" s="359">
        <f t="shared" si="69"/>
        <v>0.3385707045108971</v>
      </c>
      <c r="BP42" s="164">
        <f t="shared" si="69"/>
        <v>0.16893732970027248</v>
      </c>
      <c r="BQ42" s="164">
        <f t="shared" ref="BQ42:BR42" si="70">BQ40/BQ36</f>
        <v>0.15748031496062992</v>
      </c>
      <c r="BR42" s="164">
        <f t="shared" si="70"/>
        <v>0.17302052785923755</v>
      </c>
      <c r="BS42" s="164">
        <f t="shared" ref="BS42:BU42" si="71">BS40/BS36</f>
        <v>0.18498659517426275</v>
      </c>
      <c r="BT42" s="164">
        <f t="shared" si="71"/>
        <v>0.17099863201094392</v>
      </c>
      <c r="BU42" s="164">
        <f t="shared" si="71"/>
        <v>0.15642458100558659</v>
      </c>
      <c r="BV42" s="164">
        <f t="shared" ref="BV42" si="72">BV40/BV36</f>
        <v>0.14985590778097982</v>
      </c>
      <c r="BW42" s="635">
        <f t="shared" si="67"/>
        <v>0.234375</v>
      </c>
      <c r="BY42" s="164">
        <f>BY41/BY37</f>
        <v>0.27927927927927926</v>
      </c>
      <c r="BZ42" s="359">
        <f>BZ41/BZ37</f>
        <v>0.28169014084507044</v>
      </c>
      <c r="CA42" s="359">
        <f>CA41/CA37</f>
        <v>0.27933496749440473</v>
      </c>
      <c r="CB42" s="359">
        <f>CB41/CB37</f>
        <v>0.234375</v>
      </c>
    </row>
    <row r="43" spans="1:81" ht="15" thickTop="1" x14ac:dyDescent="0.2"/>
    <row r="44" spans="1:81" x14ac:dyDescent="0.2">
      <c r="B44" s="228" t="s">
        <v>503</v>
      </c>
      <c r="BH44" s="209"/>
      <c r="BJ44" s="209"/>
      <c r="BO44" s="209"/>
      <c r="BP44" s="209"/>
      <c r="BQ44" s="209"/>
      <c r="BR44" s="209"/>
      <c r="BS44" s="209"/>
      <c r="BT44" s="209"/>
      <c r="BU44" s="209"/>
      <c r="BV44" s="209"/>
      <c r="BW44" s="209"/>
    </row>
    <row r="45" spans="1:81" x14ac:dyDescent="0.2">
      <c r="B45" s="228" t="s">
        <v>504</v>
      </c>
    </row>
    <row r="46" spans="1:81" ht="15" x14ac:dyDescent="0.2">
      <c r="A46" s="1036" t="s">
        <v>983</v>
      </c>
      <c r="C46" s="228"/>
    </row>
    <row r="47" spans="1:81" ht="42.75" x14ac:dyDescent="0.2">
      <c r="AD47" s="46" t="s">
        <v>984</v>
      </c>
      <c r="AI47" s="46" t="s">
        <v>986</v>
      </c>
      <c r="AN47" s="46" t="s">
        <v>987</v>
      </c>
      <c r="AS47" s="46" t="s">
        <v>100</v>
      </c>
      <c r="AX47" s="46" t="s">
        <v>988</v>
      </c>
    </row>
    <row r="48" spans="1:81" x14ac:dyDescent="0.2">
      <c r="A48" s="46" t="s">
        <v>107</v>
      </c>
      <c r="AD48" s="209">
        <f>1000/4600</f>
        <v>0.21739130434782608</v>
      </c>
      <c r="AI48" s="46">
        <v>273</v>
      </c>
      <c r="AN48" s="46">
        <v>355</v>
      </c>
      <c r="AS48" s="261">
        <f>AI48*5/6+AN48*1/6</f>
        <v>286.66666666666669</v>
      </c>
      <c r="AX48" s="261">
        <f>AD48*AS48</f>
        <v>62.318840579710148</v>
      </c>
    </row>
    <row r="49" spans="1:50" x14ac:dyDescent="0.2">
      <c r="A49" s="46" t="s">
        <v>106</v>
      </c>
      <c r="AD49" s="209">
        <f>900/4600</f>
        <v>0.19565217391304349</v>
      </c>
      <c r="AI49" s="46">
        <v>284</v>
      </c>
      <c r="AN49" s="46">
        <v>349</v>
      </c>
      <c r="AS49" s="261">
        <f>AI49*5/6+AN49*1/6</f>
        <v>294.83333333333331</v>
      </c>
      <c r="AX49" s="261">
        <f>AD49*AS49</f>
        <v>57.684782608695649</v>
      </c>
    </row>
    <row r="50" spans="1:50" x14ac:dyDescent="0.2">
      <c r="A50" s="46" t="s">
        <v>985</v>
      </c>
      <c r="AD50" s="186">
        <f>1-AD48-AD49</f>
        <v>0.58695652173913049</v>
      </c>
      <c r="AI50" s="46">
        <v>350</v>
      </c>
      <c r="AN50" s="46">
        <v>365</v>
      </c>
      <c r="AS50" s="261">
        <f>AI50*5/6+AN50*1/6</f>
        <v>352.5</v>
      </c>
      <c r="AX50" s="261">
        <f>AD50*AS50</f>
        <v>206.9021739130435</v>
      </c>
    </row>
    <row r="51" spans="1:50" ht="15" x14ac:dyDescent="0.2">
      <c r="AX51" s="1036">
        <f>SUM(AX48:AX50)</f>
        <v>326.90579710144931</v>
      </c>
    </row>
    <row r="53" spans="1:50" ht="15" x14ac:dyDescent="0.2">
      <c r="A53" s="1036" t="s">
        <v>989</v>
      </c>
      <c r="C53" s="228"/>
    </row>
    <row r="54" spans="1:50" ht="42.75" x14ac:dyDescent="0.2">
      <c r="AD54" s="46" t="s">
        <v>984</v>
      </c>
      <c r="AI54" s="46" t="s">
        <v>986</v>
      </c>
      <c r="AN54" s="46" t="s">
        <v>987</v>
      </c>
      <c r="AS54" s="46" t="s">
        <v>100</v>
      </c>
      <c r="AX54" s="46" t="s">
        <v>988</v>
      </c>
    </row>
    <row r="55" spans="1:50" x14ac:dyDescent="0.2">
      <c r="A55" s="46" t="s">
        <v>107</v>
      </c>
      <c r="AD55" s="209">
        <f>1000/4600</f>
        <v>0.21739130434782608</v>
      </c>
      <c r="AS55" s="261">
        <f>355</f>
        <v>355</v>
      </c>
      <c r="AX55" s="261">
        <f>AD55*AS55</f>
        <v>77.173913043478265</v>
      </c>
    </row>
    <row r="56" spans="1:50" x14ac:dyDescent="0.2">
      <c r="A56" s="46" t="s">
        <v>106</v>
      </c>
      <c r="AD56" s="209">
        <f>900/4600</f>
        <v>0.19565217391304349</v>
      </c>
      <c r="AS56" s="261">
        <v>349</v>
      </c>
      <c r="AX56" s="261">
        <f>AD56*AS56</f>
        <v>68.282608695652172</v>
      </c>
    </row>
    <row r="57" spans="1:50" x14ac:dyDescent="0.2">
      <c r="A57" s="46" t="s">
        <v>985</v>
      </c>
      <c r="AD57" s="186">
        <f>1-AD55-AD56</f>
        <v>0.58695652173913049</v>
      </c>
      <c r="AS57" s="261">
        <v>365</v>
      </c>
      <c r="AX57" s="261">
        <f>AD57*AS57</f>
        <v>214.23913043478262</v>
      </c>
    </row>
    <row r="58" spans="1:50" ht="15" x14ac:dyDescent="0.2">
      <c r="AX58" s="1036">
        <f>SUM(AX55:AX57)</f>
        <v>359.69565217391306</v>
      </c>
    </row>
    <row r="60" spans="1:50" ht="15" x14ac:dyDescent="0.2">
      <c r="A60" s="1036" t="s">
        <v>992</v>
      </c>
      <c r="C60" s="228"/>
    </row>
    <row r="61" spans="1:50" ht="28.5" x14ac:dyDescent="0.2">
      <c r="AD61" s="46" t="s">
        <v>984</v>
      </c>
      <c r="AI61" s="46" t="s">
        <v>993</v>
      </c>
      <c r="AN61" s="46" t="s">
        <v>994</v>
      </c>
      <c r="AS61" s="46" t="s">
        <v>100</v>
      </c>
      <c r="AX61" s="46" t="s">
        <v>988</v>
      </c>
    </row>
    <row r="62" spans="1:50" x14ac:dyDescent="0.2">
      <c r="A62" s="46" t="s">
        <v>107</v>
      </c>
      <c r="AD62" s="209">
        <f>1000/4600</f>
        <v>0.21739130434782608</v>
      </c>
      <c r="AI62" s="261">
        <f>AS55</f>
        <v>355</v>
      </c>
      <c r="AN62" s="46">
        <v>300</v>
      </c>
      <c r="AS62" s="261">
        <f>AI62*5/6+AN62*1/6</f>
        <v>345.83333333333331</v>
      </c>
      <c r="AX62" s="261">
        <f>AD62*AS62</f>
        <v>75.181159420289845</v>
      </c>
    </row>
    <row r="63" spans="1:50" x14ac:dyDescent="0.2">
      <c r="A63" s="46" t="s">
        <v>106</v>
      </c>
      <c r="AD63" s="209">
        <f>900/4600</f>
        <v>0.19565217391304349</v>
      </c>
      <c r="AI63" s="261">
        <f>AS56</f>
        <v>349</v>
      </c>
      <c r="AN63" s="46">
        <v>300</v>
      </c>
      <c r="AS63" s="261">
        <f>AI63*5/6+AN63*1/6</f>
        <v>340.83333333333331</v>
      </c>
      <c r="AX63" s="261">
        <f>AD63*AS63</f>
        <v>66.684782608695656</v>
      </c>
    </row>
    <row r="64" spans="1:50" x14ac:dyDescent="0.2">
      <c r="A64" s="46" t="s">
        <v>985</v>
      </c>
      <c r="AD64" s="186">
        <f>1-AD62-AD63</f>
        <v>0.58695652173913049</v>
      </c>
      <c r="AI64" s="46">
        <f>340</f>
        <v>340</v>
      </c>
      <c r="AN64" s="46">
        <v>325</v>
      </c>
      <c r="AS64" s="261">
        <f>AI64*5/6+AN64*1/6</f>
        <v>337.5</v>
      </c>
      <c r="AX64" s="261">
        <f>AD64*AS64</f>
        <v>198.09782608695653</v>
      </c>
    </row>
    <row r="65" spans="1:50" ht="15" x14ac:dyDescent="0.2">
      <c r="AX65" s="1036">
        <f>SUM(AX62:AX64)</f>
        <v>339.963768115942</v>
      </c>
    </row>
    <row r="67" spans="1:50" ht="15" thickBot="1" x14ac:dyDescent="0.25"/>
    <row r="68" spans="1:50" ht="15.75" customHeight="1" thickTop="1" x14ac:dyDescent="0.2">
      <c r="A68" s="449" t="s">
        <v>505</v>
      </c>
      <c r="B68" s="449"/>
      <c r="C68" s="449"/>
      <c r="D68" s="449"/>
      <c r="E68" s="449"/>
      <c r="F68" s="449"/>
      <c r="G68" s="449"/>
      <c r="H68" s="449"/>
      <c r="I68" s="449"/>
      <c r="J68" s="449"/>
      <c r="K68" s="449"/>
      <c r="L68" s="449"/>
      <c r="M68" s="449"/>
      <c r="N68" s="449"/>
      <c r="O68" s="449"/>
      <c r="P68" s="449"/>
      <c r="Q68" s="449"/>
      <c r="R68" s="449"/>
      <c r="S68" s="449"/>
      <c r="T68" s="449"/>
      <c r="U68" s="449"/>
      <c r="V68" s="449"/>
      <c r="W68" s="449"/>
      <c r="X68" s="449"/>
      <c r="Y68" s="449"/>
      <c r="Z68" s="449"/>
      <c r="AA68" s="449"/>
      <c r="AB68" s="449"/>
      <c r="AC68" s="449"/>
      <c r="AD68" s="449"/>
    </row>
    <row r="93" spans="1:75" ht="15" thickBot="1" x14ac:dyDescent="0.25"/>
    <row r="94" spans="1:75" ht="30.75" thickTop="1" x14ac:dyDescent="0.2">
      <c r="A94" s="449" t="s">
        <v>529</v>
      </c>
      <c r="B94" s="449"/>
      <c r="C94" s="449"/>
      <c r="D94" s="449"/>
      <c r="E94" s="449"/>
      <c r="F94" s="449"/>
      <c r="G94" s="449"/>
      <c r="H94" s="449"/>
      <c r="I94" s="449"/>
      <c r="J94" s="449"/>
      <c r="K94" s="449"/>
      <c r="L94" s="449"/>
      <c r="M94" s="449"/>
      <c r="N94" s="449"/>
      <c r="O94" s="449"/>
      <c r="P94" s="449"/>
      <c r="Q94" s="449"/>
      <c r="R94" s="449"/>
      <c r="S94" s="449"/>
      <c r="T94" s="449"/>
      <c r="U94" s="449"/>
      <c r="V94" s="449"/>
      <c r="W94" s="449"/>
      <c r="X94" s="449"/>
      <c r="Y94" s="449"/>
      <c r="Z94" s="449"/>
      <c r="AA94" s="449"/>
      <c r="AB94" s="449"/>
      <c r="AC94" s="449"/>
      <c r="AD94" s="449"/>
      <c r="AE94" s="449"/>
      <c r="AF94" s="449"/>
      <c r="AG94" s="449"/>
      <c r="AH94" s="449"/>
      <c r="AI94" s="449"/>
      <c r="AJ94" s="449"/>
      <c r="AK94" s="449"/>
      <c r="AL94" s="449"/>
      <c r="AM94" s="449"/>
      <c r="AN94" s="449"/>
      <c r="AO94" s="449"/>
      <c r="AP94" s="449"/>
      <c r="AQ94" s="449"/>
      <c r="AR94" s="449"/>
      <c r="AS94" s="449"/>
      <c r="AT94" s="449"/>
      <c r="AU94" s="449"/>
      <c r="AV94" s="449"/>
      <c r="AW94" s="449"/>
      <c r="AX94" s="449"/>
      <c r="AY94" s="449"/>
      <c r="AZ94" s="449"/>
      <c r="BA94" s="449"/>
      <c r="BB94" s="622"/>
      <c r="BC94" s="449"/>
      <c r="BD94" s="449"/>
      <c r="BE94" s="449"/>
      <c r="BF94" s="449"/>
      <c r="BG94" s="622"/>
      <c r="BH94" s="449"/>
      <c r="BI94" s="449"/>
      <c r="BJ94" s="449"/>
      <c r="BK94" s="449"/>
      <c r="BL94" s="449"/>
      <c r="BM94" s="449"/>
      <c r="BN94" s="622"/>
      <c r="BO94" s="449"/>
      <c r="BP94" s="449"/>
      <c r="BQ94" s="449"/>
      <c r="BR94" s="449"/>
      <c r="BS94" s="449"/>
      <c r="BT94" s="449"/>
      <c r="BU94" s="449"/>
      <c r="BV94" s="449"/>
      <c r="BW94" s="449"/>
    </row>
    <row r="95" spans="1:75" ht="15" x14ac:dyDescent="0.2">
      <c r="A95" s="197"/>
      <c r="B95" s="197"/>
      <c r="C95" s="197"/>
      <c r="D95" s="197"/>
      <c r="E95" s="197"/>
      <c r="F95" s="197"/>
      <c r="G95" s="197"/>
      <c r="H95" s="197"/>
      <c r="I95" s="197"/>
      <c r="J95" s="197"/>
      <c r="K95" s="197"/>
      <c r="L95" s="197"/>
      <c r="M95" s="197"/>
      <c r="N95" s="197"/>
      <c r="O95" s="197"/>
      <c r="P95" s="197"/>
      <c r="Q95" s="197"/>
      <c r="R95" s="197"/>
      <c r="S95" s="197"/>
      <c r="T95" s="197"/>
      <c r="U95" s="197"/>
      <c r="V95" s="197"/>
      <c r="W95" s="197"/>
      <c r="X95" s="197"/>
      <c r="Y95" s="197"/>
      <c r="Z95" s="197"/>
      <c r="AA95" s="197"/>
      <c r="AB95" s="197"/>
      <c r="AC95" s="197"/>
      <c r="AD95" s="197"/>
    </row>
    <row r="96" spans="1:75" ht="75" x14ac:dyDescent="0.2">
      <c r="A96" s="346" t="s">
        <v>339</v>
      </c>
      <c r="B96" s="347" t="str">
        <f>B3</f>
        <v>2003A</v>
      </c>
      <c r="C96" s="347" t="str">
        <f>C3</f>
        <v>2004A</v>
      </c>
      <c r="D96" s="347" t="str">
        <f>D3</f>
        <v>2005A</v>
      </c>
      <c r="E96" s="347" t="str">
        <f>E3</f>
        <v>2006A</v>
      </c>
      <c r="F96" s="347"/>
      <c r="G96" s="347"/>
      <c r="H96" s="347"/>
      <c r="I96" s="347"/>
      <c r="J96" s="347" t="str">
        <f>J3</f>
        <v>2007A</v>
      </c>
      <c r="K96" s="347"/>
      <c r="L96" s="347"/>
      <c r="M96" s="347"/>
      <c r="N96" s="347"/>
      <c r="O96" s="347" t="str">
        <f>O3</f>
        <v>2012A</v>
      </c>
      <c r="P96" s="347"/>
      <c r="Q96" s="347"/>
      <c r="R96" s="347"/>
      <c r="S96" s="347"/>
      <c r="T96" s="347" t="str">
        <f>T3</f>
        <v>2013A</v>
      </c>
      <c r="U96" s="347"/>
      <c r="V96" s="347"/>
      <c r="W96" s="347"/>
      <c r="X96" s="347"/>
      <c r="Y96" s="347" t="str">
        <f>Y3</f>
        <v>2014A</v>
      </c>
      <c r="Z96" s="347"/>
      <c r="AA96" s="347"/>
      <c r="AB96" s="347"/>
      <c r="AC96" s="347"/>
      <c r="AD96" s="347" t="str">
        <f>AD3</f>
        <v>2015A</v>
      </c>
      <c r="AE96" s="347"/>
      <c r="AF96" s="347"/>
      <c r="AG96" s="347"/>
      <c r="AH96" s="347"/>
      <c r="AI96" s="347" t="str">
        <f>AI3</f>
        <v>2016A</v>
      </c>
      <c r="AJ96" s="347" t="str">
        <f>AN3</f>
        <v>2017A</v>
      </c>
      <c r="AK96" s="347" t="str">
        <f>AO3</f>
        <v>Q1-14A</v>
      </c>
      <c r="AL96" s="347" t="str">
        <f>AP3</f>
        <v>Q2-14A</v>
      </c>
      <c r="AM96" s="347" t="s">
        <v>18</v>
      </c>
      <c r="AN96" s="347" t="s">
        <v>19</v>
      </c>
      <c r="AO96" s="347" t="s">
        <v>20</v>
      </c>
      <c r="AP96" s="448" t="s">
        <v>21</v>
      </c>
      <c r="AQ96" s="347" t="e">
        <f>#REF!</f>
        <v>#REF!</v>
      </c>
      <c r="AR96" s="347" t="s">
        <v>18</v>
      </c>
      <c r="AS96" s="347" t="s">
        <v>19</v>
      </c>
      <c r="AT96" s="347" t="s">
        <v>20</v>
      </c>
      <c r="AU96" s="448" t="s">
        <v>21</v>
      </c>
      <c r="AV96" s="347" t="str">
        <f>BZ3</f>
        <v>H2-25E</v>
      </c>
      <c r="AW96" s="347" t="s">
        <v>18</v>
      </c>
      <c r="AX96" s="347" t="s">
        <v>19</v>
      </c>
      <c r="AY96" s="347" t="s">
        <v>20</v>
      </c>
      <c r="AZ96" s="347" t="s">
        <v>20</v>
      </c>
      <c r="BA96" s="347" t="s">
        <v>20</v>
      </c>
      <c r="BB96" s="623"/>
      <c r="BC96" s="347" t="s">
        <v>19</v>
      </c>
      <c r="BD96" s="347" t="s">
        <v>20</v>
      </c>
      <c r="BE96" s="347" t="s">
        <v>20</v>
      </c>
      <c r="BF96" s="347" t="s">
        <v>20</v>
      </c>
      <c r="BG96" s="623"/>
      <c r="BH96" s="347" t="s">
        <v>19</v>
      </c>
      <c r="BI96" s="347" t="s">
        <v>20</v>
      </c>
      <c r="BJ96" s="347" t="s">
        <v>19</v>
      </c>
      <c r="BK96" s="347" t="s">
        <v>20</v>
      </c>
      <c r="BL96" s="347" t="s">
        <v>20</v>
      </c>
      <c r="BM96" s="347" t="s">
        <v>20</v>
      </c>
      <c r="BN96" s="873"/>
      <c r="BO96" s="347" t="s">
        <v>19</v>
      </c>
      <c r="BP96" s="347" t="s">
        <v>20</v>
      </c>
      <c r="BQ96" s="347" t="s">
        <v>20</v>
      </c>
      <c r="BR96" s="347" t="s">
        <v>20</v>
      </c>
      <c r="BS96" s="347" t="s">
        <v>20</v>
      </c>
      <c r="BT96" s="347" t="s">
        <v>19</v>
      </c>
      <c r="BU96" s="347" t="s">
        <v>20</v>
      </c>
      <c r="BV96" s="347" t="s">
        <v>20</v>
      </c>
      <c r="BW96" s="347" t="s">
        <v>20</v>
      </c>
    </row>
    <row r="97" spans="1:75" ht="28.5" x14ac:dyDescent="0.2">
      <c r="A97" s="136" t="s">
        <v>513</v>
      </c>
      <c r="B97" s="70">
        <f>B16</f>
        <v>5.2</v>
      </c>
      <c r="C97" s="70">
        <f>C16</f>
        <v>5.0999999999999996</v>
      </c>
      <c r="D97" s="70">
        <f>D16</f>
        <v>4.7</v>
      </c>
      <c r="E97" s="70">
        <f>E16</f>
        <v>3.9</v>
      </c>
      <c r="F97" s="73"/>
      <c r="G97" s="73"/>
      <c r="H97" s="73"/>
      <c r="I97" s="73"/>
      <c r="J97" s="70">
        <f>J16</f>
        <v>5.1999999999999993</v>
      </c>
      <c r="K97" s="73"/>
      <c r="L97" s="73"/>
      <c r="M97" s="73"/>
      <c r="N97" s="73"/>
      <c r="O97" s="70">
        <f>O16</f>
        <v>4.3360000000000003</v>
      </c>
      <c r="P97" s="73"/>
      <c r="Q97" s="73"/>
      <c r="R97" s="73"/>
      <c r="S97" s="73"/>
      <c r="T97" s="70">
        <f>T16</f>
        <v>4.7119999999999997</v>
      </c>
      <c r="U97" s="73"/>
      <c r="V97" s="73"/>
      <c r="W97" s="73"/>
      <c r="X97" s="73"/>
      <c r="Y97" s="70">
        <f>Y16</f>
        <v>5.0339999999999998</v>
      </c>
      <c r="Z97" s="73"/>
      <c r="AA97" s="73"/>
      <c r="AB97" s="73"/>
      <c r="AC97" s="73"/>
      <c r="AD97" s="70">
        <f>AD16</f>
        <v>4.2590000000000003</v>
      </c>
      <c r="AE97" s="73"/>
      <c r="AF97" s="73"/>
      <c r="AG97" s="73"/>
      <c r="AH97" s="73"/>
      <c r="AI97" s="70">
        <f>AI16</f>
        <v>4.8179999999999996</v>
      </c>
      <c r="AJ97" s="70">
        <f>AN16</f>
        <v>4.7380000000000004</v>
      </c>
      <c r="AK97" s="70">
        <f>AO16</f>
        <v>1.401</v>
      </c>
      <c r="AL97" s="70">
        <f>AP16</f>
        <v>1.2490000000000001</v>
      </c>
      <c r="AM97" s="73">
        <v>5.15</v>
      </c>
      <c r="AN97" s="450">
        <f>AM97*(1+$D$101)</f>
        <v>5.2015000000000002</v>
      </c>
      <c r="AO97" s="450">
        <f>AN97*(1+$D$101)</f>
        <v>5.2535150000000002</v>
      </c>
      <c r="AP97" s="451">
        <f>AO97*(1+$D$101)</f>
        <v>5.3060501499999999</v>
      </c>
      <c r="AQ97" s="70" t="e">
        <f>#REF!</f>
        <v>#REF!</v>
      </c>
      <c r="AR97" s="73">
        <v>5.15</v>
      </c>
      <c r="AS97" s="450">
        <f>AR97*(1+$D$101)</f>
        <v>5.2015000000000002</v>
      </c>
      <c r="AT97" s="450">
        <f>AS97*(1+$D$101)</f>
        <v>5.2535150000000002</v>
      </c>
      <c r="AU97" s="451">
        <f>AT97*(1+$D$101)</f>
        <v>5.3060501499999999</v>
      </c>
      <c r="AV97" s="70">
        <f>BZ16</f>
        <v>0</v>
      </c>
      <c r="AW97" s="73">
        <v>5.15</v>
      </c>
      <c r="AX97" s="450">
        <f>AW97*(1+$D$101)</f>
        <v>5.2015000000000002</v>
      </c>
      <c r="AY97" s="450">
        <f>AW97*(1+$D$101)</f>
        <v>5.2015000000000002</v>
      </c>
      <c r="AZ97" s="450">
        <f>AX97*(1+$D$101)</f>
        <v>5.2535150000000002</v>
      </c>
      <c r="BA97" s="450">
        <f>AZ97*(1+$D$101)</f>
        <v>5.3060501499999999</v>
      </c>
      <c r="BB97" s="450"/>
      <c r="BC97" s="450">
        <f>BB97*(1+$D$101)</f>
        <v>0</v>
      </c>
      <c r="BD97" s="450">
        <f>BB97*(1+$D$101)</f>
        <v>0</v>
      </c>
      <c r="BE97" s="450">
        <f>BC97*(1+$D$101)</f>
        <v>0</v>
      </c>
      <c r="BF97" s="450">
        <f>BE97*(1+$D$101)</f>
        <v>0</v>
      </c>
      <c r="BG97" s="450"/>
      <c r="BH97" s="450">
        <f>BG97*(1+$D$101)</f>
        <v>0</v>
      </c>
      <c r="BI97" s="450">
        <f>BG97*(1+$D$101)</f>
        <v>0</v>
      </c>
      <c r="BJ97" s="450">
        <f>BI97*(1+$D$101)</f>
        <v>0</v>
      </c>
      <c r="BK97" s="450">
        <f>BI97*(1+$D$101)</f>
        <v>0</v>
      </c>
      <c r="BL97" s="450">
        <f>BJ97*(1+$D$101)</f>
        <v>0</v>
      </c>
      <c r="BM97" s="450">
        <f>BK97*(1+$D$101)</f>
        <v>0</v>
      </c>
      <c r="BN97" s="450"/>
      <c r="BO97" s="450">
        <f>BM97*(1+$D$101)</f>
        <v>0</v>
      </c>
      <c r="BP97" s="450">
        <f>BM97*(1+$D$101)</f>
        <v>0</v>
      </c>
      <c r="BQ97" s="450">
        <f>BM97*(1+$D$101)</f>
        <v>0</v>
      </c>
      <c r="BR97" s="450">
        <f>BO97*(1+$D$101)</f>
        <v>0</v>
      </c>
      <c r="BS97" s="450">
        <f>BP97*(1+$D$101)</f>
        <v>0</v>
      </c>
      <c r="BT97" s="450">
        <f>BR97*(1+$D$101)</f>
        <v>0</v>
      </c>
      <c r="BU97" s="450">
        <f>BR97*(1+$D$101)</f>
        <v>0</v>
      </c>
      <c r="BV97" s="450">
        <f>BS97*(1+$D$101)</f>
        <v>0</v>
      </c>
      <c r="BW97" s="450">
        <f>AY97*(1+$D$101)</f>
        <v>5.2535150000000002</v>
      </c>
    </row>
    <row r="98" spans="1:75" ht="28.5" x14ac:dyDescent="0.2">
      <c r="A98" s="136" t="s">
        <v>506</v>
      </c>
      <c r="B98" s="73">
        <v>45.5</v>
      </c>
      <c r="C98" s="73">
        <v>51</v>
      </c>
      <c r="D98" s="73">
        <v>50</v>
      </c>
      <c r="E98" s="73">
        <v>48</v>
      </c>
      <c r="F98" s="73"/>
      <c r="G98" s="73"/>
      <c r="H98" s="73"/>
      <c r="I98" s="73"/>
      <c r="J98" s="73">
        <v>55</v>
      </c>
      <c r="K98" s="73"/>
      <c r="L98" s="73"/>
      <c r="M98" s="73"/>
      <c r="N98" s="73"/>
      <c r="O98" s="73">
        <v>50</v>
      </c>
      <c r="P98" s="73"/>
      <c r="Q98" s="73"/>
      <c r="R98" s="73"/>
      <c r="S98" s="73"/>
      <c r="T98" s="73">
        <v>30</v>
      </c>
      <c r="U98" s="73"/>
      <c r="V98" s="73"/>
      <c r="W98" s="73"/>
      <c r="X98" s="73"/>
      <c r="Y98" s="73">
        <v>53</v>
      </c>
      <c r="Z98" s="73"/>
      <c r="AA98" s="73"/>
      <c r="AB98" s="73"/>
      <c r="AC98" s="73"/>
      <c r="AD98" s="73">
        <v>56</v>
      </c>
      <c r="AE98" s="73"/>
      <c r="AF98" s="73"/>
      <c r="AG98" s="73"/>
      <c r="AH98" s="73"/>
      <c r="AI98" s="73">
        <v>51</v>
      </c>
      <c r="AJ98" s="73">
        <v>54</v>
      </c>
      <c r="AK98" s="73"/>
      <c r="AL98" s="73"/>
      <c r="AM98" s="73">
        <v>57.5</v>
      </c>
      <c r="AN98" s="452">
        <f>AM98*(1+$D$99)</f>
        <v>58.937499999999993</v>
      </c>
      <c r="AO98" s="452">
        <f>AN98*(1+$D$99)</f>
        <v>60.410937499999989</v>
      </c>
      <c r="AP98" s="453">
        <f>AO98*(1+$D$99)</f>
        <v>61.921210937499986</v>
      </c>
      <c r="AQ98" s="73"/>
      <c r="AR98" s="73">
        <v>57.5</v>
      </c>
      <c r="AS98" s="452">
        <f>AR98*(1+$D$99)</f>
        <v>58.937499999999993</v>
      </c>
      <c r="AT98" s="452">
        <f>AS98*(1+$D$99)</f>
        <v>60.410937499999989</v>
      </c>
      <c r="AU98" s="453">
        <f>AT98*(1+$D$99)</f>
        <v>61.921210937499986</v>
      </c>
      <c r="AV98" s="73"/>
      <c r="AW98" s="73">
        <v>57.5</v>
      </c>
      <c r="AX98" s="452">
        <f>AW98*(1+$D$99)</f>
        <v>58.937499999999993</v>
      </c>
      <c r="AY98" s="452">
        <f>AW98*(1+$D$99)</f>
        <v>58.937499999999993</v>
      </c>
      <c r="AZ98" s="452">
        <f>AX98*(1+$D$99)</f>
        <v>60.410937499999989</v>
      </c>
      <c r="BA98" s="452">
        <f>AZ98*(1+$D$99)</f>
        <v>61.921210937499986</v>
      </c>
      <c r="BB98" s="452"/>
      <c r="BC98" s="452">
        <f>BB98*(1+$D$99)</f>
        <v>0</v>
      </c>
      <c r="BD98" s="452">
        <f>BB98*(1+$D$99)</f>
        <v>0</v>
      </c>
      <c r="BE98" s="452">
        <f>BC98*(1+$D$99)</f>
        <v>0</v>
      </c>
      <c r="BF98" s="452">
        <f>BE98*(1+$D$99)</f>
        <v>0</v>
      </c>
      <c r="BG98" s="452"/>
      <c r="BH98" s="452">
        <f>BG98*(1+$D$99)</f>
        <v>0</v>
      </c>
      <c r="BI98" s="452">
        <f>BG98*(1+$D$99)</f>
        <v>0</v>
      </c>
      <c r="BJ98" s="452">
        <f>BI98*(1+$D$99)</f>
        <v>0</v>
      </c>
      <c r="BK98" s="452">
        <f>BI98*(1+$D$99)</f>
        <v>0</v>
      </c>
      <c r="BL98" s="452">
        <f>BJ98*(1+$D$99)</f>
        <v>0</v>
      </c>
      <c r="BM98" s="452">
        <f>BK98*(1+$D$99)</f>
        <v>0</v>
      </c>
      <c r="BN98" s="452"/>
      <c r="BO98" s="452">
        <f>BM98*(1+$D$99)</f>
        <v>0</v>
      </c>
      <c r="BP98" s="452">
        <f>BM98*(1+$D$99)</f>
        <v>0</v>
      </c>
      <c r="BQ98" s="452">
        <f>BM98*(1+$D$99)</f>
        <v>0</v>
      </c>
      <c r="BR98" s="452">
        <f>BO98*(1+$D$99)</f>
        <v>0</v>
      </c>
      <c r="BS98" s="452">
        <f>BP98*(1+$D$99)</f>
        <v>0</v>
      </c>
      <c r="BT98" s="452">
        <f>BR98*(1+$D$99)</f>
        <v>0</v>
      </c>
      <c r="BU98" s="452">
        <f>BR98*(1+$D$99)</f>
        <v>0</v>
      </c>
      <c r="BV98" s="452">
        <f>BS98*(1+$D$99)</f>
        <v>0</v>
      </c>
      <c r="BW98" s="452">
        <f>AY98*(1+$D$99)</f>
        <v>60.410937499999989</v>
      </c>
    </row>
    <row r="99" spans="1:75" x14ac:dyDescent="0.2">
      <c r="A99" s="228" t="s">
        <v>515</v>
      </c>
      <c r="D99" s="186">
        <v>2.5000000000000001E-2</v>
      </c>
    </row>
    <row r="100" spans="1:75" x14ac:dyDescent="0.2">
      <c r="A100" s="228" t="s">
        <v>514</v>
      </c>
      <c r="B100" s="186"/>
      <c r="D100" s="209">
        <f>(AM98/B98)^(1/12)-1</f>
        <v>1.9697537868482939E-2</v>
      </c>
    </row>
    <row r="101" spans="1:75" x14ac:dyDescent="0.2">
      <c r="A101" s="228" t="s">
        <v>522</v>
      </c>
      <c r="B101" s="186"/>
      <c r="D101" s="209">
        <v>0.01</v>
      </c>
    </row>
    <row r="102" spans="1:75" x14ac:dyDescent="0.2">
      <c r="A102" s="228"/>
      <c r="B102" s="186"/>
      <c r="O102" s="209"/>
    </row>
    <row r="103" spans="1:75" x14ac:dyDescent="0.2">
      <c r="A103" s="228" t="s">
        <v>507</v>
      </c>
    </row>
    <row r="104" spans="1:75" x14ac:dyDescent="0.2">
      <c r="A104" s="228" t="s">
        <v>508</v>
      </c>
    </row>
    <row r="105" spans="1:75" x14ac:dyDescent="0.2">
      <c r="A105" s="228" t="s">
        <v>509</v>
      </c>
    </row>
    <row r="106" spans="1:75" x14ac:dyDescent="0.2">
      <c r="A106" s="228" t="s">
        <v>516</v>
      </c>
    </row>
    <row r="107" spans="1:75" x14ac:dyDescent="0.2">
      <c r="A107" s="228" t="s">
        <v>510</v>
      </c>
    </row>
    <row r="108" spans="1:75" x14ac:dyDescent="0.2">
      <c r="A108" s="228" t="s">
        <v>511</v>
      </c>
    </row>
    <row r="109" spans="1:75" x14ac:dyDescent="0.2">
      <c r="A109" s="228" t="s">
        <v>512</v>
      </c>
    </row>
    <row r="110" spans="1:75" x14ac:dyDescent="0.2">
      <c r="A110" s="228"/>
    </row>
    <row r="111" spans="1:75" x14ac:dyDescent="0.2">
      <c r="A111" s="228"/>
    </row>
    <row r="112" spans="1:75" x14ac:dyDescent="0.2">
      <c r="A112" s="228"/>
    </row>
    <row r="113" spans="1:1" x14ac:dyDescent="0.2">
      <c r="A113" s="228"/>
    </row>
    <row r="114" spans="1:1" x14ac:dyDescent="0.2">
      <c r="A114" s="228"/>
    </row>
    <row r="115" spans="1:1" x14ac:dyDescent="0.2">
      <c r="A115" s="228"/>
    </row>
    <row r="116" spans="1:1" x14ac:dyDescent="0.2">
      <c r="A116" s="228"/>
    </row>
    <row r="117" spans="1:1" x14ac:dyDescent="0.2">
      <c r="A117" s="228"/>
    </row>
    <row r="118" spans="1:1" x14ac:dyDescent="0.2">
      <c r="A118" s="228"/>
    </row>
    <row r="119" spans="1:1" x14ac:dyDescent="0.2">
      <c r="A119" s="228"/>
    </row>
    <row r="120" spans="1:1" x14ac:dyDescent="0.2">
      <c r="A120" s="228"/>
    </row>
    <row r="121" spans="1:1" x14ac:dyDescent="0.2">
      <c r="A121" s="228"/>
    </row>
    <row r="122" spans="1:1" x14ac:dyDescent="0.2">
      <c r="A122" s="228"/>
    </row>
    <row r="130" spans="1:75" x14ac:dyDescent="0.2">
      <c r="A130" s="228" t="s">
        <v>517</v>
      </c>
    </row>
    <row r="131" spans="1:75" x14ac:dyDescent="0.2">
      <c r="A131" s="228" t="s">
        <v>518</v>
      </c>
    </row>
    <row r="132" spans="1:75" x14ac:dyDescent="0.2">
      <c r="A132" s="228" t="s">
        <v>519</v>
      </c>
    </row>
    <row r="133" spans="1:75" x14ac:dyDescent="0.2">
      <c r="A133" s="228" t="s">
        <v>520</v>
      </c>
    </row>
    <row r="134" spans="1:75" x14ac:dyDescent="0.2">
      <c r="A134" s="228" t="s">
        <v>521</v>
      </c>
    </row>
    <row r="135" spans="1:75" x14ac:dyDescent="0.2">
      <c r="A135" s="228" t="s">
        <v>523</v>
      </c>
    </row>
    <row r="136" spans="1:75" x14ac:dyDescent="0.2">
      <c r="A136" s="228" t="s">
        <v>524</v>
      </c>
    </row>
    <row r="137" spans="1:75" ht="15" thickBot="1" x14ac:dyDescent="0.25">
      <c r="A137" s="228"/>
    </row>
    <row r="138" spans="1:75" ht="15.75" thickTop="1" x14ac:dyDescent="0.2">
      <c r="A138" s="36" t="s">
        <v>528</v>
      </c>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197"/>
      <c r="AR138" s="197"/>
      <c r="AS138" s="197"/>
      <c r="AT138" s="197"/>
      <c r="AU138" s="197"/>
      <c r="AV138" s="197"/>
      <c r="AW138" s="197"/>
      <c r="AX138" s="197"/>
      <c r="AY138" s="197"/>
      <c r="AZ138" s="197"/>
      <c r="BA138" s="197"/>
      <c r="BB138" s="197"/>
      <c r="BC138" s="197"/>
      <c r="BD138" s="197"/>
      <c r="BE138" s="197"/>
      <c r="BF138" s="197"/>
      <c r="BG138" s="197"/>
      <c r="BH138" s="197"/>
      <c r="BI138" s="197"/>
      <c r="BJ138" s="197"/>
      <c r="BK138" s="197"/>
      <c r="BL138" s="197"/>
      <c r="BM138" s="197"/>
      <c r="BN138" s="197"/>
      <c r="BO138" s="197"/>
      <c r="BP138" s="197"/>
      <c r="BQ138" s="197"/>
      <c r="BR138" s="197"/>
      <c r="BS138" s="197"/>
      <c r="BT138" s="197"/>
      <c r="BU138" s="197"/>
      <c r="BV138" s="197"/>
      <c r="BW138" s="197"/>
    </row>
    <row r="139" spans="1:75" x14ac:dyDescent="0.2">
      <c r="A139" s="228"/>
    </row>
    <row r="140" spans="1:75" ht="24.75" customHeight="1" x14ac:dyDescent="0.2">
      <c r="A140" s="454" t="s">
        <v>339</v>
      </c>
      <c r="B140" s="346" t="str">
        <f>B96</f>
        <v>2003A</v>
      </c>
      <c r="C140" s="347" t="str">
        <f>C96</f>
        <v>2004A</v>
      </c>
      <c r="D140" s="347" t="str">
        <f>D96</f>
        <v>2005A</v>
      </c>
      <c r="E140" s="347" t="str">
        <f>E96</f>
        <v>2006A</v>
      </c>
      <c r="F140" s="347"/>
      <c r="G140" s="347"/>
      <c r="H140" s="347"/>
      <c r="I140" s="347"/>
      <c r="J140" s="347" t="str">
        <f>J96</f>
        <v>2007A</v>
      </c>
      <c r="K140" s="347"/>
      <c r="L140" s="347"/>
      <c r="M140" s="347"/>
      <c r="N140" s="347"/>
      <c r="O140" s="347" t="str">
        <f>O96</f>
        <v>2012A</v>
      </c>
      <c r="P140" s="347"/>
      <c r="Q140" s="347"/>
      <c r="R140" s="347"/>
      <c r="S140" s="347"/>
      <c r="T140" s="347" t="str">
        <f>T96</f>
        <v>2013A</v>
      </c>
      <c r="U140" s="347"/>
      <c r="V140" s="347"/>
      <c r="W140" s="347"/>
      <c r="X140" s="347"/>
      <c r="Y140" s="347" t="str">
        <f>Y96</f>
        <v>2014A</v>
      </c>
      <c r="Z140" s="347"/>
      <c r="AA140" s="347"/>
      <c r="AB140" s="347"/>
      <c r="AC140" s="347"/>
      <c r="AD140" s="347" t="str">
        <f>AD96</f>
        <v>2015A</v>
      </c>
      <c r="AE140" s="347"/>
      <c r="AF140" s="347"/>
      <c r="AG140" s="347"/>
      <c r="AH140" s="347"/>
      <c r="AI140" s="347" t="str">
        <f>AI96</f>
        <v>2016A</v>
      </c>
      <c r="AJ140" s="347" t="str">
        <f>AJ96</f>
        <v>2017A</v>
      </c>
      <c r="AK140" s="347" t="str">
        <f>AK96</f>
        <v>Q1-14A</v>
      </c>
      <c r="AL140" s="347" t="str">
        <f>AL96</f>
        <v>Q2-14A</v>
      </c>
      <c r="AM140" s="347" t="s">
        <v>526</v>
      </c>
      <c r="AN140" s="347" t="s">
        <v>527</v>
      </c>
      <c r="AO140" s="347" t="str">
        <f>AM96</f>
        <v>2014E</v>
      </c>
      <c r="AP140" s="347" t="str">
        <f>AN96</f>
        <v>2015E</v>
      </c>
      <c r="AQ140" s="347" t="e">
        <f>AQ96</f>
        <v>#REF!</v>
      </c>
      <c r="AR140" s="347" t="s">
        <v>526</v>
      </c>
      <c r="AS140" s="347" t="s">
        <v>527</v>
      </c>
      <c r="AT140" s="347" t="str">
        <f>AR96</f>
        <v>2014E</v>
      </c>
      <c r="AU140" s="347" t="str">
        <f>AS96</f>
        <v>2015E</v>
      </c>
      <c r="AV140" s="347" t="str">
        <f>AV96</f>
        <v>H2-25E</v>
      </c>
      <c r="AW140" s="347" t="s">
        <v>526</v>
      </c>
      <c r="AX140" s="347" t="s">
        <v>527</v>
      </c>
      <c r="AY140" s="347" t="str">
        <f>AV96</f>
        <v>H2-25E</v>
      </c>
      <c r="AZ140" s="347" t="str">
        <f>AW96</f>
        <v>2014E</v>
      </c>
      <c r="BA140" s="347" t="str">
        <f>AY96</f>
        <v>2016E</v>
      </c>
      <c r="BB140" s="623"/>
      <c r="BC140" s="347" t="s">
        <v>527</v>
      </c>
      <c r="BD140" s="347" t="str">
        <f>BA96</f>
        <v>2016E</v>
      </c>
      <c r="BE140" s="347">
        <f>BB96</f>
        <v>0</v>
      </c>
      <c r="BF140" s="347" t="str">
        <f>BD96</f>
        <v>2016E</v>
      </c>
      <c r="BG140" s="623"/>
      <c r="BH140" s="347" t="s">
        <v>527</v>
      </c>
      <c r="BI140" s="347" t="str">
        <f>BF96</f>
        <v>2016E</v>
      </c>
      <c r="BJ140" s="347" t="s">
        <v>527</v>
      </c>
      <c r="BK140" s="347" t="str">
        <f>BH96</f>
        <v>2015E</v>
      </c>
      <c r="BL140" s="347" t="str">
        <f>BI96</f>
        <v>2016E</v>
      </c>
      <c r="BM140" s="347" t="str">
        <f>BJ96</f>
        <v>2015E</v>
      </c>
      <c r="BN140" s="873"/>
      <c r="BO140" s="347" t="s">
        <v>527</v>
      </c>
      <c r="BP140" s="347" t="str">
        <f>BL96</f>
        <v>2016E</v>
      </c>
      <c r="BQ140" s="347" t="str">
        <f>BL96</f>
        <v>2016E</v>
      </c>
      <c r="BR140" s="347" t="str">
        <f>BM96</f>
        <v>2016E</v>
      </c>
      <c r="BS140" s="347" t="str">
        <f>BO96</f>
        <v>2015E</v>
      </c>
      <c r="BT140" s="347" t="s">
        <v>527</v>
      </c>
      <c r="BU140" s="347" t="str">
        <f>BQ96</f>
        <v>2016E</v>
      </c>
      <c r="BV140" s="347" t="str">
        <f>BR96</f>
        <v>2016E</v>
      </c>
      <c r="BW140" s="347" t="str">
        <f>AX96</f>
        <v>2015E</v>
      </c>
    </row>
    <row r="141" spans="1:75" ht="15" x14ac:dyDescent="0.2">
      <c r="A141" s="64" t="s">
        <v>525</v>
      </c>
      <c r="B141" s="62" t="e">
        <f>B31</f>
        <v>#REF!</v>
      </c>
      <c r="C141" s="62" t="e">
        <f>C31</f>
        <v>#REF!</v>
      </c>
      <c r="D141" s="62" t="e">
        <f>D31</f>
        <v>#REF!</v>
      </c>
      <c r="E141" s="62" t="e">
        <f>E31</f>
        <v>#REF!</v>
      </c>
      <c r="J141" s="62" t="e">
        <f>J31</f>
        <v>#REF!</v>
      </c>
      <c r="O141" s="62" t="e">
        <f>O31</f>
        <v>#REF!</v>
      </c>
      <c r="T141" s="62">
        <f>T31</f>
        <v>381.36672325976235</v>
      </c>
      <c r="Y141" s="62">
        <f>Y31</f>
        <v>321.81168057210965</v>
      </c>
      <c r="AD141" s="62">
        <f>AD31</f>
        <v>303.35759567973702</v>
      </c>
      <c r="AI141" s="62">
        <f>AI31</f>
        <v>259.05</v>
      </c>
      <c r="AJ141" s="62">
        <f>AN31</f>
        <v>236.2</v>
      </c>
      <c r="AK141" s="62" t="e">
        <f>AO31</f>
        <v>#REF!</v>
      </c>
      <c r="AL141" s="62" t="e">
        <f>AP31</f>
        <v>#REF!</v>
      </c>
      <c r="AM141" s="46">
        <f>325</f>
        <v>325</v>
      </c>
      <c r="AN141" s="46">
        <v>333</v>
      </c>
      <c r="AO141" s="62" t="e">
        <f>#REF!</f>
        <v>#REF!</v>
      </c>
      <c r="AP141" s="46">
        <v>345</v>
      </c>
      <c r="AQ141" s="62" t="e">
        <f>#REF!</f>
        <v>#REF!</v>
      </c>
      <c r="AR141" s="46">
        <f>325</f>
        <v>325</v>
      </c>
      <c r="AS141" s="46">
        <v>333</v>
      </c>
      <c r="AT141" s="62" t="e">
        <f>#REF!</f>
        <v>#REF!</v>
      </c>
      <c r="AU141" s="46">
        <v>345</v>
      </c>
      <c r="AV141" s="62">
        <f>BZ31</f>
        <v>0</v>
      </c>
      <c r="AW141" s="46">
        <f>325</f>
        <v>325</v>
      </c>
      <c r="AX141" s="46">
        <v>333</v>
      </c>
      <c r="AY141" s="62" t="e">
        <f>#REF!</f>
        <v>#REF!</v>
      </c>
      <c r="AZ141" s="62">
        <f>CC31</f>
        <v>0</v>
      </c>
      <c r="BA141" s="62">
        <f>CE31</f>
        <v>0</v>
      </c>
      <c r="BB141" s="62"/>
      <c r="BC141" s="46">
        <v>333</v>
      </c>
      <c r="BD141" s="62" t="e">
        <f>#REF!</f>
        <v>#REF!</v>
      </c>
      <c r="BE141" s="62">
        <f>CH31</f>
        <v>0</v>
      </c>
      <c r="BF141" s="62">
        <f>CJ31</f>
        <v>0</v>
      </c>
      <c r="BG141" s="62"/>
      <c r="BH141" s="46">
        <v>333</v>
      </c>
      <c r="BI141" s="62" t="e">
        <f>#REF!</f>
        <v>#REF!</v>
      </c>
      <c r="BJ141" s="46">
        <v>333</v>
      </c>
      <c r="BK141" s="62" t="e">
        <f>#REF!</f>
        <v>#REF!</v>
      </c>
      <c r="BL141" s="62" t="e">
        <f>#REF!</f>
        <v>#REF!</v>
      </c>
      <c r="BM141" s="62" t="e">
        <f>#REF!</f>
        <v>#REF!</v>
      </c>
      <c r="BN141" s="62"/>
      <c r="BO141" s="46">
        <v>333</v>
      </c>
      <c r="BP141" s="62" t="e">
        <f>#REF!</f>
        <v>#REF!</v>
      </c>
      <c r="BQ141" s="62" t="e">
        <f>#REF!</f>
        <v>#REF!</v>
      </c>
      <c r="BR141" s="62" t="e">
        <f>#REF!</f>
        <v>#REF!</v>
      </c>
      <c r="BS141" s="62" t="e">
        <f>#REF!</f>
        <v>#REF!</v>
      </c>
      <c r="BT141" s="46">
        <v>333</v>
      </c>
      <c r="BU141" s="62" t="e">
        <f>#REF!</f>
        <v>#REF!</v>
      </c>
      <c r="BV141" s="62" t="e">
        <f>#REF!</f>
        <v>#REF!</v>
      </c>
      <c r="BW141" s="62">
        <f>CD31</f>
        <v>0</v>
      </c>
    </row>
    <row r="142" spans="1:75" ht="15" x14ac:dyDescent="0.2">
      <c r="A142" s="64" t="s">
        <v>104</v>
      </c>
      <c r="AM142" s="46">
        <v>350</v>
      </c>
      <c r="AN142" s="46">
        <v>360</v>
      </c>
      <c r="AP142" s="46">
        <v>360</v>
      </c>
      <c r="AR142" s="46">
        <v>350</v>
      </c>
      <c r="AS142" s="46">
        <v>360</v>
      </c>
      <c r="AU142" s="46">
        <v>360</v>
      </c>
      <c r="AW142" s="46">
        <v>350</v>
      </c>
      <c r="AX142" s="46">
        <v>360</v>
      </c>
      <c r="BC142" s="46">
        <v>360</v>
      </c>
      <c r="BH142" s="46">
        <v>360</v>
      </c>
      <c r="BJ142" s="46">
        <v>360</v>
      </c>
      <c r="BO142" s="46">
        <v>360</v>
      </c>
      <c r="BT142" s="46">
        <v>360</v>
      </c>
    </row>
    <row r="143" spans="1:75" ht="30" x14ac:dyDescent="0.2">
      <c r="A143" s="64" t="s">
        <v>105</v>
      </c>
      <c r="AM143" s="46">
        <v>305</v>
      </c>
      <c r="AN143" s="46">
        <v>330</v>
      </c>
      <c r="AP143" s="46">
        <v>330</v>
      </c>
      <c r="AR143" s="46">
        <v>305</v>
      </c>
      <c r="AS143" s="46">
        <v>330</v>
      </c>
      <c r="AU143" s="46">
        <v>330</v>
      </c>
      <c r="AW143" s="46">
        <v>305</v>
      </c>
      <c r="AX143" s="46">
        <v>330</v>
      </c>
      <c r="BC143" s="46">
        <v>330</v>
      </c>
      <c r="BH143" s="46">
        <v>330</v>
      </c>
      <c r="BJ143" s="46">
        <v>330</v>
      </c>
      <c r="BO143" s="46">
        <v>330</v>
      </c>
      <c r="BT143" s="46">
        <v>330</v>
      </c>
    </row>
    <row r="144" spans="1:75" ht="15" x14ac:dyDescent="0.2">
      <c r="A144" s="64" t="s">
        <v>25</v>
      </c>
      <c r="AM144" s="46">
        <v>350</v>
      </c>
      <c r="AN144" s="46">
        <v>380</v>
      </c>
      <c r="AP144" s="46">
        <v>380</v>
      </c>
      <c r="AR144" s="46">
        <v>350</v>
      </c>
      <c r="AS144" s="46">
        <v>380</v>
      </c>
      <c r="AU144" s="46">
        <v>380</v>
      </c>
      <c r="AW144" s="46">
        <v>350</v>
      </c>
      <c r="AX144" s="46">
        <v>380</v>
      </c>
      <c r="BC144" s="46">
        <v>380</v>
      </c>
      <c r="BH144" s="46">
        <v>380</v>
      </c>
      <c r="BJ144" s="46">
        <v>380</v>
      </c>
      <c r="BO144" s="46">
        <v>380</v>
      </c>
      <c r="BT144" s="46">
        <v>380</v>
      </c>
    </row>
    <row r="145" spans="1:76" ht="15" x14ac:dyDescent="0.2">
      <c r="A145" s="64" t="s">
        <v>106</v>
      </c>
      <c r="AM145" s="46">
        <v>322</v>
      </c>
      <c r="AN145" s="46">
        <f>AM145</f>
        <v>322</v>
      </c>
      <c r="AP145" s="46">
        <v>338</v>
      </c>
      <c r="AR145" s="46">
        <v>322</v>
      </c>
      <c r="AS145" s="46">
        <f>AR145</f>
        <v>322</v>
      </c>
      <c r="AU145" s="46">
        <v>338</v>
      </c>
      <c r="AW145" s="46">
        <v>322</v>
      </c>
      <c r="AX145" s="46">
        <f>AW145</f>
        <v>322</v>
      </c>
      <c r="BC145" s="46">
        <f>BB145</f>
        <v>0</v>
      </c>
      <c r="BH145" s="46">
        <f>BG145</f>
        <v>0</v>
      </c>
      <c r="BJ145" s="46">
        <f>BI145</f>
        <v>0</v>
      </c>
      <c r="BO145" s="46">
        <f>BM145</f>
        <v>0</v>
      </c>
      <c r="BT145" s="46">
        <f>BR145</f>
        <v>0</v>
      </c>
    </row>
    <row r="146" spans="1:76" ht="15" x14ac:dyDescent="0.2">
      <c r="A146" s="64" t="s">
        <v>107</v>
      </c>
      <c r="AM146" s="46">
        <v>310</v>
      </c>
      <c r="AN146" s="46">
        <f>AM146</f>
        <v>310</v>
      </c>
      <c r="AP146" s="46">
        <v>330</v>
      </c>
      <c r="AR146" s="46">
        <v>310</v>
      </c>
      <c r="AS146" s="46">
        <f>AR146</f>
        <v>310</v>
      </c>
      <c r="AU146" s="46">
        <v>330</v>
      </c>
      <c r="AW146" s="46">
        <v>310</v>
      </c>
      <c r="AX146" s="46">
        <f>AW146</f>
        <v>310</v>
      </c>
      <c r="BC146" s="46">
        <f>BB146</f>
        <v>0</v>
      </c>
      <c r="BH146" s="46">
        <f>BG146</f>
        <v>0</v>
      </c>
      <c r="BJ146" s="46">
        <f>BI146</f>
        <v>0</v>
      </c>
      <c r="BO146" s="46">
        <f>BM146</f>
        <v>0</v>
      </c>
      <c r="BT146" s="46">
        <f>BR146</f>
        <v>0</v>
      </c>
    </row>
    <row r="148" spans="1:76" ht="15" thickBot="1" x14ac:dyDescent="0.25">
      <c r="A148" s="228"/>
    </row>
    <row r="149" spans="1:76" ht="15.75" thickTop="1" x14ac:dyDescent="0.2">
      <c r="A149" s="36" t="s">
        <v>530</v>
      </c>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197"/>
      <c r="AR149" s="197"/>
      <c r="AS149" s="197"/>
      <c r="AT149" s="197"/>
      <c r="AU149" s="197"/>
      <c r="AV149" s="197"/>
      <c r="AW149" s="197"/>
      <c r="AX149" s="197"/>
      <c r="AY149" s="197"/>
      <c r="AZ149" s="197"/>
      <c r="BA149" s="197"/>
      <c r="BB149" s="197"/>
      <c r="BC149" s="197"/>
      <c r="BD149" s="197"/>
      <c r="BE149" s="197"/>
      <c r="BF149" s="197"/>
      <c r="BG149" s="197"/>
      <c r="BH149" s="197"/>
      <c r="BI149" s="197"/>
      <c r="BJ149" s="197"/>
      <c r="BK149" s="197"/>
      <c r="BL149" s="197"/>
      <c r="BM149" s="197"/>
      <c r="BN149" s="197"/>
      <c r="BO149" s="197"/>
      <c r="BP149" s="197"/>
      <c r="BQ149" s="197"/>
      <c r="BR149" s="197"/>
      <c r="BS149" s="197"/>
      <c r="BT149" s="197"/>
      <c r="BU149" s="197"/>
      <c r="BV149" s="197"/>
      <c r="BW149" s="197"/>
    </row>
    <row r="150" spans="1:76" x14ac:dyDescent="0.2">
      <c r="A150" s="228"/>
    </row>
    <row r="151" spans="1:76" ht="24.75" customHeight="1" x14ac:dyDescent="0.2">
      <c r="A151" s="454" t="s">
        <v>339</v>
      </c>
      <c r="B151" s="346" t="str">
        <f>B140</f>
        <v>2003A</v>
      </c>
      <c r="C151" s="346" t="str">
        <f>C140</f>
        <v>2004A</v>
      </c>
      <c r="D151" s="346" t="str">
        <f>D140</f>
        <v>2005A</v>
      </c>
      <c r="E151" s="346" t="str">
        <f>E140</f>
        <v>2006A</v>
      </c>
      <c r="F151" s="347"/>
      <c r="G151" s="347"/>
      <c r="H151" s="347"/>
      <c r="I151" s="347"/>
      <c r="J151" s="346" t="str">
        <f>J140</f>
        <v>2007A</v>
      </c>
      <c r="K151" s="347"/>
      <c r="L151" s="347"/>
      <c r="M151" s="347"/>
      <c r="N151" s="347"/>
      <c r="O151" s="346" t="str">
        <f>O140</f>
        <v>2012A</v>
      </c>
      <c r="P151" s="347"/>
      <c r="Q151" s="347"/>
      <c r="R151" s="347"/>
      <c r="S151" s="347"/>
      <c r="T151" s="346" t="str">
        <f>T140</f>
        <v>2013A</v>
      </c>
      <c r="U151" s="347"/>
      <c r="V151" s="347"/>
      <c r="W151" s="347"/>
      <c r="X151" s="347"/>
      <c r="Y151" s="346" t="str">
        <f>Y140</f>
        <v>2014A</v>
      </c>
      <c r="Z151" s="347"/>
      <c r="AA151" s="347"/>
      <c r="AB151" s="347"/>
      <c r="AC151" s="347"/>
      <c r="AD151" s="346" t="str">
        <f>AD140</f>
        <v>2015A</v>
      </c>
      <c r="AE151" s="347"/>
      <c r="AF151" s="347"/>
      <c r="AG151" s="347"/>
      <c r="AH151" s="347"/>
      <c r="AI151" s="346" t="str">
        <f>AI140</f>
        <v>2016A</v>
      </c>
      <c r="AJ151" s="346" t="s">
        <v>438</v>
      </c>
      <c r="AK151" s="346" t="s">
        <v>485</v>
      </c>
      <c r="AL151" s="346" t="str">
        <f t="shared" ref="AL151:AX151" si="73">AJ140</f>
        <v>2017A</v>
      </c>
      <c r="AM151" s="346" t="str">
        <f t="shared" si="73"/>
        <v>Q1-14A</v>
      </c>
      <c r="AN151" s="346" t="str">
        <f t="shared" si="73"/>
        <v>Q2-14A</v>
      </c>
      <c r="AO151" s="346" t="str">
        <f t="shared" si="73"/>
        <v>Q3-14E</v>
      </c>
      <c r="AP151" s="346" t="str">
        <f t="shared" si="73"/>
        <v>Q4-14E</v>
      </c>
      <c r="AQ151" s="346" t="str">
        <f t="shared" si="73"/>
        <v>2014E</v>
      </c>
      <c r="AR151" s="346" t="str">
        <f t="shared" si="73"/>
        <v>2015E</v>
      </c>
      <c r="AS151" s="346" t="e">
        <f t="shared" si="73"/>
        <v>#REF!</v>
      </c>
      <c r="AT151" s="346" t="str">
        <f t="shared" si="73"/>
        <v>Q3-14E</v>
      </c>
      <c r="AU151" s="346" t="str">
        <f t="shared" si="73"/>
        <v>Q4-14E</v>
      </c>
      <c r="AV151" s="346" t="str">
        <f t="shared" si="73"/>
        <v>2014E</v>
      </c>
      <c r="AW151" s="346" t="str">
        <f t="shared" si="73"/>
        <v>2015E</v>
      </c>
      <c r="AX151" s="346" t="str">
        <f t="shared" si="73"/>
        <v>H2-25E</v>
      </c>
      <c r="AY151" s="346" t="str">
        <f>AV140</f>
        <v>H2-25E</v>
      </c>
      <c r="AZ151" s="346" t="str">
        <f>AW140</f>
        <v>Q3-14E</v>
      </c>
      <c r="BA151" s="346" t="str">
        <f>AY140</f>
        <v>H2-25E</v>
      </c>
      <c r="BB151" s="346"/>
      <c r="BC151" s="346" t="str">
        <f t="shared" ref="BC151" si="74">BA140</f>
        <v>2016E</v>
      </c>
      <c r="BD151" s="346" t="str">
        <f>BA140</f>
        <v>2016E</v>
      </c>
      <c r="BE151" s="346">
        <f>BB140</f>
        <v>0</v>
      </c>
      <c r="BF151" s="346" t="str">
        <f>BD140</f>
        <v>2016E</v>
      </c>
      <c r="BG151" s="346"/>
      <c r="BH151" s="346" t="str">
        <f t="shared" ref="BH151:BJ151" si="75">BF140</f>
        <v>2016E</v>
      </c>
      <c r="BI151" s="346" t="str">
        <f>BF140</f>
        <v>2016E</v>
      </c>
      <c r="BJ151" s="346" t="str">
        <f t="shared" si="75"/>
        <v>Q4-14E</v>
      </c>
      <c r="BK151" s="346" t="str">
        <f>BH140</f>
        <v>Q4-14E</v>
      </c>
      <c r="BL151" s="346" t="str">
        <f>BI140</f>
        <v>2016E</v>
      </c>
      <c r="BM151" s="346" t="str">
        <f>BJ140</f>
        <v>Q4-14E</v>
      </c>
      <c r="BN151" s="939"/>
      <c r="BO151" s="346" t="str">
        <f t="shared" ref="BO151" si="76">BL140</f>
        <v>2016E</v>
      </c>
      <c r="BP151" s="346" t="str">
        <f>BL140</f>
        <v>2016E</v>
      </c>
      <c r="BQ151" s="346" t="str">
        <f>BL140</f>
        <v>2016E</v>
      </c>
      <c r="BR151" s="346" t="str">
        <f>BM140</f>
        <v>2015E</v>
      </c>
      <c r="BS151" s="346" t="str">
        <f>BO140</f>
        <v>Q4-14E</v>
      </c>
      <c r="BT151" s="346" t="str">
        <f t="shared" ref="BT151" si="77">BQ140</f>
        <v>2016E</v>
      </c>
      <c r="BU151" s="346" t="str">
        <f>BQ140</f>
        <v>2016E</v>
      </c>
      <c r="BV151" s="346" t="str">
        <f>BR140</f>
        <v>2016E</v>
      </c>
      <c r="BW151" s="346" t="str">
        <f>AX140</f>
        <v>Q4-14E</v>
      </c>
    </row>
    <row r="152" spans="1:76" ht="30" x14ac:dyDescent="0.2">
      <c r="A152" s="64" t="str">
        <f>A97</f>
        <v>כמויות אשלג נמכרות כיל 
(מ' טון)</v>
      </c>
      <c r="B152" s="211">
        <f>B97</f>
        <v>5.2</v>
      </c>
      <c r="C152" s="211">
        <f t="shared" ref="C152:AI152" si="78">C97</f>
        <v>5.0999999999999996</v>
      </c>
      <c r="D152" s="211">
        <f t="shared" si="78"/>
        <v>4.7</v>
      </c>
      <c r="E152" s="211">
        <f t="shared" si="78"/>
        <v>3.9</v>
      </c>
      <c r="F152" s="211">
        <f t="shared" si="78"/>
        <v>0</v>
      </c>
      <c r="G152" s="211">
        <f t="shared" si="78"/>
        <v>0</v>
      </c>
      <c r="H152" s="211">
        <f t="shared" si="78"/>
        <v>0</v>
      </c>
      <c r="I152" s="211">
        <f t="shared" si="78"/>
        <v>0</v>
      </c>
      <c r="J152" s="211">
        <f t="shared" si="78"/>
        <v>5.1999999999999993</v>
      </c>
      <c r="K152" s="211">
        <f t="shared" si="78"/>
        <v>0</v>
      </c>
      <c r="L152" s="211">
        <f t="shared" si="78"/>
        <v>0</v>
      </c>
      <c r="M152" s="211">
        <f t="shared" si="78"/>
        <v>0</v>
      </c>
      <c r="N152" s="211">
        <f t="shared" si="78"/>
        <v>0</v>
      </c>
      <c r="O152" s="211">
        <f t="shared" si="78"/>
        <v>4.3360000000000003</v>
      </c>
      <c r="P152" s="211">
        <f t="shared" si="78"/>
        <v>0</v>
      </c>
      <c r="Q152" s="211">
        <f t="shared" si="78"/>
        <v>0</v>
      </c>
      <c r="R152" s="211">
        <f t="shared" si="78"/>
        <v>0</v>
      </c>
      <c r="S152" s="211">
        <f t="shared" si="78"/>
        <v>0</v>
      </c>
      <c r="T152" s="211">
        <f t="shared" si="78"/>
        <v>4.7119999999999997</v>
      </c>
      <c r="U152" s="211">
        <f t="shared" si="78"/>
        <v>0</v>
      </c>
      <c r="V152" s="211">
        <f t="shared" si="78"/>
        <v>0</v>
      </c>
      <c r="W152" s="211">
        <f t="shared" si="78"/>
        <v>0</v>
      </c>
      <c r="X152" s="211">
        <f t="shared" si="78"/>
        <v>0</v>
      </c>
      <c r="Y152" s="211">
        <f t="shared" si="78"/>
        <v>5.0339999999999998</v>
      </c>
      <c r="Z152" s="211">
        <f t="shared" si="78"/>
        <v>0</v>
      </c>
      <c r="AA152" s="211">
        <f t="shared" si="78"/>
        <v>0</v>
      </c>
      <c r="AB152" s="211">
        <f t="shared" si="78"/>
        <v>0</v>
      </c>
      <c r="AC152" s="211">
        <f t="shared" si="78"/>
        <v>0</v>
      </c>
      <c r="AD152" s="211">
        <f t="shared" si="78"/>
        <v>4.2590000000000003</v>
      </c>
      <c r="AE152" s="211">
        <f t="shared" si="78"/>
        <v>0</v>
      </c>
      <c r="AF152" s="211">
        <f t="shared" si="78"/>
        <v>0</v>
      </c>
      <c r="AG152" s="211">
        <f t="shared" si="78"/>
        <v>0</v>
      </c>
      <c r="AH152" s="211">
        <f t="shared" si="78"/>
        <v>0</v>
      </c>
      <c r="AI152" s="211">
        <f t="shared" si="78"/>
        <v>4.8179999999999996</v>
      </c>
      <c r="AJ152" s="211">
        <f>AJ16</f>
        <v>1.2509999999999999</v>
      </c>
      <c r="AK152" s="211">
        <f>AK16</f>
        <v>1.298</v>
      </c>
      <c r="AL152" s="211">
        <f>AJ97</f>
        <v>4.7380000000000004</v>
      </c>
      <c r="AM152" s="211">
        <f>AK97</f>
        <v>1.401</v>
      </c>
      <c r="AN152" s="211">
        <f>AL97</f>
        <v>1.2490000000000001</v>
      </c>
      <c r="AQ152" s="211">
        <f>AO97</f>
        <v>5.2535150000000002</v>
      </c>
      <c r="AR152" s="211">
        <f>AP97</f>
        <v>5.3060501499999999</v>
      </c>
      <c r="AS152" s="211" t="e">
        <f>AQ97</f>
        <v>#REF!</v>
      </c>
      <c r="AV152" s="211">
        <f>AT97</f>
        <v>5.2535150000000002</v>
      </c>
      <c r="AW152" s="211">
        <f>AU97</f>
        <v>5.3060501499999999</v>
      </c>
      <c r="AX152" s="211">
        <f>AV97</f>
        <v>0</v>
      </c>
      <c r="BC152" s="211">
        <f>BA97</f>
        <v>5.3060501499999999</v>
      </c>
      <c r="BH152" s="211">
        <f>BF97</f>
        <v>0</v>
      </c>
      <c r="BJ152" s="211">
        <f>BH97</f>
        <v>0</v>
      </c>
      <c r="BO152" s="211">
        <f>BL97</f>
        <v>0</v>
      </c>
      <c r="BT152" s="211">
        <f>BQ97</f>
        <v>0</v>
      </c>
    </row>
    <row r="153" spans="1:76" ht="15" x14ac:dyDescent="0.2">
      <c r="A153" s="64" t="s">
        <v>531</v>
      </c>
      <c r="B153" s="62" t="e">
        <f>B36</f>
        <v>#REF!</v>
      </c>
      <c r="C153" s="62" t="e">
        <f>C36</f>
        <v>#REF!</v>
      </c>
      <c r="D153" s="62" t="e">
        <f>D36</f>
        <v>#REF!</v>
      </c>
      <c r="E153" s="62" t="e">
        <f>E36</f>
        <v>#REF!</v>
      </c>
      <c r="J153" s="62" t="e">
        <f>J36</f>
        <v>#REF!</v>
      </c>
      <c r="O153" s="62">
        <f>O36</f>
        <v>1964.741</v>
      </c>
      <c r="T153" s="62">
        <f>T36</f>
        <v>1797</v>
      </c>
      <c r="Y153" s="62">
        <f>Y36</f>
        <v>1620</v>
      </c>
      <c r="AD153" s="62">
        <f>AD36</f>
        <v>1292</v>
      </c>
      <c r="AI153" s="62">
        <f>AI36</f>
        <v>1213</v>
      </c>
      <c r="AJ153" s="62" t="e">
        <f>AJ36</f>
        <v>#REF!</v>
      </c>
      <c r="AK153" s="62" t="e">
        <f>AK36</f>
        <v>#REF!</v>
      </c>
      <c r="AL153" s="62">
        <f>AN36</f>
        <v>1258</v>
      </c>
      <c r="AM153" s="62" t="e">
        <f>AO36</f>
        <v>#REF!</v>
      </c>
      <c r="AN153" s="62" t="e">
        <f>AP36</f>
        <v>#REF!</v>
      </c>
      <c r="AO153" s="62"/>
      <c r="AQ153" s="62" t="e">
        <f>#REF!</f>
        <v>#REF!</v>
      </c>
      <c r="AR153" s="62" t="e">
        <f>#REF!</f>
        <v>#REF!</v>
      </c>
      <c r="AS153" s="62" t="e">
        <f>#REF!</f>
        <v>#REF!</v>
      </c>
      <c r="AT153" s="62"/>
      <c r="AV153" s="62" t="e">
        <f>#REF!</f>
        <v>#REF!</v>
      </c>
      <c r="AW153" s="62" t="e">
        <f>#REF!</f>
        <v>#REF!</v>
      </c>
      <c r="AX153" s="62" t="e">
        <f>#REF!</f>
        <v>#REF!</v>
      </c>
      <c r="AY153" s="62"/>
      <c r="AZ153" s="62"/>
      <c r="BA153" s="62"/>
      <c r="BB153" s="62"/>
      <c r="BC153" s="62">
        <f>CD36</f>
        <v>0</v>
      </c>
      <c r="BD153" s="62"/>
      <c r="BE153" s="62"/>
      <c r="BF153" s="62"/>
      <c r="BG153" s="62"/>
      <c r="BH153" s="62">
        <f>CI36</f>
        <v>0</v>
      </c>
      <c r="BI153" s="62"/>
      <c r="BJ153" s="62">
        <f>CK36</f>
        <v>0</v>
      </c>
      <c r="BK153" s="62"/>
      <c r="BL153" s="62"/>
      <c r="BM153" s="62"/>
      <c r="BN153" s="62"/>
      <c r="BO153" s="62">
        <f>CO36</f>
        <v>0</v>
      </c>
      <c r="BP153" s="62"/>
      <c r="BQ153" s="62"/>
      <c r="BR153" s="62"/>
      <c r="BS153" s="62"/>
      <c r="BT153" s="62">
        <f>CT36</f>
        <v>0</v>
      </c>
      <c r="BU153" s="62"/>
      <c r="BV153" s="62"/>
      <c r="BW153" s="62"/>
      <c r="BX153" s="62"/>
    </row>
    <row r="154" spans="1:76" ht="15" x14ac:dyDescent="0.2">
      <c r="A154" s="64" t="s">
        <v>532</v>
      </c>
      <c r="B154" s="62" t="e">
        <f>B141</f>
        <v>#REF!</v>
      </c>
      <c r="C154" s="62" t="e">
        <f>C141</f>
        <v>#REF!</v>
      </c>
      <c r="D154" s="62" t="e">
        <f>D141</f>
        <v>#REF!</v>
      </c>
      <c r="E154" s="62" t="e">
        <f>E141</f>
        <v>#REF!</v>
      </c>
      <c r="J154" s="62" t="e">
        <f>J141</f>
        <v>#REF!</v>
      </c>
      <c r="O154" s="62" t="e">
        <f>O141</f>
        <v>#REF!</v>
      </c>
      <c r="T154" s="62">
        <f>T141</f>
        <v>381.36672325976235</v>
      </c>
      <c r="Y154" s="62">
        <f>Y141</f>
        <v>321.81168057210965</v>
      </c>
      <c r="AD154" s="62">
        <f>AD141</f>
        <v>303.35759567973702</v>
      </c>
      <c r="AI154" s="62">
        <f>AI141</f>
        <v>259.05</v>
      </c>
      <c r="AJ154" s="62" t="e">
        <f>AJ31</f>
        <v>#REF!</v>
      </c>
      <c r="AK154" s="62" t="e">
        <f>AK31</f>
        <v>#REF!</v>
      </c>
      <c r="AL154" s="62">
        <f t="shared" ref="AL154:AX154" si="79">AJ141</f>
        <v>236.2</v>
      </c>
      <c r="AM154" s="62" t="e">
        <f t="shared" si="79"/>
        <v>#REF!</v>
      </c>
      <c r="AN154" s="62" t="e">
        <f t="shared" si="79"/>
        <v>#REF!</v>
      </c>
      <c r="AO154" s="62">
        <f t="shared" si="79"/>
        <v>325</v>
      </c>
      <c r="AP154" s="62">
        <f t="shared" si="79"/>
        <v>333</v>
      </c>
      <c r="AQ154" s="62" t="e">
        <f t="shared" si="79"/>
        <v>#REF!</v>
      </c>
      <c r="AR154" s="62">
        <f t="shared" si="79"/>
        <v>345</v>
      </c>
      <c r="AS154" s="62" t="e">
        <f t="shared" si="79"/>
        <v>#REF!</v>
      </c>
      <c r="AT154" s="62">
        <f t="shared" si="79"/>
        <v>325</v>
      </c>
      <c r="AU154" s="62">
        <f t="shared" si="79"/>
        <v>333</v>
      </c>
      <c r="AV154" s="62" t="e">
        <f t="shared" si="79"/>
        <v>#REF!</v>
      </c>
      <c r="AW154" s="62">
        <f t="shared" si="79"/>
        <v>345</v>
      </c>
      <c r="AX154" s="62">
        <f t="shared" si="79"/>
        <v>0</v>
      </c>
      <c r="AY154" s="62">
        <f>AV141</f>
        <v>0</v>
      </c>
      <c r="AZ154" s="62">
        <f>AW141</f>
        <v>325</v>
      </c>
      <c r="BA154" s="62" t="e">
        <f>AY141</f>
        <v>#REF!</v>
      </c>
      <c r="BB154" s="62"/>
      <c r="BC154" s="62">
        <f t="shared" ref="BC154" si="80">BA141</f>
        <v>0</v>
      </c>
      <c r="BD154" s="62">
        <f>BA141</f>
        <v>0</v>
      </c>
      <c r="BE154" s="62">
        <f>BB141</f>
        <v>0</v>
      </c>
      <c r="BF154" s="62" t="e">
        <f>BD141</f>
        <v>#REF!</v>
      </c>
      <c r="BG154" s="62"/>
      <c r="BH154" s="62">
        <f t="shared" ref="BH154:BJ154" si="81">BF141</f>
        <v>0</v>
      </c>
      <c r="BI154" s="62">
        <f>BF141</f>
        <v>0</v>
      </c>
      <c r="BJ154" s="62">
        <f t="shared" si="81"/>
        <v>333</v>
      </c>
      <c r="BK154" s="62">
        <f>BH141</f>
        <v>333</v>
      </c>
      <c r="BL154" s="62" t="e">
        <f>BI141</f>
        <v>#REF!</v>
      </c>
      <c r="BM154" s="62">
        <f>BJ141</f>
        <v>333</v>
      </c>
      <c r="BN154" s="62"/>
      <c r="BO154" s="62" t="e">
        <f t="shared" ref="BO154" si="82">BL141</f>
        <v>#REF!</v>
      </c>
      <c r="BP154" s="62" t="e">
        <f>BL141</f>
        <v>#REF!</v>
      </c>
      <c r="BQ154" s="62" t="e">
        <f>BL141</f>
        <v>#REF!</v>
      </c>
      <c r="BR154" s="62" t="e">
        <f>BM141</f>
        <v>#REF!</v>
      </c>
      <c r="BS154" s="62">
        <f>BO141</f>
        <v>333</v>
      </c>
      <c r="BT154" s="62" t="e">
        <f t="shared" ref="BT154" si="83">BQ141</f>
        <v>#REF!</v>
      </c>
      <c r="BU154" s="62" t="e">
        <f>BQ141</f>
        <v>#REF!</v>
      </c>
      <c r="BV154" s="62" t="e">
        <f>BR141</f>
        <v>#REF!</v>
      </c>
      <c r="BW154" s="62">
        <f>AX141</f>
        <v>333</v>
      </c>
    </row>
    <row r="155" spans="1:76" ht="15" x14ac:dyDescent="0.2">
      <c r="A155" s="64"/>
    </row>
    <row r="156" spans="1:76" ht="15" x14ac:dyDescent="0.2">
      <c r="A156" s="64" t="s">
        <v>101</v>
      </c>
      <c r="B156" s="62" t="e">
        <f t="shared" ref="B156:E157" si="84">B40</f>
        <v>#REF!</v>
      </c>
      <c r="C156" s="62" t="e">
        <f t="shared" si="84"/>
        <v>#REF!</v>
      </c>
      <c r="D156" s="62" t="e">
        <f t="shared" si="84"/>
        <v>#REF!</v>
      </c>
      <c r="E156" s="62" t="e">
        <f t="shared" si="84"/>
        <v>#REF!</v>
      </c>
      <c r="J156" s="62" t="e">
        <f>J40</f>
        <v>#REF!</v>
      </c>
      <c r="O156" s="62">
        <f>O40</f>
        <v>996.49099999999999</v>
      </c>
      <c r="T156" s="62">
        <f>T40</f>
        <v>740</v>
      </c>
      <c r="Y156" s="62">
        <f>Y40</f>
        <v>536</v>
      </c>
      <c r="AD156" s="62">
        <f>AD40</f>
        <v>375</v>
      </c>
      <c r="AI156" s="62">
        <f t="shared" ref="AI156:AK157" si="85">AI40</f>
        <v>245</v>
      </c>
      <c r="AJ156" s="62" t="e">
        <f t="shared" si="85"/>
        <v>#REF!</v>
      </c>
      <c r="AK156" s="62" t="e">
        <f t="shared" si="85"/>
        <v>#REF!</v>
      </c>
      <c r="AL156" s="62">
        <f t="shared" ref="AL156:AN157" si="86">AN40</f>
        <v>198</v>
      </c>
      <c r="AM156" s="62" t="e">
        <f t="shared" si="86"/>
        <v>#REF!</v>
      </c>
      <c r="AN156" s="62">
        <f t="shared" si="86"/>
        <v>139</v>
      </c>
      <c r="AQ156" s="62" t="e">
        <f>#REF!</f>
        <v>#REF!</v>
      </c>
      <c r="AR156" s="62" t="e">
        <f>#REF!</f>
        <v>#REF!</v>
      </c>
      <c r="AS156" s="62" t="e">
        <f>#REF!</f>
        <v>#REF!</v>
      </c>
      <c r="AV156" s="62">
        <f>BX40</f>
        <v>0</v>
      </c>
      <c r="AW156" s="62">
        <f>BY40</f>
        <v>0</v>
      </c>
      <c r="AX156" s="62">
        <f>BY40</f>
        <v>0</v>
      </c>
      <c r="BC156" s="62">
        <f>CD40</f>
        <v>0</v>
      </c>
      <c r="BH156" s="62">
        <f>CI40</f>
        <v>0</v>
      </c>
      <c r="BJ156" s="62">
        <f>CK40</f>
        <v>0</v>
      </c>
      <c r="BO156" s="62">
        <f>CO40</f>
        <v>0</v>
      </c>
      <c r="BT156" s="62">
        <f>CT40</f>
        <v>0</v>
      </c>
      <c r="BX156" s="62"/>
    </row>
    <row r="157" spans="1:76" ht="15" x14ac:dyDescent="0.2">
      <c r="A157" s="64" t="s">
        <v>115</v>
      </c>
      <c r="B157" s="62" t="e">
        <f t="shared" si="84"/>
        <v>#REF!</v>
      </c>
      <c r="C157" s="62" t="e">
        <f t="shared" si="84"/>
        <v>#REF!</v>
      </c>
      <c r="D157" s="62" t="e">
        <f t="shared" si="84"/>
        <v>#REF!</v>
      </c>
      <c r="E157" s="62" t="e">
        <f t="shared" si="84"/>
        <v>#REF!</v>
      </c>
      <c r="J157" s="62" t="e">
        <f>J41</f>
        <v>#REF!</v>
      </c>
      <c r="O157" s="62">
        <f>O41</f>
        <v>229.81803505535052</v>
      </c>
      <c r="T157" s="62">
        <f>T41</f>
        <v>157.04584040747031</v>
      </c>
      <c r="Y157" s="62">
        <f>Y41</f>
        <v>106.47596344854986</v>
      </c>
      <c r="AD157" s="62">
        <f>AD41</f>
        <v>88.048837755341623</v>
      </c>
      <c r="AI157" s="62">
        <f t="shared" si="85"/>
        <v>50.850975508509762</v>
      </c>
      <c r="AJ157" s="62" t="e">
        <f t="shared" si="85"/>
        <v>#REF!</v>
      </c>
      <c r="AK157" s="62" t="e">
        <f t="shared" si="85"/>
        <v>#REF!</v>
      </c>
      <c r="AL157" s="62">
        <f t="shared" si="86"/>
        <v>41.789784719290836</v>
      </c>
      <c r="AM157" s="62" t="e">
        <f t="shared" si="86"/>
        <v>#REF!</v>
      </c>
      <c r="AN157" s="62">
        <f t="shared" si="86"/>
        <v>111.28903122497998</v>
      </c>
      <c r="AQ157" s="62" t="e">
        <f>#REF!</f>
        <v>#REF!</v>
      </c>
      <c r="AR157" s="62" t="e">
        <f>#REF!</f>
        <v>#REF!</v>
      </c>
      <c r="AS157" s="62" t="e">
        <f>#REF!</f>
        <v>#REF!</v>
      </c>
      <c r="AV157" s="62">
        <f>BX41</f>
        <v>0</v>
      </c>
      <c r="AW157" s="62">
        <f>BY41</f>
        <v>93</v>
      </c>
      <c r="AX157" s="62">
        <f>BY41</f>
        <v>93</v>
      </c>
      <c r="BC157" s="62">
        <f>CD41</f>
        <v>0</v>
      </c>
      <c r="BH157" s="62">
        <f>CI41</f>
        <v>0</v>
      </c>
      <c r="BJ157" s="62">
        <f>CK41</f>
        <v>0</v>
      </c>
      <c r="BO157" s="62">
        <f>CO41</f>
        <v>0</v>
      </c>
      <c r="BT157" s="62">
        <f>CT41</f>
        <v>0</v>
      </c>
    </row>
    <row r="158" spans="1:76" ht="15" x14ac:dyDescent="0.2">
      <c r="A158" s="64" t="s">
        <v>371</v>
      </c>
      <c r="B158" s="209" t="e">
        <f>B157/B154</f>
        <v>#REF!</v>
      </c>
      <c r="C158" s="209" t="e">
        <f>C157/C154</f>
        <v>#REF!</v>
      </c>
      <c r="D158" s="209" t="e">
        <f>D157/D154</f>
        <v>#REF!</v>
      </c>
      <c r="E158" s="209" t="e">
        <f>E157/E154</f>
        <v>#REF!</v>
      </c>
      <c r="J158" s="209" t="e">
        <f>J157/J154</f>
        <v>#REF!</v>
      </c>
      <c r="O158" s="209" t="e">
        <f>O157/O154</f>
        <v>#REF!</v>
      </c>
      <c r="T158" s="209">
        <f>T157/T154</f>
        <v>0.41179744017807457</v>
      </c>
      <c r="Y158" s="209">
        <f>Y157/Y154</f>
        <v>0.33086419753086421</v>
      </c>
      <c r="AD158" s="209">
        <f>AD157/AD154</f>
        <v>0.29024767801857582</v>
      </c>
      <c r="AI158" s="209">
        <f t="shared" ref="AI158:AN158" si="87">AI157/AI154</f>
        <v>0.19629791742331504</v>
      </c>
      <c r="AJ158" s="209" t="e">
        <f t="shared" si="87"/>
        <v>#REF!</v>
      </c>
      <c r="AK158" s="209" t="e">
        <f t="shared" si="87"/>
        <v>#REF!</v>
      </c>
      <c r="AL158" s="209">
        <f t="shared" si="87"/>
        <v>0.17692542218158694</v>
      </c>
      <c r="AM158" s="209" t="e">
        <f t="shared" si="87"/>
        <v>#REF!</v>
      </c>
      <c r="AN158" s="209" t="e">
        <f t="shared" si="87"/>
        <v>#REF!</v>
      </c>
      <c r="AQ158" s="209" t="e">
        <f>AQ157/AQ154</f>
        <v>#REF!</v>
      </c>
      <c r="AR158" s="209" t="e">
        <f>AR157/AR154</f>
        <v>#REF!</v>
      </c>
      <c r="AS158" s="209" t="e">
        <f>AS157/AS154</f>
        <v>#REF!</v>
      </c>
      <c r="AV158" s="209" t="e">
        <f>AV157/AV154</f>
        <v>#REF!</v>
      </c>
      <c r="AW158" s="209">
        <f>AW157/AW154</f>
        <v>0.26956521739130435</v>
      </c>
      <c r="AX158" s="209" t="e">
        <f>AX157/AX154</f>
        <v>#DIV/0!</v>
      </c>
      <c r="BC158" s="209" t="e">
        <f>BC157/BC154</f>
        <v>#DIV/0!</v>
      </c>
      <c r="BH158" s="209" t="e">
        <f>BH157/BH154</f>
        <v>#DIV/0!</v>
      </c>
      <c r="BJ158" s="209">
        <f>BJ157/BJ154</f>
        <v>0</v>
      </c>
      <c r="BO158" s="209" t="e">
        <f>BO157/BO154</f>
        <v>#REF!</v>
      </c>
      <c r="BT158" s="209" t="e">
        <f>BT157/BT154</f>
        <v>#REF!</v>
      </c>
    </row>
  </sheetData>
  <mergeCells count="7">
    <mergeCell ref="A2:BW2"/>
    <mergeCell ref="A25:BW25"/>
    <mergeCell ref="A35:BW35"/>
    <mergeCell ref="A149:AP149"/>
    <mergeCell ref="B4:T4"/>
    <mergeCell ref="A5:AZ5"/>
    <mergeCell ref="A138:AP138"/>
  </mergeCells>
  <printOptions horizontalCentered="1"/>
  <pageMargins left="0.74803149606299213" right="0.74803149606299213" top="0.98425196850393704" bottom="0.98425196850393704" header="0.51181102362204722" footer="0.51181102362204722"/>
  <pageSetup paperSize="9" scale="64" orientation="landscape" horizontalDpi="200" verticalDpi="200"/>
  <headerFooter alignWithMargins="0"/>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C5:AG68"/>
  <sheetViews>
    <sheetView showGridLines="0" rightToLeft="1" workbookViewId="0"/>
  </sheetViews>
  <sheetFormatPr defaultRowHeight="12.75" x14ac:dyDescent="0.2"/>
  <cols>
    <col min="3" max="3" width="12" bestFit="1" customWidth="1"/>
    <col min="4" max="10" width="7.85546875" customWidth="1"/>
    <col min="11" max="11" width="4.5703125" customWidth="1"/>
    <col min="12" max="12" width="11.42578125" bestFit="1" customWidth="1"/>
    <col min="13" max="19" width="7.140625" customWidth="1"/>
    <col min="22" max="24" width="0" hidden="1" customWidth="1"/>
    <col min="29" max="30" width="7.140625" customWidth="1"/>
    <col min="32" max="33" width="7.85546875" customWidth="1"/>
  </cols>
  <sheetData>
    <row r="5" spans="3:33" ht="13.5" thickBot="1" x14ac:dyDescent="0.25"/>
    <row r="6" spans="3:33" ht="15.75" thickTop="1" x14ac:dyDescent="0.25">
      <c r="C6" s="1084" t="s">
        <v>777</v>
      </c>
      <c r="D6" s="1084"/>
      <c r="E6" s="1084"/>
      <c r="F6" s="1084"/>
      <c r="G6" s="1084"/>
      <c r="H6" s="1084"/>
      <c r="I6" s="1084"/>
      <c r="J6" s="1084"/>
      <c r="L6" s="1084" t="s">
        <v>778</v>
      </c>
      <c r="M6" s="1084"/>
      <c r="N6" s="1084"/>
      <c r="O6" s="1084"/>
      <c r="P6" s="1084"/>
      <c r="Q6" s="1084"/>
      <c r="R6" s="1084"/>
      <c r="S6" s="1084"/>
      <c r="V6" s="1084"/>
      <c r="W6" s="1084"/>
      <c r="X6" s="1084"/>
      <c r="AC6" s="1084"/>
      <c r="AD6" s="1084"/>
      <c r="AF6" s="1084"/>
      <c r="AG6" s="1084"/>
    </row>
    <row r="7" spans="3:33" x14ac:dyDescent="0.2">
      <c r="C7" s="513" t="s">
        <v>293</v>
      </c>
      <c r="D7" s="862">
        <v>2024</v>
      </c>
      <c r="E7" s="862">
        <v>2023</v>
      </c>
      <c r="F7" s="862">
        <v>2022</v>
      </c>
      <c r="G7" s="862">
        <v>2021</v>
      </c>
      <c r="H7" s="862">
        <v>2020</v>
      </c>
      <c r="I7" s="522">
        <v>2019</v>
      </c>
      <c r="J7" s="861">
        <v>2018</v>
      </c>
      <c r="L7" s="513" t="s">
        <v>293</v>
      </c>
      <c r="M7" s="862" t="str">
        <f>'Reported Rev.. Split'!N3</f>
        <v>Q12025</v>
      </c>
      <c r="N7" s="862" t="str">
        <f>'Reported Rev.. Split'!O3</f>
        <v>Q42024</v>
      </c>
      <c r="O7" s="862" t="str">
        <f>'Reported Rev.. Split'!P3</f>
        <v>Q32024</v>
      </c>
      <c r="P7" s="862" t="str">
        <f>'Reported Rev.. Split'!Q3</f>
        <v>Q22024</v>
      </c>
      <c r="Q7" s="862" t="str">
        <f>'Reported Rev.. Split'!R3</f>
        <v>Q12024</v>
      </c>
      <c r="R7" s="862" t="str">
        <f>'Reported Rev.. Split'!S3</f>
        <v>Q42023</v>
      </c>
      <c r="S7" s="861" t="str">
        <f>'Reported Rev.. Split'!T3</f>
        <v>Q32023</v>
      </c>
      <c r="V7" s="522" t="str">
        <f>'Reported Rev.. Split'!AG3</f>
        <v>Q3 2019</v>
      </c>
      <c r="W7" s="523" t="str">
        <f>'Reported Rev.. Split'!AH3</f>
        <v>Q2 2019</v>
      </c>
      <c r="X7" s="524" t="str">
        <f>'Reported Rev.. Split'!AI3</f>
        <v>Q1 2019</v>
      </c>
      <c r="AC7" s="862" t="str">
        <f>'Reported Rev.. Split'!U3</f>
        <v>Q22023</v>
      </c>
      <c r="AD7" s="861" t="str">
        <f>'Reported Rev.. Split'!V3</f>
        <v>Q12023</v>
      </c>
      <c r="AF7" s="862">
        <v>2017</v>
      </c>
      <c r="AG7" s="861">
        <v>2016</v>
      </c>
    </row>
    <row r="8" spans="3:33" x14ac:dyDescent="0.2">
      <c r="C8" s="640" t="s">
        <v>204</v>
      </c>
      <c r="D8" s="312">
        <f>'Reported Rev.. Split'!C7</f>
        <v>2049</v>
      </c>
      <c r="E8" s="312">
        <f>'Reported Rev.. Split'!D7</f>
        <v>2141</v>
      </c>
      <c r="F8" s="335">
        <f>'Reported Rev.. Split'!E7</f>
        <v>2851</v>
      </c>
      <c r="G8" s="335">
        <f>'Reported Rev.. Split'!F7</f>
        <v>2334</v>
      </c>
      <c r="H8" s="335">
        <f>'Reported Rev.. Split'!G7</f>
        <v>1871</v>
      </c>
      <c r="I8" s="335">
        <f>'Reported Rev.. Split'!H7</f>
        <v>1901</v>
      </c>
      <c r="J8" s="332">
        <f>'Reported Rev.. Split'!I7</f>
        <v>2001</v>
      </c>
      <c r="L8" s="640" t="s">
        <v>204</v>
      </c>
      <c r="M8" s="1089">
        <f>'Reported Rev.. Split'!N7</f>
        <v>536</v>
      </c>
      <c r="N8" s="312">
        <f>'Reported Rev.. Split'!O7</f>
        <v>475</v>
      </c>
      <c r="O8" s="312">
        <f>'Reported Rev.. Split'!P7</f>
        <v>529</v>
      </c>
      <c r="P8" s="312">
        <f>'Reported Rev.. Split'!Q7</f>
        <v>528</v>
      </c>
      <c r="Q8" s="312">
        <f>'Reported Rev.. Split'!R7</f>
        <v>517</v>
      </c>
      <c r="R8" s="312">
        <f>'Reported Rev.. Split'!S7</f>
        <v>370</v>
      </c>
      <c r="S8" s="332">
        <f>'Reported Rev.. Split'!T7</f>
        <v>559</v>
      </c>
      <c r="V8" s="335">
        <f>'Reported Rev.. Split'!AG7</f>
        <v>491</v>
      </c>
      <c r="W8" s="312">
        <f>'Reported Rev.. Split'!AH7</f>
        <v>496</v>
      </c>
      <c r="X8" s="332">
        <f>'Reported Rev.. Split'!AI7</f>
        <v>514</v>
      </c>
      <c r="AC8" s="312">
        <f>'Reported Rev.. Split'!U7</f>
        <v>553</v>
      </c>
      <c r="AD8" s="332">
        <f>'Reported Rev.. Split'!V7</f>
        <v>659</v>
      </c>
      <c r="AF8" s="312">
        <f>'Reported Rev.. Split'!J7</f>
        <v>1938</v>
      </c>
      <c r="AG8" s="332">
        <f>'Reported Rev.. Split'!K7</f>
        <v>2082</v>
      </c>
    </row>
    <row r="9" spans="3:33" x14ac:dyDescent="0.2">
      <c r="C9" s="640" t="s">
        <v>580</v>
      </c>
      <c r="D9" s="333">
        <f t="shared" ref="D9:H9" si="0">D8/E8-1</f>
        <v>-4.2970574497898206E-2</v>
      </c>
      <c r="E9" s="333">
        <f t="shared" si="0"/>
        <v>-0.2490354261662574</v>
      </c>
      <c r="F9" s="333">
        <f t="shared" si="0"/>
        <v>0.22150814053127688</v>
      </c>
      <c r="G9" s="333">
        <f t="shared" si="0"/>
        <v>0.24746125066809199</v>
      </c>
      <c r="H9" s="333">
        <f t="shared" si="0"/>
        <v>-1.5781167806417695E-2</v>
      </c>
      <c r="I9" s="336">
        <f>I8/J8-1</f>
        <v>-4.9975012493753135E-2</v>
      </c>
      <c r="J9" s="334">
        <f>J8/AF8-1</f>
        <v>3.2507739938080427E-2</v>
      </c>
      <c r="L9" s="640" t="s">
        <v>776</v>
      </c>
      <c r="M9" s="1090">
        <f>M8/N8-1</f>
        <v>0.12842105263157899</v>
      </c>
      <c r="N9" s="642">
        <f t="shared" ref="N9" si="1">N8/O8-1</f>
        <v>-0.10207939508506614</v>
      </c>
      <c r="O9" s="333">
        <f t="shared" ref="O9" si="2">O8/P8-1</f>
        <v>1.8939393939394478E-3</v>
      </c>
      <c r="P9" s="333">
        <f t="shared" ref="P9" si="3">P8/Q8-1</f>
        <v>2.1276595744680771E-2</v>
      </c>
      <c r="Q9" s="333">
        <f>Q8/R8-1</f>
        <v>0.39729729729729724</v>
      </c>
      <c r="R9" s="333">
        <f t="shared" ref="R9" si="4">R8/S8-1</f>
        <v>-0.33810375670840787</v>
      </c>
      <c r="S9" s="334">
        <f>S8/AC8-1</f>
        <v>1.0849909584086825E-2</v>
      </c>
      <c r="V9" s="336">
        <f t="shared" ref="V9:W9" si="5">V8/W8-1</f>
        <v>-1.0080645161290369E-2</v>
      </c>
      <c r="W9" s="333">
        <f t="shared" si="5"/>
        <v>-3.5019455252918275E-2</v>
      </c>
      <c r="X9" s="334"/>
      <c r="AC9" s="333">
        <f t="shared" ref="AC9" si="6">AC8/AD8-1</f>
        <v>-0.16084977238239762</v>
      </c>
      <c r="AD9" s="334"/>
      <c r="AF9" s="333">
        <f>AF8/AG8-1</f>
        <v>-6.9164265129682989E-2</v>
      </c>
      <c r="AG9" s="311"/>
    </row>
    <row r="10" spans="3:33" x14ac:dyDescent="0.2">
      <c r="C10" s="640" t="s">
        <v>775</v>
      </c>
      <c r="D10" s="310">
        <f>'Reported Rev.. Split'!C34</f>
        <v>358</v>
      </c>
      <c r="E10" s="310">
        <f>'Reported Rev.. Split'!D34</f>
        <v>350</v>
      </c>
      <c r="F10" s="310">
        <f>'Reported Rev.. Split'!E34</f>
        <v>777</v>
      </c>
      <c r="G10" s="310">
        <f>'Reported Rev.. Split'!F34</f>
        <v>307</v>
      </c>
      <c r="H10" s="310">
        <f>'Reported Rev.. Split'!G34</f>
        <v>66</v>
      </c>
      <c r="I10" s="281">
        <f>'Reported Rev.. Split'!H34</f>
        <v>100</v>
      </c>
      <c r="J10" s="311">
        <f>'Reported Rev.. Split'!I34</f>
        <v>113</v>
      </c>
      <c r="L10" s="640" t="s">
        <v>775</v>
      </c>
      <c r="M10" s="1091">
        <f>'Reported Rev.. Split'!N34</f>
        <v>91</v>
      </c>
      <c r="N10" s="310">
        <f>'Reported Rev.. Split'!O34</f>
        <v>81</v>
      </c>
      <c r="O10" s="310">
        <f>'Reported Rev.. Split'!P34</f>
        <v>100</v>
      </c>
      <c r="P10" s="310">
        <f>'Reported Rev.. Split'!Q34</f>
        <v>93</v>
      </c>
      <c r="Q10" s="310">
        <f>'Reported Rev.. Split'!R34</f>
        <v>84</v>
      </c>
      <c r="R10" s="310">
        <f>'Reported Rev.. Split'!S34</f>
        <v>95</v>
      </c>
      <c r="S10" s="311">
        <f>'Reported Rev.. Split'!T34</f>
        <v>69</v>
      </c>
      <c r="V10" s="281">
        <f>'Reported Rev.. Split'!AG34</f>
        <v>32</v>
      </c>
      <c r="W10" s="310">
        <f>'Reported Rev.. Split'!AH34</f>
        <v>32</v>
      </c>
      <c r="X10" s="311">
        <f>'Reported Rev.. Split'!AI34</f>
        <v>35</v>
      </c>
      <c r="AC10" s="310">
        <f>'Reported Rev.. Split'!U34</f>
        <v>71</v>
      </c>
      <c r="AD10" s="311">
        <f>'Reported Rev.. Split'!V34</f>
        <v>115</v>
      </c>
      <c r="AF10" s="310">
        <f>'Reported Rev.. Split'!J34</f>
        <v>53</v>
      </c>
      <c r="AG10" s="311">
        <f>'Reported Rev.. Split'!K34</f>
        <v>75</v>
      </c>
    </row>
    <row r="11" spans="3:33" x14ac:dyDescent="0.2">
      <c r="C11" s="641" t="s">
        <v>371</v>
      </c>
      <c r="D11" s="333">
        <f t="shared" ref="D11" si="7">D10/D8</f>
        <v>0.17471937530502685</v>
      </c>
      <c r="E11" s="333">
        <f t="shared" ref="E11:F11" si="8">E10/E8</f>
        <v>0.16347501167678655</v>
      </c>
      <c r="F11" s="333">
        <f t="shared" si="8"/>
        <v>0.27253595229743949</v>
      </c>
      <c r="G11" s="333">
        <f t="shared" ref="G11:H11" si="9">G10/G8</f>
        <v>0.13153384747215083</v>
      </c>
      <c r="H11" s="333">
        <f t="shared" si="9"/>
        <v>3.5275253874933188E-2</v>
      </c>
      <c r="I11" s="336">
        <f>I10/I8</f>
        <v>5.2603892688058915E-2</v>
      </c>
      <c r="J11" s="334">
        <f>J10/J8</f>
        <v>5.6471764117941033E-2</v>
      </c>
      <c r="L11" s="641" t="s">
        <v>371</v>
      </c>
      <c r="M11" s="1092">
        <f>M10/M8</f>
        <v>0.16977611940298507</v>
      </c>
      <c r="N11" s="644">
        <f t="shared" ref="N11" si="10">N10/N8</f>
        <v>0.17052631578947369</v>
      </c>
      <c r="O11" s="713">
        <f t="shared" ref="O11:P11" si="11">O10/O8</f>
        <v>0.1890359168241966</v>
      </c>
      <c r="P11" s="713">
        <f t="shared" si="11"/>
        <v>0.17613636363636365</v>
      </c>
      <c r="Q11" s="713">
        <f>Q10/Q8</f>
        <v>0.16247582205029013</v>
      </c>
      <c r="R11" s="713">
        <f t="shared" ref="R11" si="12">R10/R8</f>
        <v>0.25675675675675674</v>
      </c>
      <c r="S11" s="714">
        <f t="shared" ref="S11" si="13">S10/S8</f>
        <v>0.12343470483005367</v>
      </c>
      <c r="V11" s="860">
        <f t="shared" ref="V11:X11" si="14">V10/V8</f>
        <v>6.5173116089613028E-2</v>
      </c>
      <c r="W11" s="713">
        <f t="shared" si="14"/>
        <v>6.4516129032258063E-2</v>
      </c>
      <c r="X11" s="714">
        <f t="shared" si="14"/>
        <v>6.8093385214007776E-2</v>
      </c>
      <c r="AC11" s="713">
        <f>AC10/AC8</f>
        <v>0.12839059674502712</v>
      </c>
      <c r="AD11" s="714">
        <f>AD10/AD8</f>
        <v>0.17450682852807284</v>
      </c>
      <c r="AF11" s="333">
        <f>AF10/AF8</f>
        <v>2.7347781217750257E-2</v>
      </c>
      <c r="AG11" s="712">
        <f>AG10/AG8</f>
        <v>3.6023054755043228E-2</v>
      </c>
    </row>
    <row r="12" spans="3:33" ht="2.25" customHeight="1" x14ac:dyDescent="0.2">
      <c r="C12" s="639"/>
      <c r="D12" s="638"/>
      <c r="E12" s="638"/>
      <c r="F12" s="638"/>
      <c r="G12" s="638"/>
      <c r="H12" s="638"/>
      <c r="I12" s="638"/>
      <c r="J12" s="638"/>
      <c r="L12" s="638"/>
      <c r="M12" s="638"/>
      <c r="N12" s="638"/>
      <c r="O12" s="638"/>
      <c r="P12" s="638"/>
      <c r="Q12" s="638"/>
      <c r="R12" s="638"/>
      <c r="S12" s="638"/>
      <c r="V12" s="370"/>
      <c r="W12" s="370"/>
      <c r="X12" s="370"/>
      <c r="AC12" s="638"/>
      <c r="AD12" s="638"/>
      <c r="AF12" s="638"/>
      <c r="AG12" s="638"/>
    </row>
    <row r="13" spans="3:33" x14ac:dyDescent="0.2">
      <c r="Y13" s="159" t="s">
        <v>782</v>
      </c>
    </row>
    <row r="14" spans="3:33" x14ac:dyDescent="0.2">
      <c r="Y14" s="375">
        <v>0.4</v>
      </c>
      <c r="Z14" s="159" t="s">
        <v>779</v>
      </c>
    </row>
    <row r="15" spans="3:33" ht="13.5" thickBot="1" x14ac:dyDescent="0.25">
      <c r="Y15" s="375">
        <v>0.3</v>
      </c>
      <c r="Z15" s="159" t="s">
        <v>780</v>
      </c>
    </row>
    <row r="16" spans="3:33" ht="15.75" thickTop="1" x14ac:dyDescent="0.25">
      <c r="C16" s="1084" t="s">
        <v>787</v>
      </c>
      <c r="D16" s="1084"/>
      <c r="E16" s="1084"/>
      <c r="F16" s="1084"/>
      <c r="G16" s="1084"/>
      <c r="H16" s="1084"/>
      <c r="I16" s="1084"/>
      <c r="J16" s="1084"/>
      <c r="L16" s="1084" t="s">
        <v>788</v>
      </c>
      <c r="M16" s="1084"/>
      <c r="N16" s="1084"/>
      <c r="O16" s="1084"/>
      <c r="P16" s="1084"/>
      <c r="Q16" s="1084"/>
      <c r="R16" s="1084"/>
      <c r="S16" s="1084"/>
      <c r="Y16" s="375">
        <v>0.3</v>
      </c>
      <c r="Z16" s="159" t="s">
        <v>781</v>
      </c>
      <c r="AC16" s="1084"/>
      <c r="AD16" s="1084"/>
      <c r="AF16" s="1084"/>
      <c r="AG16" s="1084"/>
    </row>
    <row r="17" spans="3:33" x14ac:dyDescent="0.2">
      <c r="C17" s="513" t="s">
        <v>293</v>
      </c>
      <c r="D17" s="522">
        <v>2024</v>
      </c>
      <c r="E17" s="522">
        <v>2023</v>
      </c>
      <c r="F17" s="522">
        <v>2022</v>
      </c>
      <c r="G17" s="522">
        <v>2021</v>
      </c>
      <c r="H17" s="522">
        <v>2020</v>
      </c>
      <c r="I17" s="522">
        <v>2019</v>
      </c>
      <c r="J17" s="861">
        <v>2018</v>
      </c>
      <c r="L17" s="513" t="s">
        <v>293</v>
      </c>
      <c r="M17" s="862" t="str">
        <f>'Reported Rev.. Split'!N3</f>
        <v>Q12025</v>
      </c>
      <c r="N17" s="862" t="str">
        <f>'Reported Rev.. Split'!O3</f>
        <v>Q42024</v>
      </c>
      <c r="O17" s="862" t="str">
        <f>'Reported Rev.. Split'!P3</f>
        <v>Q32024</v>
      </c>
      <c r="P17" s="862" t="str">
        <f>'Reported Rev.. Split'!Q3</f>
        <v>Q22024</v>
      </c>
      <c r="Q17" s="862" t="str">
        <f>'Reported Rev.. Split'!R3</f>
        <v>Q12024</v>
      </c>
      <c r="R17" s="862" t="str">
        <f>'Reported Rev.. Split'!S3</f>
        <v>Q42023</v>
      </c>
      <c r="S17" s="861" t="str">
        <f>'Reported Rev.. Split'!T3</f>
        <v>Q32023</v>
      </c>
      <c r="AC17" s="862" t="str">
        <f>'Reported Rev.. Split'!U3</f>
        <v>Q22023</v>
      </c>
      <c r="AD17" s="861" t="str">
        <f>'Reported Rev.. Split'!V3</f>
        <v>Q12023</v>
      </c>
      <c r="AF17" s="862">
        <v>2017</v>
      </c>
      <c r="AG17" s="861">
        <v>2016</v>
      </c>
    </row>
    <row r="18" spans="3:33" x14ac:dyDescent="0.2">
      <c r="C18" s="640" t="s">
        <v>204</v>
      </c>
      <c r="D18" s="498">
        <f>'Reported Rev.. Split'!C8</f>
        <v>1220</v>
      </c>
      <c r="E18" s="498">
        <f>'Reported Rev.. Split'!D8</f>
        <v>1206</v>
      </c>
      <c r="F18" s="498">
        <f>'Reported Rev.. Split'!E8</f>
        <v>1737</v>
      </c>
      <c r="G18" s="498">
        <f>'Reported Rev.. Split'!F8</f>
        <v>1601</v>
      </c>
      <c r="H18" s="498">
        <f>'Reported Rev.. Split'!G8</f>
        <v>1242</v>
      </c>
      <c r="I18" s="498">
        <f>'Reported Rev.. Split'!H8</f>
        <v>1307</v>
      </c>
      <c r="J18" s="498">
        <f>'Reported Rev.. Split'!I8</f>
        <v>1281</v>
      </c>
      <c r="L18" s="640" t="s">
        <v>204</v>
      </c>
      <c r="M18" s="1085">
        <f>'Reported Rev.. Split'!N8</f>
        <v>338</v>
      </c>
      <c r="N18" s="312">
        <f>'Reported Rev.. Split'!O8</f>
        <v>275</v>
      </c>
      <c r="O18" s="312">
        <f>'Reported Rev.. Split'!P8</f>
        <v>305</v>
      </c>
      <c r="P18" s="312">
        <f>'Reported Rev.. Split'!Q8</f>
        <v>309</v>
      </c>
      <c r="Q18" s="312">
        <f>'Reported Rev.. Split'!R8</f>
        <v>331</v>
      </c>
      <c r="R18" s="312">
        <f>'Reported Rev.. Split'!S8</f>
        <v>294</v>
      </c>
      <c r="S18" s="332">
        <f>'Reported Rev.. Split'!T8</f>
        <v>264</v>
      </c>
      <c r="AC18" s="312">
        <f>'Reported Rev.. Split'!U8</f>
        <v>297</v>
      </c>
      <c r="AD18" s="332">
        <f>'Reported Rev.. Split'!V8</f>
        <v>351</v>
      </c>
      <c r="AF18" s="498">
        <f>'Reported Rev.. Split'!J8</f>
        <v>1179</v>
      </c>
      <c r="AG18" s="498">
        <f>'Reported Rev.. Split'!K8</f>
        <v>1111</v>
      </c>
    </row>
    <row r="19" spans="3:33" x14ac:dyDescent="0.2">
      <c r="C19" s="640" t="s">
        <v>580</v>
      </c>
      <c r="D19" s="336">
        <f t="shared" ref="D19:H19" si="15">D18/E18-1</f>
        <v>1.1608623548922115E-2</v>
      </c>
      <c r="E19" s="336">
        <f t="shared" si="15"/>
        <v>-0.30569948186528495</v>
      </c>
      <c r="F19" s="336">
        <f t="shared" si="15"/>
        <v>8.4946908182385927E-2</v>
      </c>
      <c r="G19" s="336">
        <f t="shared" si="15"/>
        <v>0.28904991948470204</v>
      </c>
      <c r="H19" s="336">
        <f t="shared" si="15"/>
        <v>-4.9732211170619767E-2</v>
      </c>
      <c r="I19" s="336">
        <f>I18/J18-1</f>
        <v>2.0296643247462942E-2</v>
      </c>
      <c r="J19" s="334">
        <f>J18/AF18-1</f>
        <v>8.6513994910941472E-2</v>
      </c>
      <c r="L19" s="640" t="s">
        <v>776</v>
      </c>
      <c r="M19" s="1086">
        <f t="shared" ref="M19" si="16">M18/N18-1</f>
        <v>0.22909090909090901</v>
      </c>
      <c r="N19" s="642">
        <f t="shared" ref="N19" si="17">N18/O18-1</f>
        <v>-9.8360655737704916E-2</v>
      </c>
      <c r="O19" s="333">
        <f t="shared" ref="O19" si="18">O18/P18-1</f>
        <v>-1.2944983818770184E-2</v>
      </c>
      <c r="P19" s="333">
        <f t="shared" ref="P19" si="19">P18/Q18-1</f>
        <v>-6.6465256797583083E-2</v>
      </c>
      <c r="Q19" s="333">
        <f t="shared" ref="Q19" si="20">Q18/R18-1</f>
        <v>0.12585034013605445</v>
      </c>
      <c r="R19" s="333">
        <f t="shared" ref="R19" si="21">R18/S18-1</f>
        <v>0.11363636363636354</v>
      </c>
      <c r="S19" s="334">
        <f>S18/AC18-1</f>
        <v>-0.11111111111111116</v>
      </c>
      <c r="AC19" s="333">
        <f t="shared" ref="AC19" si="22">AC18/AD18-1</f>
        <v>-0.15384615384615385</v>
      </c>
      <c r="AD19" s="334"/>
      <c r="AF19" s="333">
        <f>AF18/AG18-1</f>
        <v>6.1206120612061099E-2</v>
      </c>
      <c r="AG19" s="311"/>
    </row>
    <row r="20" spans="3:33" x14ac:dyDescent="0.2">
      <c r="C20" s="640" t="s">
        <v>775</v>
      </c>
      <c r="D20" s="311">
        <f>'Reported Rev.. Split'!C35</f>
        <v>224</v>
      </c>
      <c r="E20" s="311">
        <f>'Reported Rev.. Split'!D35</f>
        <v>220</v>
      </c>
      <c r="F20" s="311">
        <f>'Reported Rev.. Split'!E35</f>
        <v>628</v>
      </c>
      <c r="G20" s="311">
        <f>'Reported Rev.. Split'!F35</f>
        <v>435</v>
      </c>
      <c r="H20" s="311">
        <f>'Reported Rev.. Split'!G35</f>
        <v>303</v>
      </c>
      <c r="I20" s="311">
        <f>'Reported Rev.. Split'!H35</f>
        <v>338</v>
      </c>
      <c r="J20" s="311">
        <f>'Reported Rev.. Split'!I35</f>
        <v>300</v>
      </c>
      <c r="L20" s="640" t="s">
        <v>775</v>
      </c>
      <c r="M20" s="1087">
        <f>'Reported Rev.. Split'!N35</f>
        <v>62</v>
      </c>
      <c r="N20" s="310">
        <f>'Reported Rev.. Split'!O35</f>
        <v>55</v>
      </c>
      <c r="O20" s="310">
        <f>'Reported Rev.. Split'!P35</f>
        <v>50</v>
      </c>
      <c r="P20" s="310">
        <f>'Reported Rev.. Split'!Q35</f>
        <v>60</v>
      </c>
      <c r="Q20" s="310">
        <f>'Reported Rev.. Split'!R35</f>
        <v>59</v>
      </c>
      <c r="R20" s="310">
        <f>'Reported Rev.. Split'!S35</f>
        <v>39</v>
      </c>
      <c r="S20" s="311">
        <f>'Reported Rev.. Split'!T35</f>
        <v>31</v>
      </c>
      <c r="AC20" s="310">
        <f>'Reported Rev.. Split'!U35</f>
        <v>60</v>
      </c>
      <c r="AD20" s="311">
        <f>'Reported Rev.. Split'!V35</f>
        <v>90</v>
      </c>
      <c r="AF20" s="311">
        <f>'Reported Rev.. Split'!J35</f>
        <v>247</v>
      </c>
      <c r="AG20" s="311">
        <f>'Reported Rev.. Split'!K35</f>
        <v>241</v>
      </c>
    </row>
    <row r="21" spans="3:33" x14ac:dyDescent="0.2">
      <c r="C21" s="641" t="s">
        <v>371</v>
      </c>
      <c r="D21" s="336">
        <f t="shared" ref="D21" si="23">D20/D18</f>
        <v>0.18360655737704917</v>
      </c>
      <c r="E21" s="336">
        <f t="shared" ref="E21:F21" si="24">E20/E18</f>
        <v>0.1824212271973466</v>
      </c>
      <c r="F21" s="336">
        <f t="shared" si="24"/>
        <v>0.36154289004029938</v>
      </c>
      <c r="G21" s="336">
        <f t="shared" ref="G21:H21" si="25">G20/G18</f>
        <v>0.27170518425983758</v>
      </c>
      <c r="H21" s="336">
        <f t="shared" si="25"/>
        <v>0.24396135265700483</v>
      </c>
      <c r="I21" s="336">
        <f>I20/I18</f>
        <v>0.25860749808722266</v>
      </c>
      <c r="J21" s="334">
        <f>J20/J18</f>
        <v>0.23419203747072601</v>
      </c>
      <c r="L21" s="641" t="s">
        <v>371</v>
      </c>
      <c r="M21" s="1088">
        <f t="shared" ref="M21" si="26">M20/M18</f>
        <v>0.18343195266272189</v>
      </c>
      <c r="N21" s="642">
        <f t="shared" ref="N21" si="27">N20/N18</f>
        <v>0.2</v>
      </c>
      <c r="O21" s="333">
        <f t="shared" ref="O21:R21" si="28">O20/O18</f>
        <v>0.16393442622950818</v>
      </c>
      <c r="P21" s="333">
        <f t="shared" si="28"/>
        <v>0.1941747572815534</v>
      </c>
      <c r="Q21" s="333">
        <f t="shared" si="28"/>
        <v>0.1782477341389728</v>
      </c>
      <c r="R21" s="333">
        <f t="shared" si="28"/>
        <v>0.1326530612244898</v>
      </c>
      <c r="S21" s="334">
        <f t="shared" ref="S21" si="29">S20/S18</f>
        <v>0.11742424242424243</v>
      </c>
      <c r="AC21" s="333">
        <f>AC20/AC18</f>
        <v>0.20202020202020202</v>
      </c>
      <c r="AD21" s="334">
        <f>AD20/AD18</f>
        <v>0.25641025641025639</v>
      </c>
      <c r="AF21" s="333">
        <f>AF20/AF18</f>
        <v>0.20949957591178966</v>
      </c>
      <c r="AG21" s="712">
        <f>AG20/AG18</f>
        <v>0.21692169216921692</v>
      </c>
    </row>
    <row r="22" spans="3:33" ht="3" customHeight="1" x14ac:dyDescent="0.2">
      <c r="C22" s="639"/>
      <c r="D22" s="638"/>
      <c r="E22" s="638"/>
      <c r="F22" s="638"/>
      <c r="G22" s="638"/>
      <c r="H22" s="638"/>
      <c r="I22" s="638"/>
      <c r="J22" s="638"/>
      <c r="L22" s="638"/>
      <c r="M22" s="638"/>
      <c r="N22" s="638"/>
      <c r="O22" s="638"/>
      <c r="P22" s="638"/>
      <c r="Q22" s="638"/>
      <c r="R22" s="638"/>
      <c r="S22" s="638"/>
      <c r="AC22" s="638"/>
      <c r="AD22" s="638"/>
      <c r="AF22" s="638"/>
      <c r="AG22" s="638"/>
    </row>
    <row r="24" spans="3:33" ht="13.5" thickBot="1" x14ac:dyDescent="0.25"/>
    <row r="25" spans="3:33" ht="15.75" thickTop="1" x14ac:dyDescent="0.25">
      <c r="C25" s="1084" t="s">
        <v>789</v>
      </c>
      <c r="D25" s="1084"/>
      <c r="E25" s="1084"/>
      <c r="F25" s="1084"/>
      <c r="G25" s="1084"/>
      <c r="H25" s="1084"/>
      <c r="I25" s="1084"/>
      <c r="J25" s="1084"/>
      <c r="L25" s="1084" t="s">
        <v>790</v>
      </c>
      <c r="M25" s="1084"/>
      <c r="N25" s="1084"/>
      <c r="O25" s="1084"/>
      <c r="P25" s="1084"/>
      <c r="Q25" s="1084"/>
      <c r="R25" s="1084"/>
      <c r="S25" s="1084"/>
      <c r="AC25" s="1084"/>
      <c r="AD25" s="1084"/>
      <c r="AF25" s="1084"/>
      <c r="AG25" s="1084"/>
    </row>
    <row r="26" spans="3:33" x14ac:dyDescent="0.2">
      <c r="C26" s="513" t="s">
        <v>293</v>
      </c>
      <c r="D26" s="522">
        <v>2024</v>
      </c>
      <c r="E26" s="522">
        <f t="shared" ref="E26:H26" si="30">E17</f>
        <v>2023</v>
      </c>
      <c r="F26" s="522">
        <f t="shared" si="30"/>
        <v>2022</v>
      </c>
      <c r="G26" s="522">
        <f t="shared" si="30"/>
        <v>2021</v>
      </c>
      <c r="H26" s="522">
        <f t="shared" si="30"/>
        <v>2020</v>
      </c>
      <c r="I26" s="522">
        <v>2019</v>
      </c>
      <c r="J26" s="861">
        <v>2018</v>
      </c>
      <c r="L26" s="513" t="s">
        <v>293</v>
      </c>
      <c r="M26" s="522" t="str">
        <f t="shared" ref="M26" si="31">M17</f>
        <v>Q12025</v>
      </c>
      <c r="N26" s="522" t="str">
        <f t="shared" ref="N26:X63" si="32">N17</f>
        <v>Q42024</v>
      </c>
      <c r="O26" s="522" t="str">
        <f t="shared" si="32"/>
        <v>Q32024</v>
      </c>
      <c r="P26" s="1082" t="str">
        <f t="shared" si="32"/>
        <v>Q22024</v>
      </c>
      <c r="Q26" s="522" t="str">
        <f t="shared" si="32"/>
        <v>Q12024</v>
      </c>
      <c r="R26" s="1082" t="str">
        <f t="shared" si="32"/>
        <v>Q42023</v>
      </c>
      <c r="S26" s="1083" t="str">
        <f t="shared" si="32"/>
        <v>Q32023</v>
      </c>
      <c r="AC26" s="1082" t="str">
        <f>AC17</f>
        <v>Q22023</v>
      </c>
      <c r="AD26" s="1083" t="str">
        <f>AD17</f>
        <v>Q12023</v>
      </c>
      <c r="AF26" s="862">
        <v>2017</v>
      </c>
      <c r="AG26" s="861">
        <v>2016</v>
      </c>
    </row>
    <row r="27" spans="3:33" x14ac:dyDescent="0.2">
      <c r="C27" s="640" t="s">
        <v>204</v>
      </c>
      <c r="D27" s="498">
        <f>'Reported Rev.. Split'!C9</f>
        <v>1932</v>
      </c>
      <c r="E27" s="498">
        <f>'Reported Rev.. Split'!D9</f>
        <v>2047</v>
      </c>
      <c r="F27" s="498">
        <f>'Reported Rev.. Split'!E9</f>
        <v>2376</v>
      </c>
      <c r="G27" s="498">
        <f>'Reported Rev.. Split'!F9</f>
        <v>1226</v>
      </c>
      <c r="H27" s="498">
        <f>'Reported Rev.. Split'!G9</f>
        <v>715</v>
      </c>
      <c r="I27" s="498">
        <f>'Reported Rev.. Split'!H9</f>
        <v>699</v>
      </c>
      <c r="J27" s="498">
        <f>'Reported Rev.. Split'!I9</f>
        <v>719</v>
      </c>
      <c r="L27" s="640" t="s">
        <v>204</v>
      </c>
      <c r="M27" s="1089">
        <f>'Reported Rev.. Split'!N9</f>
        <v>491</v>
      </c>
      <c r="N27" s="955">
        <f>'Reported Rev.. Split'!O9</f>
        <v>435</v>
      </c>
      <c r="O27" s="956">
        <f>'Reported Rev.. Split'!P9</f>
        <v>534</v>
      </c>
      <c r="P27" s="956">
        <f>'Reported Rev.. Split'!Q9</f>
        <v>489</v>
      </c>
      <c r="Q27" s="956">
        <f>'Reported Rev.. Split'!R9</f>
        <v>474</v>
      </c>
      <c r="R27" s="956">
        <f>'Reported Rev.. Split'!S9</f>
        <v>475</v>
      </c>
      <c r="S27" s="498">
        <f>'Reported Rev.. Split'!T9</f>
        <v>546</v>
      </c>
      <c r="AC27" s="956">
        <f>'Reported Rev.. Split'!U9</f>
        <v>473</v>
      </c>
      <c r="AD27" s="498">
        <f>'Reported Rev.. Split'!V9</f>
        <v>553</v>
      </c>
      <c r="AF27" s="498">
        <f>'Reported Rev.. Split'!J9</f>
        <v>671</v>
      </c>
      <c r="AG27" s="498">
        <f>'Reported Rev.. Split'!K9</f>
        <v>632</v>
      </c>
    </row>
    <row r="28" spans="3:33" x14ac:dyDescent="0.2">
      <c r="C28" s="640" t="s">
        <v>580</v>
      </c>
      <c r="D28" s="336">
        <f t="shared" ref="D28:H28" si="33">D27/E27-1</f>
        <v>-5.6179775280898903E-2</v>
      </c>
      <c r="E28" s="336">
        <f t="shared" si="33"/>
        <v>-0.13846801346801352</v>
      </c>
      <c r="F28" s="336">
        <f t="shared" si="33"/>
        <v>0.93800978792822187</v>
      </c>
      <c r="G28" s="336">
        <f t="shared" si="33"/>
        <v>0.71468531468531471</v>
      </c>
      <c r="H28" s="336">
        <f t="shared" si="33"/>
        <v>2.2889842632331847E-2</v>
      </c>
      <c r="I28" s="336">
        <f>I27/J27-1</f>
        <v>-2.781641168289295E-2</v>
      </c>
      <c r="J28" s="334">
        <f>J27/AF27-1</f>
        <v>7.1535022354694444E-2</v>
      </c>
      <c r="L28" s="640" t="s">
        <v>776</v>
      </c>
      <c r="M28" s="1090">
        <f t="shared" ref="M28" si="34">M27/N27-1</f>
        <v>0.12873563218390816</v>
      </c>
      <c r="N28" s="642">
        <f t="shared" ref="N28" si="35">N27/O27-1</f>
        <v>-0.1853932584269663</v>
      </c>
      <c r="O28" s="333">
        <f t="shared" ref="O28" si="36">O27/P27-1</f>
        <v>9.2024539877300526E-2</v>
      </c>
      <c r="P28" s="333">
        <f t="shared" ref="P28" si="37">P27/Q27-1</f>
        <v>3.1645569620253111E-2</v>
      </c>
      <c r="Q28" s="333">
        <f t="shared" ref="Q28" si="38">Q27/R27-1</f>
        <v>-2.1052631578947212E-3</v>
      </c>
      <c r="R28" s="333">
        <f t="shared" ref="R28" si="39">R27/S27-1</f>
        <v>-0.13003663003663002</v>
      </c>
      <c r="S28" s="334">
        <f>S27/AC27-1</f>
        <v>0.15433403805496826</v>
      </c>
      <c r="AC28" s="333">
        <f t="shared" ref="AC28" si="40">AC27/AD27-1</f>
        <v>-0.1446654611211573</v>
      </c>
      <c r="AD28" s="334"/>
      <c r="AF28" s="333">
        <f>AF27/AG27-1</f>
        <v>6.1708860759493778E-2</v>
      </c>
      <c r="AG28" s="311"/>
    </row>
    <row r="29" spans="3:33" x14ac:dyDescent="0.2">
      <c r="C29" s="640" t="s">
        <v>775</v>
      </c>
      <c r="D29" s="311">
        <f>'Reported Rev.. Split'!C36</f>
        <v>128</v>
      </c>
      <c r="E29" s="311">
        <f>'Reported Rev.. Split'!D36</f>
        <v>51</v>
      </c>
      <c r="F29" s="311">
        <f>'Reported Rev.. Split'!E36</f>
        <v>378</v>
      </c>
      <c r="G29" s="311">
        <f>'Reported Rev.. Split'!F36</f>
        <v>121</v>
      </c>
      <c r="H29" s="311">
        <f>'Reported Rev.. Split'!G36</f>
        <v>40</v>
      </c>
      <c r="I29" s="311">
        <f>'Reported Rev.. Split'!H36</f>
        <v>21</v>
      </c>
      <c r="J29" s="311">
        <f>'Reported Rev.. Split'!I36</f>
        <v>29</v>
      </c>
      <c r="L29" s="640" t="s">
        <v>775</v>
      </c>
      <c r="M29" s="1091">
        <f>'Reported Rev.. Split'!N36</f>
        <v>28</v>
      </c>
      <c r="N29" s="643">
        <f>'Reported Rev.. Split'!O36</f>
        <v>31</v>
      </c>
      <c r="O29" s="310">
        <f>'Reported Rev.. Split'!P36</f>
        <v>49</v>
      </c>
      <c r="P29" s="310">
        <f>'Reported Rev.. Split'!Q36</f>
        <v>25</v>
      </c>
      <c r="Q29" s="310">
        <f>'Reported Rev.. Split'!R36</f>
        <v>23</v>
      </c>
      <c r="R29" s="310">
        <f>'Reported Rev.. Split'!S36</f>
        <v>-5</v>
      </c>
      <c r="S29" s="311">
        <f>'Reported Rev.. Split'!T36</f>
        <v>20</v>
      </c>
      <c r="AC29" s="310">
        <f>'Reported Rev.. Split'!U36</f>
        <v>4</v>
      </c>
      <c r="AD29" s="311">
        <f>'Reported Rev.. Split'!V36</f>
        <v>32</v>
      </c>
      <c r="AF29" s="311">
        <f>'Reported Rev.. Split'!J36</f>
        <v>29</v>
      </c>
      <c r="AG29" s="311">
        <f>'Reported Rev.. Split'!K36</f>
        <v>28</v>
      </c>
    </row>
    <row r="30" spans="3:33" x14ac:dyDescent="0.2">
      <c r="C30" s="641" t="s">
        <v>371</v>
      </c>
      <c r="D30" s="860">
        <f t="shared" ref="D30" si="41">D29/D27</f>
        <v>6.6252587991718431E-2</v>
      </c>
      <c r="E30" s="860">
        <f t="shared" ref="E30:F30" si="42">E29/E27</f>
        <v>2.4914509037616023E-2</v>
      </c>
      <c r="F30" s="860">
        <f t="shared" si="42"/>
        <v>0.15909090909090909</v>
      </c>
      <c r="G30" s="860">
        <f t="shared" ref="G30:H30" si="43">G29/G27</f>
        <v>9.8694942903752039E-2</v>
      </c>
      <c r="H30" s="860">
        <f t="shared" si="43"/>
        <v>5.5944055944055944E-2</v>
      </c>
      <c r="I30" s="860">
        <f>I29/I27</f>
        <v>3.0042918454935622E-2</v>
      </c>
      <c r="J30" s="714">
        <f>J29/J27</f>
        <v>4.0333796940194712E-2</v>
      </c>
      <c r="L30" s="641" t="s">
        <v>371</v>
      </c>
      <c r="M30" s="1092">
        <f t="shared" ref="M30" si="44">M29/M27</f>
        <v>5.7026476578411409E-2</v>
      </c>
      <c r="N30" s="644">
        <f t="shared" ref="N30" si="45">N29/N27</f>
        <v>7.1264367816091953E-2</v>
      </c>
      <c r="O30" s="713">
        <f t="shared" ref="O30:R30" si="46">O29/O27</f>
        <v>9.1760299625468167E-2</v>
      </c>
      <c r="P30" s="713">
        <f t="shared" si="46"/>
        <v>5.112474437627812E-2</v>
      </c>
      <c r="Q30" s="713">
        <f t="shared" si="46"/>
        <v>4.852320675105485E-2</v>
      </c>
      <c r="R30" s="713">
        <f t="shared" si="46"/>
        <v>-1.0526315789473684E-2</v>
      </c>
      <c r="S30" s="714">
        <f t="shared" ref="S30" si="47">S29/S27</f>
        <v>3.6630036630036632E-2</v>
      </c>
      <c r="AC30" s="713">
        <f>AC29/AC27</f>
        <v>8.4566596194503175E-3</v>
      </c>
      <c r="AD30" s="714">
        <f>AD29/AD27</f>
        <v>5.7866184448462928E-2</v>
      </c>
      <c r="AF30" s="713">
        <f>AF29/AF27</f>
        <v>4.3219076005961254E-2</v>
      </c>
      <c r="AG30" s="645">
        <f>AG29/AG27</f>
        <v>4.4303797468354431E-2</v>
      </c>
    </row>
    <row r="31" spans="3:33" ht="3" customHeight="1" x14ac:dyDescent="0.2">
      <c r="C31" s="639"/>
      <c r="D31" s="638"/>
      <c r="E31" s="638"/>
      <c r="F31" s="638"/>
      <c r="G31" s="638"/>
      <c r="H31" s="638"/>
      <c r="I31" s="638"/>
      <c r="J31" s="638"/>
      <c r="L31" s="638"/>
      <c r="M31" s="638"/>
      <c r="N31" s="638"/>
      <c r="O31" s="638"/>
      <c r="P31" s="638"/>
      <c r="Q31" s="638"/>
      <c r="R31" s="638"/>
      <c r="S31" s="638"/>
      <c r="AC31" s="638"/>
      <c r="AD31" s="638"/>
      <c r="AF31" s="638"/>
      <c r="AG31" s="638"/>
    </row>
    <row r="33" spans="25:26" x14ac:dyDescent="0.2">
      <c r="Y33" s="49" t="s">
        <v>783</v>
      </c>
      <c r="Z33" s="49"/>
    </row>
    <row r="34" spans="25:26" x14ac:dyDescent="0.2">
      <c r="Y34" s="320">
        <v>0.39</v>
      </c>
      <c r="Z34" s="318" t="s">
        <v>416</v>
      </c>
    </row>
    <row r="35" spans="25:26" x14ac:dyDescent="0.2">
      <c r="Y35" s="320">
        <v>0.23</v>
      </c>
      <c r="Z35" s="318" t="s">
        <v>786</v>
      </c>
    </row>
    <row r="36" spans="25:26" x14ac:dyDescent="0.2">
      <c r="Y36" s="320">
        <v>0.17</v>
      </c>
      <c r="Z36" s="318" t="s">
        <v>784</v>
      </c>
    </row>
    <row r="37" spans="25:26" x14ac:dyDescent="0.2">
      <c r="Y37" s="320">
        <v>0.11</v>
      </c>
      <c r="Z37" s="318" t="s">
        <v>785</v>
      </c>
    </row>
    <row r="38" spans="25:26" x14ac:dyDescent="0.2">
      <c r="Y38" s="320">
        <v>0.1</v>
      </c>
      <c r="Z38" s="318" t="s">
        <v>86</v>
      </c>
    </row>
    <row r="52" spans="10:24" ht="13.5" thickBot="1" x14ac:dyDescent="0.25"/>
    <row r="53" spans="10:24" ht="15.75" thickTop="1" x14ac:dyDescent="0.25">
      <c r="V53" s="945"/>
      <c r="W53" s="945"/>
      <c r="X53" s="945"/>
    </row>
    <row r="54" spans="10:24" x14ac:dyDescent="0.2">
      <c r="V54" s="522" t="str">
        <f>'Reported Rev.. Split'!AG3</f>
        <v>Q3 2019</v>
      </c>
      <c r="W54" s="862" t="str">
        <f>'Reported Rev.. Split'!AH3</f>
        <v>Q2 2019</v>
      </c>
      <c r="X54" s="861" t="str">
        <f>'Reported Rev.. Split'!AI3</f>
        <v>Q1 2019</v>
      </c>
    </row>
    <row r="55" spans="10:24" x14ac:dyDescent="0.2">
      <c r="V55" s="335">
        <f>'Reported Rev.. Split'!AG8</f>
        <v>337</v>
      </c>
      <c r="W55" s="312">
        <f>'Reported Rev.. Split'!AH8</f>
        <v>333</v>
      </c>
      <c r="X55" s="332">
        <f>'Reported Rev.. Split'!AI8</f>
        <v>347</v>
      </c>
    </row>
    <row r="56" spans="10:24" x14ac:dyDescent="0.2">
      <c r="J56">
        <f>2390</f>
        <v>2390</v>
      </c>
      <c r="V56" s="336">
        <f t="shared" ref="V56:W56" si="48">V55/W55-1</f>
        <v>1.2012012012011963E-2</v>
      </c>
      <c r="W56" s="333">
        <f t="shared" si="48"/>
        <v>-4.0345821325648457E-2</v>
      </c>
      <c r="X56" s="334"/>
    </row>
    <row r="57" spans="10:24" x14ac:dyDescent="0.2">
      <c r="J57">
        <f>J56/2.44</f>
        <v>979.50819672131149</v>
      </c>
      <c r="V57" s="281">
        <f>'Reported Rev.. Split'!AG35</f>
        <v>88</v>
      </c>
      <c r="W57" s="310">
        <f>'Reported Rev.. Split'!AH35</f>
        <v>93</v>
      </c>
      <c r="X57" s="311">
        <f>'Reported Rev.. Split'!AI35</f>
        <v>97</v>
      </c>
    </row>
    <row r="58" spans="10:24" x14ac:dyDescent="0.2">
      <c r="V58" s="336">
        <f t="shared" ref="V58:X58" si="49">V57/V55</f>
        <v>0.26112759643916916</v>
      </c>
      <c r="W58" s="333">
        <f t="shared" si="49"/>
        <v>0.27927927927927926</v>
      </c>
      <c r="X58" s="334">
        <f t="shared" si="49"/>
        <v>0.27953890489913547</v>
      </c>
    </row>
    <row r="59" spans="10:24" ht="2.25" customHeight="1" x14ac:dyDescent="0.2">
      <c r="V59" s="638"/>
      <c r="W59" s="638"/>
      <c r="X59" s="638"/>
    </row>
    <row r="61" spans="10:24" ht="13.5" thickBot="1" x14ac:dyDescent="0.25"/>
    <row r="62" spans="10:24" ht="15.75" thickTop="1" x14ac:dyDescent="0.25">
      <c r="V62" s="945"/>
      <c r="W62" s="945"/>
      <c r="X62" s="945"/>
    </row>
    <row r="63" spans="10:24" x14ac:dyDescent="0.2">
      <c r="V63" s="522" t="str">
        <f t="shared" si="32"/>
        <v>Q3 2019</v>
      </c>
      <c r="W63" s="522" t="str">
        <f t="shared" si="32"/>
        <v>Q2 2019</v>
      </c>
      <c r="X63" s="861" t="str">
        <f t="shared" si="32"/>
        <v>Q1 2019</v>
      </c>
    </row>
    <row r="64" spans="10:24" x14ac:dyDescent="0.2">
      <c r="V64" s="335">
        <f>'Reported Rev.. Split'!AG9</f>
        <v>156</v>
      </c>
      <c r="W64" s="335">
        <f>'Reported Rev.. Split'!AH9</f>
        <v>199</v>
      </c>
      <c r="X64" s="332">
        <f>'Reported Rev.. Split'!AI9</f>
        <v>199</v>
      </c>
    </row>
    <row r="65" spans="22:24" x14ac:dyDescent="0.2">
      <c r="V65" s="336">
        <f t="shared" ref="V65:W65" si="50">V64/W64-1</f>
        <v>-0.2160804020100503</v>
      </c>
      <c r="W65" s="333">
        <f t="shared" si="50"/>
        <v>0</v>
      </c>
      <c r="X65" s="334" t="e">
        <f>X64/#REF!-1</f>
        <v>#REF!</v>
      </c>
    </row>
    <row r="66" spans="22:24" x14ac:dyDescent="0.2">
      <c r="V66" s="281">
        <f>'Reported Rev.. Split'!AG36</f>
        <v>-2</v>
      </c>
      <c r="W66" s="281">
        <f>'Reported Rev.. Split'!AH36</f>
        <v>12</v>
      </c>
      <c r="X66" s="311">
        <f>'Reported Rev.. Split'!AI36</f>
        <v>13</v>
      </c>
    </row>
    <row r="67" spans="22:24" x14ac:dyDescent="0.2">
      <c r="V67" s="860">
        <f t="shared" ref="V67:X67" si="51">V66/V64</f>
        <v>-1.282051282051282E-2</v>
      </c>
      <c r="W67" s="713">
        <f t="shared" si="51"/>
        <v>6.030150753768844E-2</v>
      </c>
      <c r="X67" s="714">
        <f t="shared" si="51"/>
        <v>6.5326633165829151E-2</v>
      </c>
    </row>
    <row r="68" spans="22:24" ht="2.25" customHeight="1" x14ac:dyDescent="0.2">
      <c r="V68" s="638"/>
      <c r="W68" s="638"/>
      <c r="X68" s="638"/>
    </row>
  </sheetData>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9">
    <tabColor rgb="FFFFFF00"/>
  </sheetPr>
  <dimension ref="A1:W35"/>
  <sheetViews>
    <sheetView showGridLines="0" rightToLeft="1" workbookViewId="0">
      <pane ySplit="3" topLeftCell="A4" activePane="bottomLeft" state="frozen"/>
      <selection pane="bottomLeft" activeCell="A4" sqref="A4:O4"/>
    </sheetView>
  </sheetViews>
  <sheetFormatPr defaultColWidth="9.140625" defaultRowHeight="15" x14ac:dyDescent="0.25"/>
  <cols>
    <col min="1" max="1" width="25.5703125" style="406" bestFit="1" customWidth="1"/>
    <col min="2" max="8" width="6.85546875" style="406" customWidth="1"/>
    <col min="9" max="9" width="7.5703125" style="406" customWidth="1"/>
    <col min="10" max="10" width="6.85546875" style="406" hidden="1" customWidth="1"/>
    <col min="11" max="19" width="6.85546875" style="406" customWidth="1"/>
    <col min="20" max="16384" width="9.140625" style="406"/>
  </cols>
  <sheetData>
    <row r="1" spans="1:23" ht="15.75" thickBot="1" x14ac:dyDescent="0.3"/>
    <row r="2" spans="1:23" ht="16.5" thickTop="1" x14ac:dyDescent="0.25">
      <c r="A2" s="18" t="s">
        <v>624</v>
      </c>
      <c r="B2" s="18"/>
      <c r="C2" s="18"/>
      <c r="D2" s="18"/>
      <c r="E2" s="18"/>
      <c r="F2" s="18"/>
      <c r="G2" s="18"/>
      <c r="H2" s="18"/>
      <c r="I2" s="18"/>
      <c r="J2" s="18"/>
      <c r="K2" s="18"/>
      <c r="L2" s="18"/>
      <c r="M2" s="18"/>
      <c r="N2" s="18"/>
      <c r="O2" s="18"/>
      <c r="P2" s="18"/>
      <c r="Q2" s="18"/>
      <c r="R2" s="18"/>
      <c r="S2" s="720"/>
    </row>
    <row r="3" spans="1:23" ht="26.25" customHeight="1" thickBot="1" x14ac:dyDescent="0.3">
      <c r="A3" s="407" t="s">
        <v>465</v>
      </c>
      <c r="B3" s="408" t="s">
        <v>577</v>
      </c>
      <c r="C3" s="408" t="s">
        <v>604</v>
      </c>
      <c r="D3" s="408" t="s">
        <v>605</v>
      </c>
      <c r="E3" s="408" t="s">
        <v>606</v>
      </c>
      <c r="F3" s="408" t="s">
        <v>607</v>
      </c>
      <c r="G3" s="409" t="s">
        <v>845</v>
      </c>
      <c r="H3" s="408" t="s">
        <v>851</v>
      </c>
      <c r="I3" s="408" t="s">
        <v>877</v>
      </c>
      <c r="J3" s="837" t="s">
        <v>877</v>
      </c>
      <c r="K3" s="834" t="s">
        <v>905</v>
      </c>
      <c r="L3" s="409" t="s">
        <v>924</v>
      </c>
      <c r="M3" s="978" t="s">
        <v>611</v>
      </c>
      <c r="N3" s="978" t="s">
        <v>612</v>
      </c>
      <c r="O3" s="979" t="s">
        <v>613</v>
      </c>
      <c r="P3" s="979" t="s">
        <v>853</v>
      </c>
      <c r="Q3" s="979" t="s">
        <v>854</v>
      </c>
      <c r="R3" s="979" t="s">
        <v>855</v>
      </c>
      <c r="S3" s="721"/>
    </row>
    <row r="4" spans="1:23" ht="16.5" thickTop="1" x14ac:dyDescent="0.25">
      <c r="A4" s="19" t="s">
        <v>625</v>
      </c>
      <c r="B4" s="19"/>
      <c r="C4" s="19"/>
      <c r="D4" s="19"/>
      <c r="E4" s="19"/>
      <c r="F4" s="19"/>
      <c r="G4" s="19"/>
      <c r="H4" s="19"/>
      <c r="I4" s="19"/>
      <c r="J4" s="19"/>
      <c r="K4" s="19"/>
      <c r="L4" s="19"/>
      <c r="M4" s="19"/>
      <c r="N4" s="19"/>
      <c r="O4" s="19"/>
      <c r="P4" s="706"/>
      <c r="Q4" s="719"/>
      <c r="R4" s="719"/>
    </row>
    <row r="5" spans="1:23" x14ac:dyDescent="0.25">
      <c r="A5" s="410" t="s">
        <v>614</v>
      </c>
      <c r="B5" s="526">
        <v>15.27</v>
      </c>
      <c r="C5" s="526">
        <v>14.73</v>
      </c>
      <c r="D5" s="526">
        <v>18</v>
      </c>
      <c r="E5" s="526">
        <v>18</v>
      </c>
      <c r="F5" s="526">
        <v>18</v>
      </c>
      <c r="G5" s="526">
        <v>18</v>
      </c>
      <c r="H5" s="526">
        <v>18</v>
      </c>
      <c r="I5" s="526">
        <v>18</v>
      </c>
      <c r="J5" s="851">
        <v>15.1</v>
      </c>
      <c r="K5" s="835">
        <v>18</v>
      </c>
      <c r="L5" s="526">
        <v>18</v>
      </c>
      <c r="M5" s="526">
        <v>18</v>
      </c>
      <c r="N5" s="526">
        <v>18</v>
      </c>
      <c r="O5" s="527">
        <v>18</v>
      </c>
      <c r="P5" s="527">
        <v>18</v>
      </c>
      <c r="Q5" s="527">
        <v>18</v>
      </c>
      <c r="R5" s="527">
        <v>18</v>
      </c>
      <c r="S5" s="715"/>
      <c r="T5" s="620">
        <f>L5+L6</f>
        <v>30.194000000000003</v>
      </c>
      <c r="U5" s="621">
        <f>T5/$T$7</f>
        <v>0.37745802757741304</v>
      </c>
      <c r="V5" s="620">
        <f>R5+R6</f>
        <v>30.194000000000003</v>
      </c>
      <c r="W5" s="621">
        <f>V5/$V$7</f>
        <v>0.3040562313703376</v>
      </c>
    </row>
    <row r="6" spans="1:23" x14ac:dyDescent="0.25">
      <c r="A6" s="410" t="s">
        <v>615</v>
      </c>
      <c r="B6" s="526">
        <f>10.594+0.64</f>
        <v>11.234</v>
      </c>
      <c r="C6" s="526">
        <f>10.594+0.64</f>
        <v>11.234</v>
      </c>
      <c r="D6" s="526">
        <f>11.294+0.64</f>
        <v>11.934000000000001</v>
      </c>
      <c r="E6" s="526">
        <f>11.294+0.4</f>
        <v>11.694000000000001</v>
      </c>
      <c r="F6" s="526">
        <f>12.194+0.4</f>
        <v>12.594000000000001</v>
      </c>
      <c r="G6" s="526">
        <f>12.194+0.4</f>
        <v>12.594000000000001</v>
      </c>
      <c r="H6" s="526">
        <f>12.194+0.4</f>
        <v>12.594000000000001</v>
      </c>
      <c r="I6" s="526">
        <f>12.194+0.4</f>
        <v>12.594000000000001</v>
      </c>
      <c r="J6" s="852">
        <v>9.9</v>
      </c>
      <c r="K6" s="835">
        <f>12.194+0.4</f>
        <v>12.594000000000001</v>
      </c>
      <c r="L6" s="527">
        <f t="shared" ref="L6:R6" si="0">12.194</f>
        <v>12.194000000000001</v>
      </c>
      <c r="M6" s="527">
        <f t="shared" si="0"/>
        <v>12.194000000000001</v>
      </c>
      <c r="N6" s="527">
        <f t="shared" si="0"/>
        <v>12.194000000000001</v>
      </c>
      <c r="O6" s="527">
        <f t="shared" si="0"/>
        <v>12.194000000000001</v>
      </c>
      <c r="P6" s="527">
        <f t="shared" si="0"/>
        <v>12.194000000000001</v>
      </c>
      <c r="Q6" s="527">
        <f t="shared" si="0"/>
        <v>12.194000000000001</v>
      </c>
      <c r="R6" s="527">
        <f t="shared" si="0"/>
        <v>12.194000000000001</v>
      </c>
      <c r="S6" s="715"/>
      <c r="T6" s="620">
        <f>L7+L8</f>
        <v>22</v>
      </c>
      <c r="U6" s="621">
        <f>T6/$T$7</f>
        <v>0.27502406460565298</v>
      </c>
      <c r="V6" s="620">
        <f>R7+R8</f>
        <v>32.384</v>
      </c>
      <c r="W6" s="621">
        <f>V6/$V$7</f>
        <v>0.32610972367679053</v>
      </c>
    </row>
    <row r="7" spans="1:23" x14ac:dyDescent="0.25">
      <c r="A7" s="410" t="s">
        <v>856</v>
      </c>
      <c r="B7" s="526">
        <f>11.403</f>
        <v>11.403</v>
      </c>
      <c r="C7" s="526">
        <f>11.628</f>
        <v>11.628</v>
      </c>
      <c r="D7" s="526">
        <f>11.905</f>
        <v>11.904999999999999</v>
      </c>
      <c r="E7" s="526">
        <f>11.683</f>
        <v>11.683</v>
      </c>
      <c r="F7" s="526">
        <f>11.683</f>
        <v>11.683</v>
      </c>
      <c r="G7" s="526">
        <v>11.683</v>
      </c>
      <c r="H7" s="526">
        <v>12.483000000000001</v>
      </c>
      <c r="I7" s="526">
        <v>10</v>
      </c>
      <c r="J7" s="853">
        <v>11.3</v>
      </c>
      <c r="K7" s="835">
        <v>11</v>
      </c>
      <c r="L7" s="526">
        <v>12</v>
      </c>
      <c r="M7" s="526">
        <v>12.5</v>
      </c>
      <c r="N7" s="526">
        <v>13.5</v>
      </c>
      <c r="O7" s="527">
        <v>15.983000000000001</v>
      </c>
      <c r="P7" s="527">
        <v>16.983000000000001</v>
      </c>
      <c r="Q7" s="527">
        <v>17.983000000000001</v>
      </c>
      <c r="R7" s="527">
        <v>18.283000000000001</v>
      </c>
      <c r="S7" s="715"/>
      <c r="T7" s="423">
        <f>F28</f>
        <v>79.993000000000009</v>
      </c>
      <c r="U7" s="621">
        <f>SUM(U5:U6)</f>
        <v>0.65248209218306608</v>
      </c>
      <c r="V7" s="423">
        <f>O28</f>
        <v>99.303999999999988</v>
      </c>
      <c r="W7" s="621">
        <f>SUM(W5:W6)</f>
        <v>0.63016595504712813</v>
      </c>
    </row>
    <row r="8" spans="1:23" x14ac:dyDescent="0.25">
      <c r="A8" s="410" t="s">
        <v>857</v>
      </c>
      <c r="B8" s="526">
        <f>11.332</f>
        <v>11.332000000000001</v>
      </c>
      <c r="C8" s="526">
        <f>11.59</f>
        <v>11.59</v>
      </c>
      <c r="D8" s="526">
        <f>11.688</f>
        <v>11.688000000000001</v>
      </c>
      <c r="E8" s="526">
        <f>11.786</f>
        <v>11.786</v>
      </c>
      <c r="F8" s="526">
        <v>12.013999999999999</v>
      </c>
      <c r="G8" s="526">
        <v>12.34</v>
      </c>
      <c r="H8" s="526">
        <v>12.5</v>
      </c>
      <c r="I8" s="526">
        <v>6</v>
      </c>
      <c r="J8" s="853">
        <v>6</v>
      </c>
      <c r="K8" s="715">
        <v>9</v>
      </c>
      <c r="L8" s="527">
        <v>10</v>
      </c>
      <c r="M8" s="527">
        <v>9</v>
      </c>
      <c r="N8" s="527">
        <v>13</v>
      </c>
      <c r="O8" s="527">
        <v>13.5</v>
      </c>
      <c r="P8" s="527">
        <v>14.101000000000001</v>
      </c>
      <c r="Q8" s="527">
        <v>14.101000000000001</v>
      </c>
      <c r="R8" s="527">
        <v>14.101000000000001</v>
      </c>
      <c r="S8" s="715"/>
    </row>
    <row r="9" spans="1:23" x14ac:dyDescent="0.25">
      <c r="A9" s="410" t="s">
        <v>858</v>
      </c>
      <c r="B9" s="526">
        <v>5.25</v>
      </c>
      <c r="C9" s="526">
        <v>5.45</v>
      </c>
      <c r="D9" s="526">
        <v>5.6879999999999997</v>
      </c>
      <c r="E9" s="526">
        <v>5.3529999999999998</v>
      </c>
      <c r="F9" s="526">
        <v>5.23</v>
      </c>
      <c r="G9" s="526">
        <v>5.23</v>
      </c>
      <c r="H9" s="526">
        <v>5.23</v>
      </c>
      <c r="I9" s="526">
        <v>5.38</v>
      </c>
      <c r="J9" s="852">
        <v>4.5</v>
      </c>
      <c r="K9" s="835">
        <v>5.53</v>
      </c>
      <c r="L9" s="526">
        <v>5.53</v>
      </c>
      <c r="M9" s="526">
        <v>5.53</v>
      </c>
      <c r="N9" s="526">
        <v>5.53</v>
      </c>
      <c r="O9" s="527">
        <v>5.53</v>
      </c>
      <c r="P9" s="527">
        <v>5.53</v>
      </c>
      <c r="Q9" s="527">
        <v>5.53</v>
      </c>
      <c r="R9" s="527">
        <v>5.53</v>
      </c>
      <c r="S9" s="715"/>
    </row>
    <row r="10" spans="1:23" x14ac:dyDescent="0.25">
      <c r="A10" s="410" t="s">
        <v>859</v>
      </c>
      <c r="B10" s="526">
        <f>2.43</f>
        <v>2.4300000000000002</v>
      </c>
      <c r="C10" s="526">
        <f>2.43</f>
        <v>2.4300000000000002</v>
      </c>
      <c r="D10" s="526">
        <f>2.43</f>
        <v>2.4300000000000002</v>
      </c>
      <c r="E10" s="526">
        <f>2.43</f>
        <v>2.4300000000000002</v>
      </c>
      <c r="F10" s="526">
        <v>2.4900000000000002</v>
      </c>
      <c r="G10" s="526">
        <v>2.5499999999999998</v>
      </c>
      <c r="H10" s="526">
        <v>2.63</v>
      </c>
      <c r="I10" s="526">
        <v>2.7</v>
      </c>
      <c r="J10" s="852">
        <v>2.59</v>
      </c>
      <c r="K10" s="835">
        <v>2.7749999999999999</v>
      </c>
      <c r="L10" s="526">
        <v>2.85</v>
      </c>
      <c r="M10" s="526">
        <v>2.89</v>
      </c>
      <c r="N10" s="526">
        <v>2.97</v>
      </c>
      <c r="O10" s="527">
        <v>2.97</v>
      </c>
      <c r="P10" s="527">
        <v>3.01</v>
      </c>
      <c r="Q10" s="527">
        <v>3.01</v>
      </c>
      <c r="R10" s="527">
        <v>3.01</v>
      </c>
      <c r="S10" s="715"/>
    </row>
    <row r="11" spans="1:23" x14ac:dyDescent="0.25">
      <c r="A11" s="410" t="s">
        <v>860</v>
      </c>
      <c r="B11" s="526">
        <v>2.2999999999999998</v>
      </c>
      <c r="C11" s="526">
        <v>2.2999999999999998</v>
      </c>
      <c r="D11" s="526">
        <v>2.15</v>
      </c>
      <c r="E11" s="526">
        <v>1.85</v>
      </c>
      <c r="F11" s="526">
        <v>1.5</v>
      </c>
      <c r="G11" s="526">
        <v>1.9</v>
      </c>
      <c r="H11" s="526">
        <v>1.8</v>
      </c>
      <c r="I11" s="526">
        <v>1.7</v>
      </c>
      <c r="J11" s="852">
        <v>1.5</v>
      </c>
      <c r="K11" s="835">
        <v>1.6</v>
      </c>
      <c r="L11" s="526">
        <v>1.55</v>
      </c>
      <c r="M11" s="526">
        <v>1.5</v>
      </c>
      <c r="N11" s="526">
        <v>1.5</v>
      </c>
      <c r="O11" s="527">
        <v>1.5</v>
      </c>
      <c r="P11" s="527">
        <v>1.5</v>
      </c>
      <c r="Q11" s="527">
        <v>1.5</v>
      </c>
      <c r="R11" s="527">
        <v>1.5</v>
      </c>
      <c r="S11" s="715"/>
    </row>
    <row r="12" spans="1:23" x14ac:dyDescent="0.25">
      <c r="A12" s="410" t="s">
        <v>861</v>
      </c>
      <c r="B12" s="526">
        <v>5.9569999999999999</v>
      </c>
      <c r="C12" s="526">
        <v>5.9569999999999999</v>
      </c>
      <c r="D12" s="526">
        <v>5.9569999999999999</v>
      </c>
      <c r="E12" s="526">
        <v>5.7569999999999997</v>
      </c>
      <c r="F12" s="526">
        <v>5.157</v>
      </c>
      <c r="G12" s="526">
        <v>5.157</v>
      </c>
      <c r="H12" s="526">
        <v>4.9569999999999999</v>
      </c>
      <c r="I12" s="526">
        <v>4.9569999999999999</v>
      </c>
      <c r="J12" s="852">
        <v>5</v>
      </c>
      <c r="K12" s="835">
        <v>4.9569999999999999</v>
      </c>
      <c r="L12" s="526">
        <v>4.9569999999999999</v>
      </c>
      <c r="M12" s="526">
        <v>4.9569999999999999</v>
      </c>
      <c r="N12" s="526">
        <v>4.9569999999999999</v>
      </c>
      <c r="O12" s="526">
        <v>4.9569999999999999</v>
      </c>
      <c r="P12" s="526">
        <v>4.9569999999999999</v>
      </c>
      <c r="Q12" s="526">
        <v>4.9569999999999999</v>
      </c>
      <c r="R12" s="527">
        <v>4.9569999999999999</v>
      </c>
      <c r="S12" s="715"/>
    </row>
    <row r="13" spans="1:23" x14ac:dyDescent="0.25">
      <c r="A13" s="410" t="s">
        <v>862</v>
      </c>
      <c r="B13" s="526">
        <v>6.5880000000000001</v>
      </c>
      <c r="C13" s="526">
        <v>6.7190000000000003</v>
      </c>
      <c r="D13" s="526">
        <v>6.9870000000000001</v>
      </c>
      <c r="E13" s="526">
        <v>7.2539999999999996</v>
      </c>
      <c r="F13" s="526">
        <v>7.3849999999999998</v>
      </c>
      <c r="G13" s="526">
        <v>7.3849999999999998</v>
      </c>
      <c r="H13" s="526">
        <v>7.585</v>
      </c>
      <c r="I13" s="526">
        <v>7.585</v>
      </c>
      <c r="J13" s="852">
        <v>7.5</v>
      </c>
      <c r="K13" s="835">
        <v>7.585</v>
      </c>
      <c r="L13" s="526">
        <v>7.585</v>
      </c>
      <c r="M13" s="526">
        <v>7.585</v>
      </c>
      <c r="N13" s="526">
        <v>7.585</v>
      </c>
      <c r="O13" s="526">
        <v>7.585</v>
      </c>
      <c r="P13" s="526">
        <v>7.585</v>
      </c>
      <c r="Q13" s="526">
        <v>7.585</v>
      </c>
      <c r="R13" s="527">
        <v>7.585</v>
      </c>
      <c r="S13" s="715"/>
    </row>
    <row r="14" spans="1:23" x14ac:dyDescent="0.25">
      <c r="A14" s="410" t="s">
        <v>466</v>
      </c>
      <c r="B14" s="526">
        <v>1.0149999999999999</v>
      </c>
      <c r="C14" s="526">
        <v>0.59599999999999997</v>
      </c>
      <c r="D14" s="526">
        <v>0.437</v>
      </c>
      <c r="E14" s="526">
        <v>0.437</v>
      </c>
      <c r="F14" s="526">
        <v>0.437</v>
      </c>
      <c r="G14" s="526">
        <v>0.437</v>
      </c>
      <c r="H14" s="526">
        <v>0.437</v>
      </c>
      <c r="I14" s="526">
        <v>0.437</v>
      </c>
      <c r="J14" s="852">
        <v>0.4</v>
      </c>
      <c r="K14" s="835">
        <v>0.437</v>
      </c>
      <c r="L14" s="526">
        <v>0.437</v>
      </c>
      <c r="M14" s="526">
        <v>0.437</v>
      </c>
      <c r="N14" s="526">
        <v>0.437</v>
      </c>
      <c r="O14" s="527">
        <v>0.437</v>
      </c>
      <c r="P14" s="527">
        <v>0.437</v>
      </c>
      <c r="Q14" s="527">
        <v>0.437</v>
      </c>
      <c r="R14" s="527">
        <v>0.437</v>
      </c>
      <c r="S14" s="715"/>
    </row>
    <row r="15" spans="1:23" x14ac:dyDescent="0.25">
      <c r="A15" s="410" t="s">
        <v>616</v>
      </c>
      <c r="B15" s="526">
        <v>0.214</v>
      </c>
      <c r="C15" s="526">
        <v>0.23799999999999999</v>
      </c>
      <c r="D15" s="526">
        <v>0.26100000000000001</v>
      </c>
      <c r="E15" s="526">
        <v>0.27400000000000002</v>
      </c>
      <c r="F15" s="526">
        <v>0.28799999999999998</v>
      </c>
      <c r="G15" s="526">
        <v>0.30199999999999999</v>
      </c>
      <c r="H15" s="526">
        <v>0.60199999999999998</v>
      </c>
      <c r="I15" s="526">
        <v>0.90200000000000002</v>
      </c>
      <c r="J15" s="852">
        <v>0.8</v>
      </c>
      <c r="K15" s="715">
        <v>1.202</v>
      </c>
      <c r="L15" s="527">
        <v>1.2629999999999999</v>
      </c>
      <c r="M15" s="527">
        <v>1.5629999999999999</v>
      </c>
      <c r="N15" s="527">
        <v>1.641</v>
      </c>
      <c r="O15" s="527">
        <v>1.7230000000000001</v>
      </c>
      <c r="P15" s="527">
        <v>1.8089999999999999</v>
      </c>
      <c r="Q15" s="527">
        <v>1.899</v>
      </c>
      <c r="R15" s="527">
        <v>1.994</v>
      </c>
      <c r="S15" s="715"/>
    </row>
    <row r="16" spans="1:23" x14ac:dyDescent="0.25">
      <c r="A16" s="410" t="s">
        <v>617</v>
      </c>
      <c r="B16" s="526">
        <v>0.25</v>
      </c>
      <c r="C16" s="526">
        <v>0.25</v>
      </c>
      <c r="D16" s="526">
        <v>0.26500000000000001</v>
      </c>
      <c r="E16" s="526">
        <v>0.26500000000000001</v>
      </c>
      <c r="F16" s="526">
        <v>0.26500000000000001</v>
      </c>
      <c r="G16" s="526">
        <v>0.26500000000000001</v>
      </c>
      <c r="H16" s="526">
        <v>0.26500000000000001</v>
      </c>
      <c r="I16" s="526">
        <v>0.26500000000000001</v>
      </c>
      <c r="J16" s="852">
        <v>0.3</v>
      </c>
      <c r="K16" s="835">
        <v>0.26500000000000001</v>
      </c>
      <c r="L16" s="526">
        <v>0.26500000000000001</v>
      </c>
      <c r="M16" s="526">
        <v>0.26500000000000001</v>
      </c>
      <c r="N16" s="526">
        <v>0.26500000000000001</v>
      </c>
      <c r="O16" s="527">
        <v>0.26500000000000001</v>
      </c>
      <c r="P16" s="527">
        <v>0.26500000000000001</v>
      </c>
      <c r="Q16" s="527">
        <v>0.26500000000000001</v>
      </c>
      <c r="R16" s="527">
        <v>0.26500000000000001</v>
      </c>
      <c r="S16" s="715"/>
    </row>
    <row r="17" spans="1:20" ht="30" x14ac:dyDescent="0.25">
      <c r="A17" s="736" t="s">
        <v>467</v>
      </c>
      <c r="B17" s="737">
        <f t="shared" ref="B17:O17" si="1">SUM(B5:B16)</f>
        <v>73.242999999999981</v>
      </c>
      <c r="C17" s="737">
        <f t="shared" si="1"/>
        <v>73.122</v>
      </c>
      <c r="D17" s="737">
        <f t="shared" si="1"/>
        <v>77.701999999999984</v>
      </c>
      <c r="E17" s="737">
        <f t="shared" si="1"/>
        <v>76.783000000000015</v>
      </c>
      <c r="F17" s="737">
        <f t="shared" si="1"/>
        <v>77.043000000000006</v>
      </c>
      <c r="G17" s="737">
        <f t="shared" si="1"/>
        <v>77.843000000000018</v>
      </c>
      <c r="H17" s="737">
        <f t="shared" si="1"/>
        <v>79.082999999999998</v>
      </c>
      <c r="I17" s="737">
        <f t="shared" si="1"/>
        <v>70.52000000000001</v>
      </c>
      <c r="J17" s="858">
        <f t="shared" si="1"/>
        <v>64.89</v>
      </c>
      <c r="K17" s="836">
        <f t="shared" si="1"/>
        <v>74.944999999999993</v>
      </c>
      <c r="L17" s="738">
        <f t="shared" si="1"/>
        <v>76.631</v>
      </c>
      <c r="M17" s="738">
        <f t="shared" si="1"/>
        <v>76.420999999999992</v>
      </c>
      <c r="N17" s="738">
        <f t="shared" si="1"/>
        <v>81.578999999999994</v>
      </c>
      <c r="O17" s="739">
        <f t="shared" si="1"/>
        <v>84.643999999999991</v>
      </c>
      <c r="P17" s="739">
        <f t="shared" ref="P17:R17" si="2">SUM(P5:P16)</f>
        <v>86.370999999999995</v>
      </c>
      <c r="Q17" s="739">
        <f t="shared" si="2"/>
        <v>87.460999999999999</v>
      </c>
      <c r="R17" s="739">
        <f t="shared" si="2"/>
        <v>87.855999999999995</v>
      </c>
      <c r="S17" s="716"/>
    </row>
    <row r="18" spans="1:20" ht="15.75" hidden="1" thickTop="1" x14ac:dyDescent="0.25">
      <c r="A18" s="431" t="s">
        <v>479</v>
      </c>
      <c r="B18" s="411">
        <f>B5*0.92-1.6+B6*0.92+B7*0.92-0.5+SUM(B8:B8)*0.92-0.75+SUM(B9:B16)*0.92</f>
        <v>64.533560000000008</v>
      </c>
      <c r="C18" s="411">
        <f t="shared" ref="C18:K18" si="3">C17*92%</f>
        <v>67.272239999999996</v>
      </c>
      <c r="D18" s="411">
        <f t="shared" si="3"/>
        <v>71.485839999999982</v>
      </c>
      <c r="E18" s="411">
        <f t="shared" si="3"/>
        <v>70.640360000000015</v>
      </c>
      <c r="F18" s="411">
        <f t="shared" si="3"/>
        <v>70.879560000000012</v>
      </c>
      <c r="G18" s="411">
        <f t="shared" si="3"/>
        <v>71.615560000000016</v>
      </c>
      <c r="H18" s="411">
        <f t="shared" si="3"/>
        <v>72.756360000000001</v>
      </c>
      <c r="I18" s="411">
        <f t="shared" si="3"/>
        <v>64.878400000000013</v>
      </c>
      <c r="J18" s="727"/>
      <c r="K18" s="727">
        <f t="shared" si="3"/>
        <v>68.949399999999997</v>
      </c>
      <c r="L18" s="727">
        <f t="shared" ref="L18:R18" si="4">L17*92%</f>
        <v>70.500520000000009</v>
      </c>
      <c r="M18" s="727">
        <f t="shared" si="4"/>
        <v>70.30731999999999</v>
      </c>
      <c r="N18" s="727">
        <f t="shared" si="4"/>
        <v>75.052679999999995</v>
      </c>
      <c r="O18" s="727">
        <f t="shared" si="4"/>
        <v>77.872479999999996</v>
      </c>
      <c r="P18" s="727">
        <f t="shared" si="4"/>
        <v>79.461320000000001</v>
      </c>
      <c r="Q18" s="727">
        <f t="shared" si="4"/>
        <v>80.464120000000008</v>
      </c>
      <c r="R18" s="727">
        <f t="shared" si="4"/>
        <v>80.827519999999993</v>
      </c>
      <c r="S18" s="717"/>
    </row>
    <row r="19" spans="1:20" ht="15.75" x14ac:dyDescent="0.25">
      <c r="A19" s="20" t="s">
        <v>626</v>
      </c>
      <c r="B19" s="20"/>
      <c r="C19" s="20"/>
      <c r="D19" s="20"/>
      <c r="E19" s="20"/>
      <c r="F19" s="20"/>
      <c r="G19" s="20"/>
      <c r="H19" s="20"/>
      <c r="I19" s="20"/>
      <c r="J19" s="20"/>
      <c r="K19" s="20"/>
      <c r="L19" s="20"/>
      <c r="M19" s="20"/>
      <c r="N19" s="20"/>
      <c r="O19" s="20"/>
      <c r="P19" s="728"/>
      <c r="Q19" s="729"/>
      <c r="R19" s="729"/>
    </row>
    <row r="20" spans="1:20" ht="15" customHeight="1" thickBot="1" x14ac:dyDescent="0.3">
      <c r="A20" s="528" t="s">
        <v>465</v>
      </c>
      <c r="B20" s="408" t="s">
        <v>577</v>
      </c>
      <c r="C20" s="408" t="s">
        <v>604</v>
      </c>
      <c r="D20" s="408" t="s">
        <v>605</v>
      </c>
      <c r="E20" s="408" t="s">
        <v>606</v>
      </c>
      <c r="F20" s="408" t="s">
        <v>607</v>
      </c>
      <c r="G20" s="409" t="s">
        <v>845</v>
      </c>
      <c r="H20" s="408" t="s">
        <v>851</v>
      </c>
      <c r="I20" s="408" t="s">
        <v>877</v>
      </c>
      <c r="J20" s="837" t="s">
        <v>877</v>
      </c>
      <c r="K20" s="834" t="s">
        <v>905</v>
      </c>
      <c r="L20" s="409" t="s">
        <v>924</v>
      </c>
      <c r="M20" s="409" t="s">
        <v>611</v>
      </c>
      <c r="N20" s="409" t="s">
        <v>612</v>
      </c>
      <c r="O20" s="718" t="s">
        <v>613</v>
      </c>
      <c r="P20" s="718" t="s">
        <v>853</v>
      </c>
      <c r="Q20" s="718" t="s">
        <v>854</v>
      </c>
      <c r="R20" s="718" t="s">
        <v>855</v>
      </c>
      <c r="S20" s="732"/>
    </row>
    <row r="21" spans="1:20" ht="15.75" thickTop="1" x14ac:dyDescent="0.25">
      <c r="A21" s="417" t="s">
        <v>619</v>
      </c>
      <c r="B21" s="531">
        <v>0</v>
      </c>
      <c r="C21" s="531">
        <v>0</v>
      </c>
      <c r="D21" s="531">
        <v>0</v>
      </c>
      <c r="E21" s="529">
        <v>0.3</v>
      </c>
      <c r="F21" s="529">
        <v>1.1000000000000001</v>
      </c>
      <c r="G21" s="529">
        <v>2.2000000000000002</v>
      </c>
      <c r="H21" s="529">
        <v>2.2999999999999998</v>
      </c>
      <c r="I21" s="529">
        <v>2.6</v>
      </c>
      <c r="J21" s="854">
        <v>2.6</v>
      </c>
      <c r="K21" s="838">
        <v>3.1</v>
      </c>
      <c r="L21" s="530">
        <v>4.2</v>
      </c>
      <c r="M21" s="530">
        <v>5.3</v>
      </c>
      <c r="N21" s="530">
        <v>6.3</v>
      </c>
      <c r="O21" s="530">
        <v>6.3</v>
      </c>
      <c r="P21" s="530">
        <v>6.5</v>
      </c>
      <c r="Q21" s="530">
        <v>6.7</v>
      </c>
      <c r="R21" s="530">
        <v>6.9</v>
      </c>
      <c r="S21" s="715"/>
      <c r="T21" s="723"/>
    </row>
    <row r="22" spans="1:20" x14ac:dyDescent="0.25">
      <c r="A22" s="417" t="s">
        <v>863</v>
      </c>
      <c r="B22" s="532">
        <v>0</v>
      </c>
      <c r="C22" s="532">
        <v>0</v>
      </c>
      <c r="D22" s="532">
        <v>0</v>
      </c>
      <c r="E22" s="532">
        <v>0</v>
      </c>
      <c r="F22" s="532">
        <v>0</v>
      </c>
      <c r="G22" s="532">
        <v>0</v>
      </c>
      <c r="H22" s="532">
        <v>0</v>
      </c>
      <c r="I22" s="532">
        <v>0</v>
      </c>
      <c r="J22" s="855">
        <v>0</v>
      </c>
      <c r="K22" s="839">
        <v>0</v>
      </c>
      <c r="L22" s="532">
        <v>0</v>
      </c>
      <c r="M22" s="532">
        <v>0</v>
      </c>
      <c r="N22" s="532">
        <v>0</v>
      </c>
      <c r="O22" s="532">
        <v>0.5</v>
      </c>
      <c r="P22" s="532">
        <v>1</v>
      </c>
      <c r="Q22" s="532">
        <v>1.5</v>
      </c>
      <c r="R22" s="722">
        <v>1.5</v>
      </c>
      <c r="S22" s="715"/>
    </row>
    <row r="23" spans="1:20" x14ac:dyDescent="0.25">
      <c r="A23" s="417" t="s">
        <v>480</v>
      </c>
      <c r="B23" s="532">
        <v>0</v>
      </c>
      <c r="C23" s="532">
        <v>0</v>
      </c>
      <c r="D23" s="526">
        <v>0.5</v>
      </c>
      <c r="E23" s="526">
        <v>1.4</v>
      </c>
      <c r="F23" s="526">
        <v>1.8</v>
      </c>
      <c r="G23" s="526">
        <v>2</v>
      </c>
      <c r="H23" s="526">
        <v>2</v>
      </c>
      <c r="I23" s="526">
        <v>2.2000000000000002</v>
      </c>
      <c r="J23" s="856">
        <v>2.2000000000000002</v>
      </c>
      <c r="K23" s="715">
        <v>2.6</v>
      </c>
      <c r="L23" s="527">
        <v>2.86</v>
      </c>
      <c r="M23" s="527">
        <v>2.86</v>
      </c>
      <c r="N23" s="527">
        <v>2.86</v>
      </c>
      <c r="O23" s="527">
        <v>2.86</v>
      </c>
      <c r="P23" s="527">
        <v>2.86</v>
      </c>
      <c r="Q23" s="527">
        <v>2.86</v>
      </c>
      <c r="R23" s="527">
        <v>2.86</v>
      </c>
      <c r="S23" s="715"/>
    </row>
    <row r="24" spans="1:20" x14ac:dyDescent="0.25">
      <c r="A24" s="417" t="s">
        <v>618</v>
      </c>
      <c r="B24" s="532">
        <v>0</v>
      </c>
      <c r="C24" s="532">
        <v>0</v>
      </c>
      <c r="D24" s="532">
        <v>0</v>
      </c>
      <c r="E24" s="532">
        <v>0</v>
      </c>
      <c r="F24" s="532">
        <v>0</v>
      </c>
      <c r="G24" s="532">
        <v>0</v>
      </c>
      <c r="H24" s="532">
        <v>0</v>
      </c>
      <c r="I24" s="532">
        <v>0</v>
      </c>
      <c r="J24" s="855">
        <v>0</v>
      </c>
      <c r="K24" s="839">
        <v>0</v>
      </c>
      <c r="L24" s="532">
        <v>0</v>
      </c>
      <c r="M24" s="527">
        <v>0</v>
      </c>
      <c r="N24" s="527">
        <v>0</v>
      </c>
      <c r="O24" s="527">
        <v>1</v>
      </c>
      <c r="P24" s="527">
        <v>2</v>
      </c>
      <c r="Q24" s="527">
        <v>5.5</v>
      </c>
      <c r="R24" s="527">
        <v>5.5</v>
      </c>
      <c r="S24" s="715"/>
    </row>
    <row r="25" spans="1:20" x14ac:dyDescent="0.25">
      <c r="A25" s="417" t="s">
        <v>620</v>
      </c>
      <c r="B25" s="532">
        <v>0</v>
      </c>
      <c r="C25" s="532">
        <v>0</v>
      </c>
      <c r="D25" s="532">
        <v>0</v>
      </c>
      <c r="E25" s="532">
        <v>0</v>
      </c>
      <c r="F25" s="532">
        <v>0</v>
      </c>
      <c r="G25" s="532">
        <v>0</v>
      </c>
      <c r="H25" s="532">
        <v>0</v>
      </c>
      <c r="I25" s="532">
        <v>0</v>
      </c>
      <c r="J25" s="855">
        <v>0</v>
      </c>
      <c r="K25" s="835">
        <v>0</v>
      </c>
      <c r="L25" s="526">
        <v>0.5</v>
      </c>
      <c r="M25" s="527">
        <v>1.5</v>
      </c>
      <c r="N25" s="527">
        <v>2</v>
      </c>
      <c r="O25" s="527">
        <v>3</v>
      </c>
      <c r="P25" s="527">
        <v>3</v>
      </c>
      <c r="Q25" s="527">
        <v>3</v>
      </c>
      <c r="R25" s="527">
        <v>3</v>
      </c>
      <c r="S25" s="715"/>
    </row>
    <row r="26" spans="1:20" x14ac:dyDescent="0.25">
      <c r="A26" s="417" t="s">
        <v>621</v>
      </c>
      <c r="B26" s="532">
        <v>0</v>
      </c>
      <c r="C26" s="532">
        <v>0</v>
      </c>
      <c r="D26" s="526">
        <v>0.05</v>
      </c>
      <c r="E26" s="526">
        <v>0.05</v>
      </c>
      <c r="F26" s="526">
        <v>0.05</v>
      </c>
      <c r="G26" s="526">
        <v>0.05</v>
      </c>
      <c r="H26" s="526">
        <v>0.1</v>
      </c>
      <c r="I26" s="526">
        <v>0.3</v>
      </c>
      <c r="J26" s="856">
        <v>0.3</v>
      </c>
      <c r="K26" s="715">
        <v>0.4</v>
      </c>
      <c r="L26" s="527">
        <v>0.5</v>
      </c>
      <c r="M26" s="527">
        <v>0.6</v>
      </c>
      <c r="N26" s="527">
        <v>0.7</v>
      </c>
      <c r="O26" s="527">
        <v>1</v>
      </c>
      <c r="P26" s="527">
        <v>1.2</v>
      </c>
      <c r="Q26" s="527">
        <v>1.3</v>
      </c>
      <c r="R26" s="527">
        <v>1.5</v>
      </c>
      <c r="S26" s="715"/>
    </row>
    <row r="27" spans="1:20" x14ac:dyDescent="0.25">
      <c r="A27" s="735" t="s">
        <v>468</v>
      </c>
      <c r="B27" s="733">
        <f>SUM(B21:B26)</f>
        <v>0</v>
      </c>
      <c r="C27" s="733">
        <f t="shared" ref="C27:R27" si="5">SUM(C21:C26)</f>
        <v>0</v>
      </c>
      <c r="D27" s="733">
        <f t="shared" si="5"/>
        <v>0.55000000000000004</v>
      </c>
      <c r="E27" s="733">
        <f t="shared" si="5"/>
        <v>1.75</v>
      </c>
      <c r="F27" s="733">
        <f t="shared" si="5"/>
        <v>2.95</v>
      </c>
      <c r="G27" s="733">
        <f t="shared" si="5"/>
        <v>4.25</v>
      </c>
      <c r="H27" s="733">
        <f t="shared" si="5"/>
        <v>4.3999999999999995</v>
      </c>
      <c r="I27" s="733">
        <f t="shared" si="5"/>
        <v>5.1000000000000005</v>
      </c>
      <c r="J27" s="857">
        <f t="shared" si="5"/>
        <v>5.1000000000000005</v>
      </c>
      <c r="K27" s="840">
        <f t="shared" si="5"/>
        <v>6.1000000000000005</v>
      </c>
      <c r="L27" s="733">
        <f t="shared" si="5"/>
        <v>8.06</v>
      </c>
      <c r="M27" s="733">
        <f t="shared" si="5"/>
        <v>10.26</v>
      </c>
      <c r="N27" s="733">
        <f t="shared" si="5"/>
        <v>11.86</v>
      </c>
      <c r="O27" s="733">
        <f t="shared" si="5"/>
        <v>14.66</v>
      </c>
      <c r="P27" s="733">
        <f t="shared" si="5"/>
        <v>16.559999999999999</v>
      </c>
      <c r="Q27" s="733">
        <f t="shared" si="5"/>
        <v>20.86</v>
      </c>
      <c r="R27" s="734">
        <f t="shared" si="5"/>
        <v>21.259999999999998</v>
      </c>
      <c r="S27" s="716"/>
    </row>
    <row r="28" spans="1:20" ht="30" x14ac:dyDescent="0.25">
      <c r="A28" s="418" t="s">
        <v>469</v>
      </c>
      <c r="B28" s="419">
        <f t="shared" ref="B28:O28" si="6">B17+B27</f>
        <v>73.242999999999981</v>
      </c>
      <c r="C28" s="419">
        <f t="shared" si="6"/>
        <v>73.122</v>
      </c>
      <c r="D28" s="419">
        <f t="shared" si="6"/>
        <v>78.251999999999981</v>
      </c>
      <c r="E28" s="419">
        <f t="shared" si="6"/>
        <v>78.533000000000015</v>
      </c>
      <c r="F28" s="419">
        <f t="shared" si="6"/>
        <v>79.993000000000009</v>
      </c>
      <c r="G28" s="419">
        <f t="shared" si="6"/>
        <v>82.093000000000018</v>
      </c>
      <c r="H28" s="419">
        <f t="shared" si="6"/>
        <v>83.483000000000004</v>
      </c>
      <c r="I28" s="419">
        <f t="shared" si="6"/>
        <v>75.62</v>
      </c>
      <c r="J28" s="857">
        <f t="shared" si="6"/>
        <v>69.989999999999995</v>
      </c>
      <c r="K28" s="841">
        <f t="shared" si="6"/>
        <v>81.044999999999987</v>
      </c>
      <c r="L28" s="420">
        <f t="shared" si="6"/>
        <v>84.691000000000003</v>
      </c>
      <c r="M28" s="420">
        <f t="shared" si="6"/>
        <v>86.680999999999997</v>
      </c>
      <c r="N28" s="420">
        <f t="shared" si="6"/>
        <v>93.438999999999993</v>
      </c>
      <c r="O28" s="420">
        <f t="shared" si="6"/>
        <v>99.303999999999988</v>
      </c>
      <c r="P28" s="420">
        <f t="shared" ref="P28:R28" si="7">P17+P27</f>
        <v>102.931</v>
      </c>
      <c r="Q28" s="420">
        <f t="shared" si="7"/>
        <v>108.321</v>
      </c>
      <c r="R28" s="420">
        <f t="shared" si="7"/>
        <v>109.11599999999999</v>
      </c>
      <c r="S28" s="716"/>
    </row>
    <row r="29" spans="1:20" ht="33.75" customHeight="1" x14ac:dyDescent="0.25">
      <c r="A29" s="421" t="s">
        <v>623</v>
      </c>
      <c r="B29" s="422">
        <f t="shared" ref="B29:O29" si="8">B17+B27*0.8</f>
        <v>73.242999999999981</v>
      </c>
      <c r="C29" s="422">
        <f t="shared" si="8"/>
        <v>73.122</v>
      </c>
      <c r="D29" s="422">
        <f t="shared" si="8"/>
        <v>78.141999999999982</v>
      </c>
      <c r="E29" s="422">
        <f t="shared" si="8"/>
        <v>78.183000000000021</v>
      </c>
      <c r="F29" s="422">
        <f>F17+F27*0.8</f>
        <v>79.403000000000006</v>
      </c>
      <c r="G29" s="422">
        <f t="shared" si="8"/>
        <v>81.243000000000023</v>
      </c>
      <c r="H29" s="422">
        <f t="shared" si="8"/>
        <v>82.602999999999994</v>
      </c>
      <c r="I29" s="422">
        <f t="shared" si="8"/>
        <v>74.600000000000009</v>
      </c>
      <c r="J29" s="846"/>
      <c r="K29" s="842">
        <f t="shared" si="8"/>
        <v>79.824999999999989</v>
      </c>
      <c r="L29" s="422">
        <f t="shared" si="8"/>
        <v>83.079000000000008</v>
      </c>
      <c r="M29" s="422">
        <f t="shared" si="8"/>
        <v>84.628999999999991</v>
      </c>
      <c r="N29" s="422">
        <f t="shared" si="8"/>
        <v>91.066999999999993</v>
      </c>
      <c r="O29" s="533">
        <f t="shared" si="8"/>
        <v>96.371999999999986</v>
      </c>
      <c r="P29" s="533">
        <f t="shared" ref="P29:R29" si="9">P17+P27*0.8</f>
        <v>99.619</v>
      </c>
      <c r="Q29" s="533">
        <f t="shared" si="9"/>
        <v>104.149</v>
      </c>
      <c r="R29" s="533">
        <f t="shared" si="9"/>
        <v>104.86399999999999</v>
      </c>
      <c r="S29" s="716"/>
    </row>
    <row r="30" spans="1:20" ht="33.75" customHeight="1" x14ac:dyDescent="0.25">
      <c r="A30" s="421" t="s">
        <v>622</v>
      </c>
      <c r="B30" s="422">
        <f>B29*0.92</f>
        <v>67.383559999999989</v>
      </c>
      <c r="C30" s="422">
        <f t="shared" ref="C30:R30" si="10">C29*0.92</f>
        <v>67.272239999999996</v>
      </c>
      <c r="D30" s="422">
        <f t="shared" si="10"/>
        <v>71.890639999999991</v>
      </c>
      <c r="E30" s="422">
        <f t="shared" si="10"/>
        <v>71.928360000000026</v>
      </c>
      <c r="F30" s="422">
        <f t="shared" si="10"/>
        <v>73.050760000000011</v>
      </c>
      <c r="G30" s="422">
        <f t="shared" si="10"/>
        <v>74.743560000000031</v>
      </c>
      <c r="H30" s="422">
        <f t="shared" si="10"/>
        <v>75.994759999999999</v>
      </c>
      <c r="I30" s="842">
        <f t="shared" si="10"/>
        <v>68.632000000000005</v>
      </c>
      <c r="J30" s="846"/>
      <c r="K30" s="842">
        <f t="shared" si="10"/>
        <v>73.438999999999993</v>
      </c>
      <c r="L30" s="422">
        <f t="shared" si="10"/>
        <v>76.432680000000005</v>
      </c>
      <c r="M30" s="422">
        <f t="shared" si="10"/>
        <v>77.858679999999993</v>
      </c>
      <c r="N30" s="422">
        <f t="shared" si="10"/>
        <v>83.781639999999996</v>
      </c>
      <c r="O30" s="422">
        <f t="shared" si="10"/>
        <v>88.662239999999997</v>
      </c>
      <c r="P30" s="422">
        <f t="shared" si="10"/>
        <v>91.649479999999997</v>
      </c>
      <c r="Q30" s="422">
        <f t="shared" si="10"/>
        <v>95.817080000000004</v>
      </c>
      <c r="R30" s="533">
        <f t="shared" si="10"/>
        <v>96.474879999999999</v>
      </c>
      <c r="S30" s="716"/>
    </row>
    <row r="31" spans="1:20" x14ac:dyDescent="0.25">
      <c r="A31" s="534" t="s">
        <v>927</v>
      </c>
      <c r="B31" s="432">
        <v>62.5</v>
      </c>
      <c r="C31" s="432">
        <v>62</v>
      </c>
      <c r="D31" s="432">
        <v>66.5</v>
      </c>
      <c r="E31" s="432">
        <v>69.5</v>
      </c>
      <c r="F31" s="432">
        <v>66.5</v>
      </c>
      <c r="G31" s="432">
        <v>72</v>
      </c>
      <c r="H31" s="432">
        <v>71</v>
      </c>
      <c r="I31" s="731">
        <v>60</v>
      </c>
      <c r="J31" s="847"/>
      <c r="K31" s="843">
        <v>65</v>
      </c>
      <c r="L31" s="731">
        <v>70</v>
      </c>
      <c r="M31" s="731">
        <v>74</v>
      </c>
      <c r="N31" s="731">
        <f t="shared" ref="N31:R31" si="11">M31*(1+$T$31)</f>
        <v>75.849999999999994</v>
      </c>
      <c r="O31" s="731">
        <f t="shared" si="11"/>
        <v>77.746249999999989</v>
      </c>
      <c r="P31" s="731">
        <f t="shared" si="11"/>
        <v>79.689906249999979</v>
      </c>
      <c r="Q31" s="731">
        <f t="shared" si="11"/>
        <v>81.682153906249965</v>
      </c>
      <c r="R31" s="512">
        <f t="shared" si="11"/>
        <v>83.724207753906214</v>
      </c>
      <c r="S31" s="724"/>
      <c r="T31" s="726">
        <v>2.5000000000000001E-2</v>
      </c>
    </row>
    <row r="32" spans="1:20" x14ac:dyDescent="0.25">
      <c r="A32" s="535" t="s">
        <v>928</v>
      </c>
      <c r="B32" s="412">
        <f t="shared" ref="B32:G32" si="12">B31</f>
        <v>62.5</v>
      </c>
      <c r="C32" s="412">
        <f t="shared" si="12"/>
        <v>62</v>
      </c>
      <c r="D32" s="412">
        <f t="shared" si="12"/>
        <v>66.5</v>
      </c>
      <c r="E32" s="412">
        <f t="shared" si="12"/>
        <v>69.5</v>
      </c>
      <c r="F32" s="412">
        <f t="shared" si="12"/>
        <v>66.5</v>
      </c>
      <c r="G32" s="412">
        <f t="shared" si="12"/>
        <v>72</v>
      </c>
      <c r="H32" s="412">
        <v>71</v>
      </c>
      <c r="I32" s="412">
        <f>I31</f>
        <v>60</v>
      </c>
      <c r="J32" s="848"/>
      <c r="K32" s="844">
        <f>K31</f>
        <v>65</v>
      </c>
      <c r="L32" s="412">
        <f>L31</f>
        <v>70</v>
      </c>
      <c r="M32" s="412">
        <v>74</v>
      </c>
      <c r="N32" s="412">
        <f t="shared" ref="N32:R32" si="13">M32*(1+$T$32)</f>
        <v>76.22</v>
      </c>
      <c r="O32" s="412">
        <f t="shared" si="13"/>
        <v>78.506600000000006</v>
      </c>
      <c r="P32" s="412">
        <f t="shared" si="13"/>
        <v>80.861798000000007</v>
      </c>
      <c r="Q32" s="412">
        <f t="shared" si="13"/>
        <v>83.287651940000003</v>
      </c>
      <c r="R32" s="413">
        <f t="shared" si="13"/>
        <v>85.786281498200012</v>
      </c>
      <c r="S32" s="724"/>
      <c r="T32" s="726">
        <v>0.03</v>
      </c>
    </row>
    <row r="33" spans="1:19" s="423" customFormat="1" x14ac:dyDescent="0.25">
      <c r="A33" s="414" t="s">
        <v>929</v>
      </c>
      <c r="B33" s="415">
        <f>B31/B30</f>
        <v>0.9275259425296023</v>
      </c>
      <c r="C33" s="415">
        <f t="shared" ref="C33:R33" si="14">C31/C30</f>
        <v>0.92162829719955819</v>
      </c>
      <c r="D33" s="415">
        <f t="shared" si="14"/>
        <v>0.92501610779929078</v>
      </c>
      <c r="E33" s="415">
        <f t="shared" si="14"/>
        <v>0.96623918576761625</v>
      </c>
      <c r="F33" s="415">
        <f t="shared" si="14"/>
        <v>0.91032591584262768</v>
      </c>
      <c r="G33" s="415">
        <f t="shared" si="14"/>
        <v>0.96329369379783314</v>
      </c>
      <c r="H33" s="415">
        <f t="shared" si="14"/>
        <v>0.93427494211442996</v>
      </c>
      <c r="I33" s="859">
        <f t="shared" si="14"/>
        <v>0.87422776547383141</v>
      </c>
      <c r="J33" s="849"/>
      <c r="K33" s="845">
        <f t="shared" si="14"/>
        <v>0.88508830457931076</v>
      </c>
      <c r="L33" s="415">
        <f t="shared" si="14"/>
        <v>0.91583861772215758</v>
      </c>
      <c r="M33" s="415">
        <f t="shared" si="14"/>
        <v>0.9504399509470236</v>
      </c>
      <c r="N33" s="415">
        <f t="shared" si="14"/>
        <v>0.90532961636940978</v>
      </c>
      <c r="O33" s="415">
        <f t="shared" si="14"/>
        <v>0.87688118414332861</v>
      </c>
      <c r="P33" s="415">
        <f t="shared" si="14"/>
        <v>0.86950745656167372</v>
      </c>
      <c r="Q33" s="415">
        <f t="shared" si="14"/>
        <v>0.85248009964663884</v>
      </c>
      <c r="R33" s="416">
        <f t="shared" si="14"/>
        <v>0.86783427721191475</v>
      </c>
      <c r="S33" s="725"/>
    </row>
    <row r="34" spans="1:19" s="423" customFormat="1" x14ac:dyDescent="0.25">
      <c r="A34" s="414" t="s">
        <v>930</v>
      </c>
      <c r="B34" s="415">
        <f>B32/B30</f>
        <v>0.9275259425296023</v>
      </c>
      <c r="C34" s="415">
        <f t="shared" ref="C34:R34" si="15">C32/C30</f>
        <v>0.92162829719955819</v>
      </c>
      <c r="D34" s="415">
        <f t="shared" si="15"/>
        <v>0.92501610779929078</v>
      </c>
      <c r="E34" s="415">
        <f t="shared" si="15"/>
        <v>0.96623918576761625</v>
      </c>
      <c r="F34" s="415">
        <f t="shared" si="15"/>
        <v>0.91032591584262768</v>
      </c>
      <c r="G34" s="415">
        <f t="shared" si="15"/>
        <v>0.96329369379783314</v>
      </c>
      <c r="H34" s="415">
        <f t="shared" si="15"/>
        <v>0.93427494211442996</v>
      </c>
      <c r="I34" s="859">
        <f t="shared" si="15"/>
        <v>0.87422776547383141</v>
      </c>
      <c r="J34" s="850"/>
      <c r="K34" s="845">
        <f t="shared" si="15"/>
        <v>0.88508830457931076</v>
      </c>
      <c r="L34" s="415">
        <f t="shared" si="15"/>
        <v>0.91583861772215758</v>
      </c>
      <c r="M34" s="415">
        <f t="shared" si="15"/>
        <v>0.9504399509470236</v>
      </c>
      <c r="N34" s="415">
        <f t="shared" si="15"/>
        <v>0.90974585840048017</v>
      </c>
      <c r="O34" s="415">
        <f t="shared" si="15"/>
        <v>0.88545698822858532</v>
      </c>
      <c r="P34" s="415">
        <f t="shared" si="15"/>
        <v>0.88229412758261161</v>
      </c>
      <c r="Q34" s="415">
        <f t="shared" si="15"/>
        <v>0.86923596440217132</v>
      </c>
      <c r="R34" s="730">
        <f t="shared" si="15"/>
        <v>0.88920848098696792</v>
      </c>
      <c r="S34" s="725"/>
    </row>
    <row r="35" spans="1:19" x14ac:dyDescent="0.25">
      <c r="A35" s="424"/>
      <c r="B35" s="424"/>
      <c r="C35" s="424"/>
      <c r="D35" s="424"/>
      <c r="E35" s="424"/>
      <c r="F35" s="424"/>
      <c r="G35" s="424"/>
      <c r="H35" s="424"/>
      <c r="I35" s="424"/>
      <c r="J35" s="833"/>
      <c r="K35" s="424"/>
      <c r="L35" s="424"/>
      <c r="M35" s="424"/>
      <c r="N35" s="424"/>
      <c r="O35" s="424"/>
      <c r="P35" s="424"/>
      <c r="Q35" s="424"/>
      <c r="R35" s="424"/>
    </row>
  </sheetData>
  <mergeCells count="3">
    <mergeCell ref="A19:O19"/>
    <mergeCell ref="A4:O4"/>
    <mergeCell ref="A2:R2"/>
  </mergeCells>
  <pageMargins left="0.7" right="0.7" top="0.75" bottom="0.75" header="0.3" footer="0.3"/>
  <pageSetup paperSize="9" orientation="portrait"/>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3E752-723D-4C3A-93DD-636D0DE8C905}">
  <dimension ref="F4:U41"/>
  <sheetViews>
    <sheetView showGridLines="0" rightToLeft="1" zoomScale="98" zoomScaleNormal="98" workbookViewId="0">
      <selection activeCell="F18" sqref="F18"/>
    </sheetView>
  </sheetViews>
  <sheetFormatPr defaultColWidth="9.140625" defaultRowHeight="12.75" x14ac:dyDescent="0.2"/>
  <cols>
    <col min="1" max="2" width="9.140625" style="275"/>
    <col min="3" max="3" width="3.85546875" style="275" customWidth="1"/>
    <col min="4" max="4" width="3.140625" style="275" customWidth="1"/>
    <col min="5" max="5" width="4.5703125" style="275" customWidth="1"/>
    <col min="6" max="14" width="9.140625" style="275"/>
    <col min="15" max="15" width="13.42578125" style="275" customWidth="1"/>
    <col min="16" max="16" width="12.7109375" style="275" bestFit="1" customWidth="1"/>
    <col min="17" max="17" width="9.140625" style="275"/>
    <col min="18" max="18" width="4.140625" style="275" customWidth="1"/>
    <col min="19" max="19" width="13.7109375" style="275" bestFit="1" customWidth="1"/>
    <col min="20" max="20" width="12.7109375" style="275" bestFit="1" customWidth="1"/>
    <col min="21" max="16384" width="9.140625" style="275"/>
  </cols>
  <sheetData>
    <row r="4" spans="6:7" x14ac:dyDescent="0.2">
      <c r="F4" s="275" t="s">
        <v>24</v>
      </c>
    </row>
    <row r="5" spans="6:7" x14ac:dyDescent="0.2">
      <c r="F5" s="275" t="s">
        <v>845</v>
      </c>
      <c r="G5" s="331">
        <f>'DCF 1.6.2025'!AL28</f>
        <v>781</v>
      </c>
    </row>
    <row r="6" spans="6:7" x14ac:dyDescent="0.2">
      <c r="F6" s="275" t="s">
        <v>851</v>
      </c>
      <c r="G6" s="331">
        <f>'DCF 1.6.2025'!AM28</f>
        <v>1694</v>
      </c>
    </row>
    <row r="7" spans="6:7" x14ac:dyDescent="0.2">
      <c r="F7" s="275" t="s">
        <v>877</v>
      </c>
      <c r="G7" s="331">
        <f>'DCF 1.6.2025'!AO28</f>
        <v>4014</v>
      </c>
    </row>
    <row r="8" spans="6:7" x14ac:dyDescent="0.2">
      <c r="F8" s="275" t="s">
        <v>905</v>
      </c>
      <c r="G8" s="331">
        <f>'DCF 1.6.2025'!AT28</f>
        <v>1677</v>
      </c>
    </row>
    <row r="9" spans="6:7" x14ac:dyDescent="0.2">
      <c r="F9" s="275" t="s">
        <v>924</v>
      </c>
      <c r="G9" s="331">
        <f>'DCF 1.6.2025'!AY28</f>
        <v>1371</v>
      </c>
    </row>
    <row r="10" spans="6:7" x14ac:dyDescent="0.2">
      <c r="F10" s="275" t="s">
        <v>611</v>
      </c>
      <c r="G10" s="331">
        <f>'DCF 1.6.2025'!BC28</f>
        <v>1496.3788977342315</v>
      </c>
    </row>
    <row r="11" spans="6:7" x14ac:dyDescent="0.2">
      <c r="F11" s="275" t="s">
        <v>612</v>
      </c>
      <c r="G11" s="331">
        <f>'DCF 1.6.2025'!BD28</f>
        <v>1659.7800845423592</v>
      </c>
    </row>
    <row r="12" spans="6:7" x14ac:dyDescent="0.2">
      <c r="F12" s="275" t="s">
        <v>613</v>
      </c>
      <c r="G12" s="331">
        <f>'DCF 1.6.2025'!BE28</f>
        <v>1620.26367802</v>
      </c>
    </row>
    <row r="14" spans="6:7" x14ac:dyDescent="0.2">
      <c r="F14" s="275" t="s">
        <v>582</v>
      </c>
    </row>
    <row r="15" spans="6:7" x14ac:dyDescent="0.2">
      <c r="F15" s="275" t="s">
        <v>845</v>
      </c>
      <c r="G15" s="331">
        <f>'DCF 1.6.2025'!AL39</f>
        <v>696</v>
      </c>
    </row>
    <row r="16" spans="6:7" x14ac:dyDescent="0.2">
      <c r="F16" s="275" t="s">
        <v>851</v>
      </c>
      <c r="G16" s="331">
        <f>'DCF 1.6.2025'!AM39</f>
        <v>1368</v>
      </c>
    </row>
    <row r="17" spans="6:7" x14ac:dyDescent="0.2">
      <c r="F17" s="275" t="s">
        <v>877</v>
      </c>
      <c r="G17" s="331">
        <f>'DCF 1.6.2025'!AO39</f>
        <v>2670</v>
      </c>
    </row>
    <row r="18" spans="6:7" x14ac:dyDescent="0.2">
      <c r="F18" s="275" t="s">
        <v>905</v>
      </c>
      <c r="G18" s="331">
        <f>'DCF 1.6.2025'!AT39</f>
        <v>1163</v>
      </c>
    </row>
    <row r="19" spans="6:7" x14ac:dyDescent="0.2">
      <c r="F19" s="275" t="s">
        <v>610</v>
      </c>
      <c r="G19" s="331">
        <f>'DCF 1.6.2025'!AY39</f>
        <v>1158</v>
      </c>
    </row>
    <row r="20" spans="6:7" x14ac:dyDescent="0.2">
      <c r="F20" s="275" t="s">
        <v>611</v>
      </c>
      <c r="G20" s="331">
        <f>'DCF 1.6.2025'!BC39</f>
        <v>1163.3720630740968</v>
      </c>
    </row>
    <row r="21" spans="6:7" x14ac:dyDescent="0.2">
      <c r="F21" s="275" t="s">
        <v>612</v>
      </c>
      <c r="G21" s="331">
        <f>'DCF 1.6.2025'!BD39</f>
        <v>1279.6674701701581</v>
      </c>
    </row>
    <row r="22" spans="6:7" x14ac:dyDescent="0.2">
      <c r="F22" s="275" t="s">
        <v>613</v>
      </c>
      <c r="G22" s="331">
        <f>'DCF 1.6.2025'!BE39</f>
        <v>1227.9635791962</v>
      </c>
    </row>
    <row r="34" spans="15:21" ht="13.5" thickBot="1" x14ac:dyDescent="0.25"/>
    <row r="35" spans="15:21" ht="13.5" thickTop="1" x14ac:dyDescent="0.2">
      <c r="O35" s="17" t="s">
        <v>995</v>
      </c>
      <c r="P35" s="17"/>
      <c r="Q35" s="17"/>
      <c r="S35" s="17" t="s">
        <v>1010</v>
      </c>
      <c r="T35" s="17"/>
      <c r="U35" s="17"/>
    </row>
    <row r="36" spans="15:21" x14ac:dyDescent="0.2">
      <c r="O36" s="1077" t="s">
        <v>107</v>
      </c>
      <c r="P36" s="1078" t="s">
        <v>996</v>
      </c>
      <c r="Q36" s="1079" t="s">
        <v>1000</v>
      </c>
      <c r="S36" s="1077" t="s">
        <v>107</v>
      </c>
      <c r="T36" s="1078" t="s">
        <v>996</v>
      </c>
      <c r="U36" s="1079" t="s">
        <v>1000</v>
      </c>
    </row>
    <row r="37" spans="15:21" x14ac:dyDescent="0.2">
      <c r="O37" s="281" t="s">
        <v>106</v>
      </c>
      <c r="P37" s="1080" t="s">
        <v>997</v>
      </c>
      <c r="Q37" s="311" t="s">
        <v>1000</v>
      </c>
      <c r="S37" s="281" t="s">
        <v>106</v>
      </c>
      <c r="T37" s="1081" t="s">
        <v>1006</v>
      </c>
      <c r="U37" s="311" t="s">
        <v>1000</v>
      </c>
    </row>
    <row r="38" spans="15:21" x14ac:dyDescent="0.2">
      <c r="O38" s="281" t="s">
        <v>998</v>
      </c>
      <c r="P38" s="310" t="s">
        <v>999</v>
      </c>
      <c r="Q38" s="311" t="s">
        <v>1001</v>
      </c>
      <c r="S38" s="281" t="s">
        <v>998</v>
      </c>
      <c r="T38" s="997" t="s">
        <v>1007</v>
      </c>
      <c r="U38" s="311" t="s">
        <v>1001</v>
      </c>
    </row>
    <row r="39" spans="15:21" x14ac:dyDescent="0.2">
      <c r="O39" s="281" t="s">
        <v>223</v>
      </c>
      <c r="P39" s="997" t="s">
        <v>1004</v>
      </c>
      <c r="Q39" s="311" t="s">
        <v>1001</v>
      </c>
      <c r="S39" s="281" t="s">
        <v>223</v>
      </c>
      <c r="T39" s="997" t="s">
        <v>1007</v>
      </c>
      <c r="U39" s="311" t="s">
        <v>1001</v>
      </c>
    </row>
    <row r="40" spans="15:21" x14ac:dyDescent="0.2">
      <c r="O40" s="281" t="s">
        <v>1002</v>
      </c>
      <c r="P40" s="997" t="s">
        <v>1005</v>
      </c>
      <c r="Q40" s="311" t="s">
        <v>1001</v>
      </c>
      <c r="S40" s="281" t="s">
        <v>1002</v>
      </c>
      <c r="T40" s="997" t="s">
        <v>1008</v>
      </c>
      <c r="U40" s="311" t="s">
        <v>1001</v>
      </c>
    </row>
    <row r="41" spans="15:21" x14ac:dyDescent="0.2">
      <c r="O41" s="281" t="s">
        <v>1003</v>
      </c>
      <c r="P41" s="997" t="s">
        <v>999</v>
      </c>
      <c r="Q41" s="311" t="s">
        <v>1001</v>
      </c>
      <c r="S41" s="281" t="s">
        <v>1003</v>
      </c>
      <c r="T41" s="997" t="s">
        <v>1009</v>
      </c>
      <c r="U41" s="311" t="s">
        <v>1001</v>
      </c>
    </row>
  </sheetData>
  <mergeCells count="2">
    <mergeCell ref="O35:Q35"/>
    <mergeCell ref="S35:U3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AAC2A-3076-48BD-BA05-C3FF6D3B9ADD}">
  <dimension ref="C4"/>
  <sheetViews>
    <sheetView showGridLines="0" rightToLeft="1" workbookViewId="0">
      <selection activeCell="E7" sqref="E7"/>
    </sheetView>
  </sheetViews>
  <sheetFormatPr defaultRowHeight="12.75" x14ac:dyDescent="0.2"/>
  <sheetData>
    <row r="4" spans="3:3" x14ac:dyDescent="0.2">
      <c r="C4" s="159"/>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DBCA1-B82D-411F-B307-A553BC294CED}">
  <sheetPr>
    <tabColor rgb="FFFFC000"/>
  </sheetPr>
  <dimension ref="E2:T29"/>
  <sheetViews>
    <sheetView showGridLines="0" rightToLeft="1" zoomScale="115" zoomScaleNormal="115" workbookViewId="0"/>
  </sheetViews>
  <sheetFormatPr defaultColWidth="9.140625" defaultRowHeight="12.75" x14ac:dyDescent="0.2"/>
  <cols>
    <col min="1" max="4" width="9.140625" style="275"/>
    <col min="5" max="6" width="9.5703125" style="275" bestFit="1" customWidth="1"/>
    <col min="7" max="18" width="9.140625" style="275"/>
    <col min="19" max="19" width="26.28515625" style="275" bestFit="1" customWidth="1"/>
    <col min="20" max="20" width="10.42578125" style="275" customWidth="1"/>
    <col min="21" max="16384" width="9.140625" style="275"/>
  </cols>
  <sheetData>
    <row r="2" spans="5:20" ht="13.5" thickBot="1" x14ac:dyDescent="0.25"/>
    <row r="3" spans="5:20" ht="15.75" thickTop="1" x14ac:dyDescent="0.2">
      <c r="E3" s="16" t="s">
        <v>977</v>
      </c>
      <c r="F3" s="16"/>
      <c r="G3" s="16"/>
      <c r="H3" s="16"/>
      <c r="I3" s="16"/>
      <c r="J3" s="16"/>
      <c r="K3" s="16"/>
      <c r="L3" s="16"/>
      <c r="M3" s="16"/>
      <c r="N3" s="16"/>
      <c r="O3" s="16"/>
      <c r="P3" s="16"/>
      <c r="Q3" s="16"/>
      <c r="R3" s="16"/>
      <c r="S3" s="16"/>
      <c r="T3" s="16"/>
    </row>
    <row r="4" spans="5:20" ht="3.75" customHeight="1" x14ac:dyDescent="0.2">
      <c r="E4" s="1017"/>
      <c r="F4" s="1017"/>
      <c r="G4" s="1017"/>
      <c r="H4" s="1017"/>
      <c r="I4" s="1017"/>
      <c r="J4" s="1017"/>
      <c r="K4" s="1016"/>
      <c r="L4" s="1016"/>
      <c r="M4" s="1016"/>
      <c r="N4" s="1016"/>
      <c r="O4" s="1016"/>
      <c r="P4" s="1016"/>
      <c r="Q4" s="1016"/>
      <c r="R4" s="1016"/>
      <c r="S4" s="1016"/>
      <c r="T4" s="1016"/>
    </row>
    <row r="5" spans="5:20" x14ac:dyDescent="0.2">
      <c r="E5" s="5" t="s">
        <v>957</v>
      </c>
      <c r="F5" s="5"/>
      <c r="G5" s="7" t="s">
        <v>949</v>
      </c>
      <c r="H5" s="6"/>
      <c r="I5" s="9" t="s">
        <v>948</v>
      </c>
      <c r="J5" s="8"/>
      <c r="K5" s="15" t="s">
        <v>24</v>
      </c>
      <c r="L5" s="14"/>
      <c r="M5" s="15" t="s">
        <v>947</v>
      </c>
      <c r="N5" s="14"/>
      <c r="O5" s="15" t="s">
        <v>946</v>
      </c>
      <c r="P5" s="15" t="s">
        <v>966</v>
      </c>
      <c r="Q5" s="15" t="s">
        <v>942</v>
      </c>
      <c r="R5" s="15" t="s">
        <v>943</v>
      </c>
      <c r="S5" s="12" t="s">
        <v>944</v>
      </c>
      <c r="T5" s="14" t="s">
        <v>945</v>
      </c>
    </row>
    <row r="6" spans="5:20" x14ac:dyDescent="0.2">
      <c r="E6" s="1099" t="s">
        <v>612</v>
      </c>
      <c r="F6" s="1100" t="s">
        <v>611</v>
      </c>
      <c r="G6" s="1101" t="s">
        <v>612</v>
      </c>
      <c r="H6" s="1102" t="s">
        <v>611</v>
      </c>
      <c r="I6" s="923" t="s">
        <v>612</v>
      </c>
      <c r="J6" s="924" t="s">
        <v>611</v>
      </c>
      <c r="K6" s="923" t="s">
        <v>612</v>
      </c>
      <c r="L6" s="924" t="s">
        <v>611</v>
      </c>
      <c r="M6" s="923" t="s">
        <v>612</v>
      </c>
      <c r="N6" s="923" t="s">
        <v>611</v>
      </c>
      <c r="O6" s="13"/>
      <c r="P6" s="13"/>
      <c r="Q6" s="13"/>
      <c r="R6" s="13"/>
      <c r="S6" s="11"/>
      <c r="T6" s="10"/>
    </row>
    <row r="7" spans="5:20" x14ac:dyDescent="0.2">
      <c r="E7" s="1095" t="s">
        <v>976</v>
      </c>
      <c r="F7" s="993" t="s">
        <v>962</v>
      </c>
      <c r="G7" s="1009" t="s">
        <v>953</v>
      </c>
      <c r="H7" s="1010" t="s">
        <v>1012</v>
      </c>
      <c r="I7" s="1006">
        <v>0.21</v>
      </c>
      <c r="J7" s="1007">
        <v>0.20300000000000001</v>
      </c>
      <c r="K7" s="312">
        <v>5495</v>
      </c>
      <c r="L7" s="332">
        <v>5395</v>
      </c>
      <c r="M7" s="312">
        <v>26876</v>
      </c>
      <c r="N7" s="332">
        <v>26339</v>
      </c>
      <c r="O7" s="996">
        <v>4.1000000000000002E-2</v>
      </c>
      <c r="P7" s="997" t="s">
        <v>967</v>
      </c>
      <c r="Q7" s="312">
        <v>29607.879513343803</v>
      </c>
      <c r="R7" s="275">
        <v>60.29</v>
      </c>
      <c r="S7" s="998" t="s">
        <v>931</v>
      </c>
      <c r="T7" s="311" t="s">
        <v>899</v>
      </c>
    </row>
    <row r="8" spans="5:20" x14ac:dyDescent="0.2">
      <c r="E8" s="1095" t="s">
        <v>1022</v>
      </c>
      <c r="F8" s="993" t="s">
        <v>958</v>
      </c>
      <c r="G8" s="1009" t="s">
        <v>954</v>
      </c>
      <c r="H8" s="1010" t="s">
        <v>1013</v>
      </c>
      <c r="I8" s="1006">
        <v>0.184</v>
      </c>
      <c r="J8" s="1007">
        <v>0.188</v>
      </c>
      <c r="K8" s="312">
        <v>2275</v>
      </c>
      <c r="L8" s="332">
        <v>2198</v>
      </c>
      <c r="M8" s="312">
        <v>11756</v>
      </c>
      <c r="N8" s="332">
        <v>11624</v>
      </c>
      <c r="O8" s="996">
        <v>2.9000000000000001E-2</v>
      </c>
      <c r="P8" s="997" t="s">
        <v>968</v>
      </c>
      <c r="Q8" s="312">
        <v>11561.640798226166</v>
      </c>
      <c r="R8" s="275">
        <v>36.4</v>
      </c>
      <c r="S8" s="998" t="s">
        <v>896</v>
      </c>
      <c r="T8" s="311" t="s">
        <v>937</v>
      </c>
    </row>
    <row r="9" spans="5:20" x14ac:dyDescent="0.2">
      <c r="E9" s="1095" t="s">
        <v>1023</v>
      </c>
      <c r="F9" s="993" t="s">
        <v>964</v>
      </c>
      <c r="G9" s="1009" t="s">
        <v>1019</v>
      </c>
      <c r="H9" s="1010" t="s">
        <v>973</v>
      </c>
      <c r="I9" s="1006">
        <v>0.27</v>
      </c>
      <c r="J9" s="1007">
        <v>0.20899999999999999</v>
      </c>
      <c r="K9" s="312">
        <v>1752</v>
      </c>
      <c r="L9" s="332">
        <v>1124</v>
      </c>
      <c r="M9" s="312">
        <v>6501</v>
      </c>
      <c r="N9" s="332">
        <v>5720</v>
      </c>
      <c r="O9" s="996">
        <v>2.4E-2</v>
      </c>
      <c r="P9" s="997" t="s">
        <v>969</v>
      </c>
      <c r="Q9" s="312">
        <v>6892.4778123057795</v>
      </c>
      <c r="R9" s="275">
        <v>58.64</v>
      </c>
      <c r="S9" s="998" t="s">
        <v>932</v>
      </c>
      <c r="T9" s="311" t="s">
        <v>938</v>
      </c>
    </row>
    <row r="10" spans="5:20" x14ac:dyDescent="0.2">
      <c r="E10" s="1095" t="s">
        <v>965</v>
      </c>
      <c r="F10" s="993" t="s">
        <v>959</v>
      </c>
      <c r="G10" s="1009" t="s">
        <v>955</v>
      </c>
      <c r="H10" s="1010" t="s">
        <v>1014</v>
      </c>
      <c r="I10" s="1006">
        <v>0.37</v>
      </c>
      <c r="J10" s="1007">
        <v>0.378</v>
      </c>
      <c r="K10" s="312">
        <v>2384</v>
      </c>
      <c r="L10" s="332">
        <v>2258</v>
      </c>
      <c r="M10" s="312">
        <v>6058</v>
      </c>
      <c r="N10" s="332">
        <v>5987</v>
      </c>
      <c r="O10" s="996">
        <v>1.9E-2</v>
      </c>
      <c r="P10" s="997" t="s">
        <v>970</v>
      </c>
      <c r="Q10" s="312">
        <v>16058.935438520602</v>
      </c>
      <c r="R10" s="275">
        <v>92.28</v>
      </c>
      <c r="S10" s="998" t="s">
        <v>933</v>
      </c>
      <c r="T10" s="311" t="s">
        <v>897</v>
      </c>
    </row>
    <row r="11" spans="5:20" x14ac:dyDescent="0.2">
      <c r="E11" s="1095" t="s">
        <v>1024</v>
      </c>
      <c r="F11" s="993" t="s">
        <v>963</v>
      </c>
      <c r="G11" s="1009" t="s">
        <v>956</v>
      </c>
      <c r="H11" s="1010" t="s">
        <v>1015</v>
      </c>
      <c r="I11" s="1006">
        <v>0.16500000000000001</v>
      </c>
      <c r="J11" s="1007">
        <v>0.15</v>
      </c>
      <c r="K11" s="312">
        <v>617</v>
      </c>
      <c r="L11" s="332">
        <v>544</v>
      </c>
      <c r="M11" s="312">
        <v>3730</v>
      </c>
      <c r="N11" s="332">
        <v>3687</v>
      </c>
      <c r="O11" s="996">
        <v>4.9000000000000002E-2</v>
      </c>
      <c r="P11" s="997" t="s">
        <v>971</v>
      </c>
      <c r="Q11" s="312">
        <v>2497.2124352331607</v>
      </c>
      <c r="R11" s="275">
        <v>16.38</v>
      </c>
      <c r="S11" s="998" t="s">
        <v>898</v>
      </c>
      <c r="T11" s="311" t="s">
        <v>939</v>
      </c>
    </row>
    <row r="12" spans="5:20" x14ac:dyDescent="0.2">
      <c r="E12" s="1095" t="s">
        <v>1025</v>
      </c>
      <c r="F12" s="993" t="s">
        <v>960</v>
      </c>
      <c r="G12" s="1009" t="s">
        <v>1021</v>
      </c>
      <c r="H12" s="1010" t="s">
        <v>1017</v>
      </c>
      <c r="I12" s="1006">
        <v>0.247</v>
      </c>
      <c r="J12" s="1007">
        <v>0.23400000000000001</v>
      </c>
      <c r="K12" s="312">
        <v>10069</v>
      </c>
      <c r="L12" s="332">
        <v>9257</v>
      </c>
      <c r="M12" s="312">
        <v>40779</v>
      </c>
      <c r="N12" s="332">
        <v>38125</v>
      </c>
      <c r="O12" s="996">
        <v>4.1000000000000002E-2</v>
      </c>
      <c r="P12" s="997" t="s">
        <v>969</v>
      </c>
      <c r="Q12" s="312">
        <v>6418.6415633937077</v>
      </c>
      <c r="R12" s="275">
        <v>21.9</v>
      </c>
      <c r="S12" s="998" t="s">
        <v>934</v>
      </c>
      <c r="T12" s="311" t="s">
        <v>940</v>
      </c>
    </row>
    <row r="13" spans="5:20" x14ac:dyDescent="0.2">
      <c r="E13" s="1095" t="s">
        <v>1026</v>
      </c>
      <c r="F13" s="993" t="s">
        <v>961</v>
      </c>
      <c r="G13" s="1009" t="s">
        <v>952</v>
      </c>
      <c r="H13" s="1010" t="s">
        <v>1016</v>
      </c>
      <c r="I13" s="1006">
        <v>0.153</v>
      </c>
      <c r="J13" s="1007">
        <v>0.14699999999999999</v>
      </c>
      <c r="K13" s="312">
        <v>2372</v>
      </c>
      <c r="L13" s="332">
        <v>2234</v>
      </c>
      <c r="M13" s="312">
        <v>14958</v>
      </c>
      <c r="N13" s="332">
        <v>14719</v>
      </c>
      <c r="O13" s="996">
        <v>1.4E-2</v>
      </c>
      <c r="P13" s="997" t="s">
        <v>968</v>
      </c>
      <c r="Q13" s="312">
        <v>8357.2623703703721</v>
      </c>
      <c r="R13" s="275">
        <v>372.55</v>
      </c>
      <c r="S13" s="998" t="s">
        <v>935</v>
      </c>
      <c r="T13" s="311" t="s">
        <v>941</v>
      </c>
    </row>
    <row r="14" spans="5:20" x14ac:dyDescent="0.2">
      <c r="E14" s="1096"/>
      <c r="F14" s="994"/>
      <c r="G14" s="1011"/>
      <c r="H14" s="1012"/>
      <c r="I14" s="310"/>
      <c r="J14" s="311"/>
      <c r="K14" s="310"/>
      <c r="L14" s="311"/>
      <c r="M14" s="310"/>
      <c r="N14" s="311"/>
      <c r="O14" s="996"/>
      <c r="P14" s="310"/>
      <c r="Q14" s="310"/>
      <c r="R14" s="310"/>
      <c r="S14" s="998"/>
      <c r="T14" s="311"/>
    </row>
    <row r="15" spans="5:20" x14ac:dyDescent="0.2">
      <c r="E15" s="1097" t="s">
        <v>1024</v>
      </c>
      <c r="F15" s="992" t="s">
        <v>1027</v>
      </c>
      <c r="G15" s="1013" t="s">
        <v>1020</v>
      </c>
      <c r="H15" s="1014" t="s">
        <v>1018</v>
      </c>
      <c r="I15" s="999">
        <f>AVERAGE(I7:I13)</f>
        <v>0.22842857142857145</v>
      </c>
      <c r="J15" s="1008">
        <f>AVERAGE(J7:J13)</f>
        <v>0.21557142857142855</v>
      </c>
      <c r="K15" s="310"/>
      <c r="L15" s="311"/>
      <c r="M15" s="310"/>
      <c r="N15" s="311"/>
      <c r="O15" s="999">
        <f>AVERAGE(O7:O13)</f>
        <v>3.1000000000000003E-2</v>
      </c>
      <c r="P15" s="310"/>
      <c r="Q15" s="310"/>
      <c r="R15" s="310"/>
      <c r="S15" s="998" t="s">
        <v>974</v>
      </c>
      <c r="T15" s="311"/>
    </row>
    <row r="16" spans="5:20" x14ac:dyDescent="0.2">
      <c r="E16" s="1097" t="s">
        <v>1032</v>
      </c>
      <c r="F16" s="992" t="s">
        <v>958</v>
      </c>
      <c r="G16" s="1013" t="s">
        <v>1021</v>
      </c>
      <c r="H16" s="1014" t="s">
        <v>1017</v>
      </c>
      <c r="I16" s="999">
        <v>0.21</v>
      </c>
      <c r="J16" s="1008">
        <v>0.20899999999999999</v>
      </c>
      <c r="K16" s="310"/>
      <c r="L16" s="311"/>
      <c r="M16" s="310"/>
      <c r="N16" s="311"/>
      <c r="O16" s="999">
        <v>4.2999999999999997E-2</v>
      </c>
      <c r="P16" s="310"/>
      <c r="Q16" s="310"/>
      <c r="R16" s="310"/>
      <c r="S16" s="998" t="s">
        <v>975</v>
      </c>
      <c r="T16" s="311"/>
    </row>
    <row r="17" spans="5:20" x14ac:dyDescent="0.2">
      <c r="E17" s="1096"/>
      <c r="F17" s="994"/>
      <c r="G17" s="1011"/>
      <c r="H17" s="1012"/>
      <c r="I17" s="310"/>
      <c r="J17" s="311"/>
      <c r="K17" s="310"/>
      <c r="L17" s="311"/>
      <c r="M17" s="310"/>
      <c r="N17" s="311"/>
      <c r="O17" s="310"/>
      <c r="P17" s="310"/>
      <c r="Q17" s="310"/>
      <c r="R17" s="310"/>
      <c r="S17" s="998"/>
      <c r="T17" s="311"/>
    </row>
    <row r="18" spans="5:20" ht="13.5" thickBot="1" x14ac:dyDescent="0.25">
      <c r="E18" s="1098" t="s">
        <v>951</v>
      </c>
      <c r="F18" s="995" t="s">
        <v>1031</v>
      </c>
      <c r="G18" s="1001" t="s">
        <v>950</v>
      </c>
      <c r="H18" s="1015" t="s">
        <v>1012</v>
      </c>
      <c r="I18" s="1000">
        <f>K18/M18</f>
        <v>0.22329029115757779</v>
      </c>
      <c r="J18" s="1103">
        <f>L18/N18</f>
        <v>0.20679770393152289</v>
      </c>
      <c r="K18" s="1002">
        <f>'DCF 1.6.2025'!BD28</f>
        <v>1659.7800845423592</v>
      </c>
      <c r="L18" s="1005">
        <f>'DCF 1.6.2025'!BC28</f>
        <v>1496.3788977342315</v>
      </c>
      <c r="M18" s="1002">
        <f>'DCF 1.6.2025'!BD13</f>
        <v>7433.2837130434782</v>
      </c>
      <c r="N18" s="1005">
        <f>'DCF 1.6.2025'!BC13</f>
        <v>7235.955086956521</v>
      </c>
      <c r="O18" s="1000">
        <v>3.3399999999999999E-2</v>
      </c>
      <c r="P18" s="1001" t="s">
        <v>972</v>
      </c>
      <c r="Q18" s="1002">
        <f>'DCF 1.6.2025'!AH64/'DCF 1.6.2025'!AH71</f>
        <v>7860.650812064966</v>
      </c>
      <c r="R18" s="1003">
        <f>'DCF 1.6.2025'!AH69/'DCF 1.6.2025'!AH71</f>
        <v>6.0904872389791187</v>
      </c>
      <c r="S18" s="1001" t="s">
        <v>936</v>
      </c>
      <c r="T18" s="1004"/>
    </row>
    <row r="19" spans="5:20" ht="13.5" thickTop="1" x14ac:dyDescent="0.2"/>
    <row r="20" spans="5:20" x14ac:dyDescent="0.2">
      <c r="E20" s="331"/>
      <c r="F20" s="331"/>
    </row>
    <row r="21" spans="5:20" x14ac:dyDescent="0.2">
      <c r="E21" s="275">
        <v>13.5</v>
      </c>
      <c r="F21" s="275">
        <v>14.1</v>
      </c>
      <c r="G21" s="275">
        <v>7.2</v>
      </c>
      <c r="H21" s="275">
        <v>7.5</v>
      </c>
    </row>
    <row r="22" spans="5:20" x14ac:dyDescent="0.2">
      <c r="E22" s="275">
        <v>11.5</v>
      </c>
      <c r="F22" s="275">
        <v>11.6</v>
      </c>
      <c r="G22" s="275">
        <v>5.8</v>
      </c>
      <c r="H22" s="275">
        <v>5.9</v>
      </c>
    </row>
    <row r="23" spans="5:20" x14ac:dyDescent="0.2">
      <c r="E23" s="275">
        <v>16.899999999999999</v>
      </c>
      <c r="F23" s="275">
        <v>17.3</v>
      </c>
      <c r="G23" s="275">
        <v>11.4</v>
      </c>
      <c r="H23" s="275">
        <v>12.2</v>
      </c>
    </row>
    <row r="24" spans="5:20" x14ac:dyDescent="0.2">
      <c r="E24" s="275">
        <v>14.7</v>
      </c>
      <c r="F24" s="275">
        <v>14.9</v>
      </c>
      <c r="G24" s="275">
        <v>8.8000000000000007</v>
      </c>
      <c r="H24" s="275">
        <v>8.9</v>
      </c>
    </row>
    <row r="25" spans="5:20" x14ac:dyDescent="0.2">
      <c r="E25" s="275">
        <v>11.7</v>
      </c>
      <c r="F25" s="275">
        <v>11.8</v>
      </c>
      <c r="G25" s="275">
        <v>4.0999999999999996</v>
      </c>
      <c r="H25" s="275">
        <v>4.8</v>
      </c>
    </row>
    <row r="26" spans="5:20" x14ac:dyDescent="0.2">
      <c r="E26" s="275">
        <v>8.1</v>
      </c>
      <c r="F26" s="275">
        <v>8.9</v>
      </c>
      <c r="G26" s="275">
        <v>6.5</v>
      </c>
      <c r="H26" s="275">
        <v>6.7</v>
      </c>
    </row>
    <row r="27" spans="5:20" x14ac:dyDescent="0.2">
      <c r="E27" s="275">
        <v>10.7</v>
      </c>
      <c r="F27" s="275">
        <v>11.1</v>
      </c>
      <c r="G27" s="275">
        <v>5.2</v>
      </c>
      <c r="H27" s="275">
        <v>5.5</v>
      </c>
    </row>
    <row r="28" spans="5:20" x14ac:dyDescent="0.2">
      <c r="E28" s="162">
        <f>AVERAGE(E21:E27)</f>
        <v>12.442857142857141</v>
      </c>
      <c r="F28" s="162">
        <f>AVERAGE(F21:F27)</f>
        <v>12.814285714285715</v>
      </c>
      <c r="G28" s="162">
        <f>AVERAGE(G21:G27)</f>
        <v>7.0000000000000009</v>
      </c>
      <c r="H28" s="162">
        <f>AVERAGE(H21:H27)</f>
        <v>7.3571428571428568</v>
      </c>
    </row>
    <row r="29" spans="5:20" x14ac:dyDescent="0.2">
      <c r="E29" s="275">
        <f>MEDIAN(E21:E27)</f>
        <v>11.7</v>
      </c>
      <c r="F29" s="275">
        <f>MEDIAN(F21:F27)</f>
        <v>11.8</v>
      </c>
      <c r="G29" s="275">
        <f>MEDIAN(G21:G27)</f>
        <v>6.5</v>
      </c>
      <c r="H29" s="275">
        <f>MEDIAN(H21:H27)</f>
        <v>6.7</v>
      </c>
    </row>
  </sheetData>
  <mergeCells count="12">
    <mergeCell ref="E3:T3"/>
    <mergeCell ref="M5:N5"/>
    <mergeCell ref="O5:O6"/>
    <mergeCell ref="Q5:Q6"/>
    <mergeCell ref="R5:R6"/>
    <mergeCell ref="S5:S6"/>
    <mergeCell ref="T5:T6"/>
    <mergeCell ref="K5:L5"/>
    <mergeCell ref="I5:J5"/>
    <mergeCell ref="G5:H5"/>
    <mergeCell ref="E5:F5"/>
    <mergeCell ref="P5: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170F2-0643-4FA2-AA7A-CAE53464E04A}">
  <dimension ref="H7:K26"/>
  <sheetViews>
    <sheetView showGridLines="0" rightToLeft="1" topLeftCell="I4" zoomScale="115" zoomScaleNormal="115" workbookViewId="0">
      <selection activeCell="K12" sqref="K12"/>
    </sheetView>
  </sheetViews>
  <sheetFormatPr defaultColWidth="9.140625" defaultRowHeight="12.75" x14ac:dyDescent="0.2"/>
  <cols>
    <col min="1" max="8" width="9.140625" style="275"/>
    <col min="9" max="9" width="13.28515625" style="275" customWidth="1"/>
    <col min="10" max="16384" width="9.140625" style="275"/>
  </cols>
  <sheetData>
    <row r="7" spans="9:11" ht="13.5" thickBot="1" x14ac:dyDescent="0.25"/>
    <row r="8" spans="9:11" ht="16.5" thickTop="1" x14ac:dyDescent="0.2">
      <c r="I8" s="4" t="s">
        <v>903</v>
      </c>
      <c r="J8" s="4"/>
      <c r="K8" s="4"/>
    </row>
    <row r="9" spans="9:11" x14ac:dyDescent="0.2">
      <c r="I9" s="922" t="s">
        <v>902</v>
      </c>
      <c r="J9" s="923">
        <v>2023</v>
      </c>
      <c r="K9" s="924">
        <v>2022</v>
      </c>
    </row>
    <row r="10" spans="9:11" x14ac:dyDescent="0.2">
      <c r="I10" s="317" t="s">
        <v>896</v>
      </c>
      <c r="J10" s="280">
        <v>0.02</v>
      </c>
      <c r="K10" s="313">
        <v>-7.0000000000000007E-2</v>
      </c>
    </row>
    <row r="11" spans="9:11" x14ac:dyDescent="0.2">
      <c r="I11" s="317" t="s">
        <v>897</v>
      </c>
      <c r="J11" s="280">
        <v>-0.05</v>
      </c>
      <c r="K11" s="313">
        <v>0.15</v>
      </c>
    </row>
    <row r="12" spans="9:11" x14ac:dyDescent="0.2">
      <c r="I12" s="317" t="s">
        <v>898</v>
      </c>
      <c r="J12" s="280">
        <v>-0.19</v>
      </c>
      <c r="K12" s="313">
        <v>0.17</v>
      </c>
    </row>
    <row r="13" spans="9:11" x14ac:dyDescent="0.2">
      <c r="I13" s="317" t="s">
        <v>899</v>
      </c>
      <c r="J13" s="280">
        <v>-0.21</v>
      </c>
      <c r="K13" s="313">
        <v>-0.04</v>
      </c>
    </row>
    <row r="14" spans="9:11" x14ac:dyDescent="0.2">
      <c r="I14" s="317" t="s">
        <v>900</v>
      </c>
      <c r="J14" s="925">
        <v>-0.24</v>
      </c>
      <c r="K14" s="926">
        <v>-7.0000000000000007E-2</v>
      </c>
    </row>
    <row r="15" spans="9:11" x14ac:dyDescent="0.2">
      <c r="I15" s="317" t="s">
        <v>901</v>
      </c>
      <c r="J15" s="280">
        <v>-0.26</v>
      </c>
      <c r="K15" s="313">
        <v>-0.05</v>
      </c>
    </row>
    <row r="19" spans="8:10" x14ac:dyDescent="0.2">
      <c r="H19" s="277" t="s">
        <v>339</v>
      </c>
      <c r="I19" s="318" t="s">
        <v>24</v>
      </c>
      <c r="J19" s="318" t="s">
        <v>582</v>
      </c>
    </row>
    <row r="20" spans="8:10" x14ac:dyDescent="0.2">
      <c r="H20" s="275">
        <v>2020</v>
      </c>
      <c r="I20" s="331">
        <f>'DCF 1.6.2025'!AL28</f>
        <v>781</v>
      </c>
      <c r="J20" s="331">
        <f>'DCF 1.6.2025'!AL39</f>
        <v>696</v>
      </c>
    </row>
    <row r="21" spans="8:10" x14ac:dyDescent="0.2">
      <c r="H21" s="275">
        <v>2021</v>
      </c>
      <c r="I21" s="331">
        <f>'DCF 1.6.2025'!AM28</f>
        <v>1694</v>
      </c>
      <c r="J21" s="331">
        <f>'DCF 1.6.2025'!AM39</f>
        <v>1368</v>
      </c>
    </row>
    <row r="22" spans="8:10" x14ac:dyDescent="0.2">
      <c r="H22" s="275">
        <v>2022</v>
      </c>
      <c r="I22" s="331">
        <f>'DCF 1.6.2025'!AO28</f>
        <v>4014</v>
      </c>
      <c r="J22" s="331">
        <f>'DCF 1.6.2025'!AO39</f>
        <v>2670</v>
      </c>
    </row>
    <row r="23" spans="8:10" x14ac:dyDescent="0.2">
      <c r="H23" s="275">
        <v>2023</v>
      </c>
      <c r="I23" s="331">
        <f>'DCF 1.6.2025'!AT28</f>
        <v>1677</v>
      </c>
      <c r="J23" s="331">
        <f>'DCF 1.6.2025'!AT39</f>
        <v>1163</v>
      </c>
    </row>
    <row r="24" spans="8:10" x14ac:dyDescent="0.2">
      <c r="H24" s="275">
        <v>2024</v>
      </c>
      <c r="I24" s="331">
        <f>'DCF 1.6.2025'!AY28</f>
        <v>1371</v>
      </c>
      <c r="J24" s="331">
        <f>'DCF 1.6.2025'!AY39</f>
        <v>1158</v>
      </c>
    </row>
    <row r="25" spans="8:10" x14ac:dyDescent="0.2">
      <c r="H25" s="275">
        <v>2025</v>
      </c>
      <c r="I25" s="331">
        <f>'DCF 1.6.2025'!BC28</f>
        <v>1496.3788977342315</v>
      </c>
      <c r="J25" s="331">
        <f>'DCF 1.6.2025'!BC39</f>
        <v>1163.3720630740968</v>
      </c>
    </row>
    <row r="26" spans="8:10" x14ac:dyDescent="0.2">
      <c r="H26" s="275">
        <v>2026</v>
      </c>
      <c r="I26" s="331">
        <f>'DCF 1.6.2025'!BD28</f>
        <v>1659.7800845423592</v>
      </c>
      <c r="J26" s="331">
        <f>'DCF 1.6.2025'!BD39</f>
        <v>1279.6674701701581</v>
      </c>
    </row>
  </sheetData>
  <mergeCells count="1">
    <mergeCell ref="I8:K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F2:R28"/>
  <sheetViews>
    <sheetView showGridLines="0" rightToLeft="1" workbookViewId="0">
      <selection activeCell="H29" sqref="H29"/>
    </sheetView>
  </sheetViews>
  <sheetFormatPr defaultColWidth="9.140625" defaultRowHeight="12.75" x14ac:dyDescent="0.2"/>
  <cols>
    <col min="1" max="6" width="9.140625" style="275"/>
    <col min="7" max="7" width="18.140625" style="275" customWidth="1"/>
    <col min="8" max="8" width="11.5703125" style="275" customWidth="1"/>
    <col min="9" max="16384" width="9.140625" style="275"/>
  </cols>
  <sheetData>
    <row r="2" spans="6:14" ht="13.5" thickBot="1" x14ac:dyDescent="0.25"/>
    <row r="3" spans="6:14" ht="16.5" thickTop="1" x14ac:dyDescent="0.2">
      <c r="G3" s="1" t="s">
        <v>598</v>
      </c>
      <c r="H3" s="1123"/>
      <c r="I3" s="1123"/>
      <c r="J3" s="1123"/>
      <c r="K3" s="1123"/>
      <c r="L3" s="1123"/>
      <c r="M3" s="1124"/>
    </row>
    <row r="4" spans="6:14" ht="15" x14ac:dyDescent="0.2">
      <c r="G4" s="346" t="s">
        <v>293</v>
      </c>
      <c r="H4" s="347">
        <v>2015</v>
      </c>
      <c r="I4" s="347">
        <v>2016</v>
      </c>
      <c r="J4" s="347">
        <v>2017</v>
      </c>
      <c r="K4" s="347">
        <v>2018</v>
      </c>
      <c r="L4" s="347">
        <v>2019</v>
      </c>
      <c r="M4" s="448">
        <v>2020</v>
      </c>
    </row>
    <row r="5" spans="6:14" ht="14.25" x14ac:dyDescent="0.2">
      <c r="G5" s="136" t="s">
        <v>583</v>
      </c>
      <c r="H5" s="53" t="e">
        <f>#REF!</f>
        <v>#REF!</v>
      </c>
      <c r="I5" s="53" t="e">
        <f>#REF!</f>
        <v>#REF!</v>
      </c>
      <c r="J5" s="53" t="e">
        <f>#REF!</f>
        <v>#REF!</v>
      </c>
      <c r="K5" s="53" t="e">
        <f>#REF!</f>
        <v>#REF!</v>
      </c>
      <c r="L5" s="53" t="e">
        <f>#REF!</f>
        <v>#REF!</v>
      </c>
      <c r="M5" s="481" t="e">
        <f>#REF!</f>
        <v>#REF!</v>
      </c>
    </row>
    <row r="6" spans="6:14" ht="14.25" x14ac:dyDescent="0.2">
      <c r="G6" s="136" t="s">
        <v>1</v>
      </c>
      <c r="H6" s="53" t="e">
        <f>#REF!</f>
        <v>#REF!</v>
      </c>
      <c r="I6" s="53" t="e">
        <f>H6+I17</f>
        <v>#REF!</v>
      </c>
      <c r="J6" s="53" t="e">
        <f>I6+J17</f>
        <v>#REF!</v>
      </c>
      <c r="K6" s="53" t="e">
        <f>J6+K17</f>
        <v>#REF!</v>
      </c>
      <c r="L6" s="53" t="e">
        <f>K6+L17</f>
        <v>#REF!</v>
      </c>
      <c r="M6" s="140" t="e">
        <f>L6+M17</f>
        <v>#REF!</v>
      </c>
    </row>
    <row r="7" spans="6:14" ht="14.25" x14ac:dyDescent="0.2">
      <c r="G7" s="136" t="s">
        <v>534</v>
      </c>
      <c r="H7" s="73">
        <v>80</v>
      </c>
      <c r="I7" s="73">
        <v>40</v>
      </c>
      <c r="J7" s="73">
        <v>40</v>
      </c>
      <c r="K7" s="73">
        <v>40</v>
      </c>
      <c r="L7" s="73">
        <v>40</v>
      </c>
      <c r="M7" s="157"/>
    </row>
    <row r="8" spans="6:14" ht="28.5" x14ac:dyDescent="0.2">
      <c r="G8" s="136" t="s">
        <v>588</v>
      </c>
      <c r="I8" s="53" t="e">
        <f>H6-H7</f>
        <v>#REF!</v>
      </c>
      <c r="J8" s="53" t="e">
        <f>I6-I7</f>
        <v>#REF!</v>
      </c>
      <c r="K8" s="53" t="e">
        <f>J6-J7</f>
        <v>#REF!</v>
      </c>
      <c r="L8" s="53" t="e">
        <f>K6-K7</f>
        <v>#REF!</v>
      </c>
      <c r="M8" s="140" t="e">
        <f>L6-L7</f>
        <v>#REF!</v>
      </c>
      <c r="N8" s="62"/>
    </row>
    <row r="9" spans="6:14" ht="28.5" x14ac:dyDescent="0.2">
      <c r="F9" s="3" t="s">
        <v>589</v>
      </c>
      <c r="G9" s="136" t="s">
        <v>595</v>
      </c>
      <c r="H9" s="53" t="e">
        <f>#REF!</f>
        <v>#REF!</v>
      </c>
      <c r="I9" s="53" t="e">
        <f>H9</f>
        <v>#REF!</v>
      </c>
      <c r="J9" s="53" t="e">
        <f>I9</f>
        <v>#REF!</v>
      </c>
      <c r="K9" s="53" t="e">
        <f>J9</f>
        <v>#REF!</v>
      </c>
      <c r="L9" s="53" t="e">
        <f>K9</f>
        <v>#REF!</v>
      </c>
      <c r="M9" s="140" t="e">
        <f>L9</f>
        <v>#REF!</v>
      </c>
    </row>
    <row r="10" spans="6:14" ht="28.5" x14ac:dyDescent="0.2">
      <c r="F10" s="2"/>
      <c r="G10" s="136" t="s">
        <v>596</v>
      </c>
      <c r="H10" s="53" t="e">
        <f>#REF!</f>
        <v>#REF!</v>
      </c>
      <c r="I10" s="53" t="e">
        <f>H10-125</f>
        <v>#REF!</v>
      </c>
      <c r="J10" s="53" t="e">
        <f>I10-50</f>
        <v>#REF!</v>
      </c>
      <c r="K10" s="53" t="e">
        <f>J10-50</f>
        <v>#REF!</v>
      </c>
      <c r="L10" s="53" t="e">
        <f>K10-50</f>
        <v>#REF!</v>
      </c>
      <c r="M10" s="140" t="e">
        <f>L10-50</f>
        <v>#REF!</v>
      </c>
    </row>
    <row r="11" spans="6:14" ht="28.5" x14ac:dyDescent="0.2">
      <c r="G11" s="136" t="s">
        <v>584</v>
      </c>
      <c r="I11" s="452" t="e">
        <f>(I8)*(I9/(I9+I10))</f>
        <v>#REF!</v>
      </c>
      <c r="J11" s="452" t="e">
        <f>(J8)*(J9/(J9+J10))</f>
        <v>#REF!</v>
      </c>
      <c r="K11" s="452" t="e">
        <f>(K8)*(K9/(K9+K10))</f>
        <v>#REF!</v>
      </c>
      <c r="L11" s="452" t="e">
        <f>(L8)*(L9/(L9+L10))</f>
        <v>#REF!</v>
      </c>
      <c r="M11" s="453" t="e">
        <f>(M8)*(M9/(M9+M10))</f>
        <v>#REF!</v>
      </c>
    </row>
    <row r="12" spans="6:14" ht="14.25" x14ac:dyDescent="0.2">
      <c r="G12" s="136" t="s">
        <v>585</v>
      </c>
      <c r="I12" s="53" t="e">
        <f>H6-H7-I11</f>
        <v>#REF!</v>
      </c>
      <c r="J12" s="53" t="e">
        <f>I6-I7-J11</f>
        <v>#REF!</v>
      </c>
      <c r="K12" s="53" t="e">
        <f>J6-J7-K11</f>
        <v>#REF!</v>
      </c>
      <c r="L12" s="53" t="e">
        <f>K6-K7-L11</f>
        <v>#REF!</v>
      </c>
      <c r="M12" s="140" t="e">
        <f>L6-L7-M11</f>
        <v>#REF!</v>
      </c>
    </row>
    <row r="13" spans="6:14" ht="28.5" x14ac:dyDescent="0.2">
      <c r="G13" s="136" t="s">
        <v>593</v>
      </c>
      <c r="H13" s="310"/>
      <c r="I13" s="53" t="e">
        <f>I5-H5</f>
        <v>#REF!</v>
      </c>
      <c r="J13" s="53" t="e">
        <f>J5-I5</f>
        <v>#REF!</v>
      </c>
      <c r="K13" s="53" t="e">
        <f>K5-J5</f>
        <v>#REF!</v>
      </c>
      <c r="L13" s="53" t="e">
        <f>L5-K5</f>
        <v>#REF!</v>
      </c>
      <c r="M13" s="140" t="e">
        <f>M5-L5</f>
        <v>#REF!</v>
      </c>
    </row>
    <row r="14" spans="6:14" ht="15" x14ac:dyDescent="0.2">
      <c r="G14" s="502" t="s">
        <v>597</v>
      </c>
      <c r="H14" s="503"/>
      <c r="I14" s="504"/>
      <c r="J14" s="504"/>
      <c r="K14" s="504"/>
      <c r="L14" s="504"/>
      <c r="M14" s="504"/>
    </row>
    <row r="15" spans="6:14" ht="28.5" x14ac:dyDescent="0.2">
      <c r="G15" s="136" t="s">
        <v>590</v>
      </c>
      <c r="H15" s="310"/>
      <c r="I15" s="79" t="e">
        <f>I11*I13/1000</f>
        <v>#REF!</v>
      </c>
      <c r="J15" s="79" t="e">
        <f>J11*J13/1000</f>
        <v>#REF!</v>
      </c>
      <c r="K15" s="79" t="e">
        <f>K11*K13/1000</f>
        <v>#REF!</v>
      </c>
      <c r="L15" s="79" t="e">
        <f>L11*L13/1000</f>
        <v>#REF!</v>
      </c>
      <c r="M15" s="142" t="e">
        <f>M11*M13/1000</f>
        <v>#REF!</v>
      </c>
    </row>
    <row r="16" spans="6:14" ht="15" x14ac:dyDescent="0.2">
      <c r="G16" s="136" t="s">
        <v>591</v>
      </c>
      <c r="H16" s="310"/>
      <c r="I16" s="79">
        <f>-H7</f>
        <v>-80</v>
      </c>
      <c r="J16" s="79">
        <f>-I7</f>
        <v>-40</v>
      </c>
      <c r="K16" s="79">
        <f>-J7</f>
        <v>-40</v>
      </c>
      <c r="L16" s="79">
        <f>-K7</f>
        <v>-40</v>
      </c>
      <c r="M16" s="142">
        <f>-L7</f>
        <v>-40</v>
      </c>
    </row>
    <row r="17" spans="7:18" ht="15.75" thickBot="1" x14ac:dyDescent="0.25">
      <c r="G17" s="505" t="s">
        <v>592</v>
      </c>
      <c r="H17" s="506"/>
      <c r="I17" s="507" t="e">
        <f>I15+I16</f>
        <v>#REF!</v>
      </c>
      <c r="J17" s="507" t="e">
        <f>J15+J16</f>
        <v>#REF!</v>
      </c>
      <c r="K17" s="507" t="e">
        <f>K15+K16</f>
        <v>#REF!</v>
      </c>
      <c r="L17" s="507" t="e">
        <f>L15+L16</f>
        <v>#REF!</v>
      </c>
      <c r="M17" s="508" t="e">
        <f>M15+M16</f>
        <v>#REF!</v>
      </c>
    </row>
    <row r="18" spans="7:18" ht="15" thickTop="1" x14ac:dyDescent="0.2">
      <c r="G18" s="499" t="s">
        <v>261</v>
      </c>
      <c r="H18" s="500" t="e">
        <f>#REF!</f>
        <v>#REF!</v>
      </c>
      <c r="I18" s="500" t="e">
        <f>#REF!</f>
        <v>#REF!</v>
      </c>
      <c r="J18" s="500">
        <f>$H$28</f>
        <v>220</v>
      </c>
      <c r="K18" s="500">
        <f>$H$28</f>
        <v>220</v>
      </c>
      <c r="L18" s="500">
        <f>$H$28</f>
        <v>220</v>
      </c>
      <c r="M18" s="501">
        <f>$H$28</f>
        <v>220</v>
      </c>
    </row>
    <row r="19" spans="7:18" ht="14.25" x14ac:dyDescent="0.2">
      <c r="G19" s="494" t="s">
        <v>594</v>
      </c>
      <c r="H19" s="53">
        <v>1292</v>
      </c>
      <c r="I19" s="53" t="e">
        <f>I18*I5/1000</f>
        <v>#REF!</v>
      </c>
      <c r="J19" s="53" t="e">
        <f>J18*J5/1000</f>
        <v>#REF!</v>
      </c>
      <c r="K19" s="53" t="e">
        <f>K18*K5/1000</f>
        <v>#REF!</v>
      </c>
      <c r="L19" s="53" t="e">
        <f>L18*L5/1000</f>
        <v>#REF!</v>
      </c>
      <c r="M19" s="140" t="e">
        <f>M18*M5/1000</f>
        <v>#REF!</v>
      </c>
    </row>
    <row r="20" spans="7:18" ht="14.25" x14ac:dyDescent="0.2">
      <c r="G20" s="494" t="s">
        <v>70</v>
      </c>
      <c r="H20" s="495" t="e">
        <f t="shared" ref="H20:M20" si="0">H6</f>
        <v>#REF!</v>
      </c>
      <c r="I20" s="495" t="e">
        <f t="shared" si="0"/>
        <v>#REF!</v>
      </c>
      <c r="J20" s="495" t="e">
        <f t="shared" si="0"/>
        <v>#REF!</v>
      </c>
      <c r="K20" s="495" t="e">
        <f t="shared" si="0"/>
        <v>#REF!</v>
      </c>
      <c r="L20" s="495" t="e">
        <f t="shared" si="0"/>
        <v>#REF!</v>
      </c>
      <c r="M20" s="496" t="e">
        <f t="shared" si="0"/>
        <v>#REF!</v>
      </c>
    </row>
    <row r="21" spans="7:18" ht="14.25" x14ac:dyDescent="0.2">
      <c r="G21" s="136" t="s">
        <v>284</v>
      </c>
      <c r="H21" s="73"/>
      <c r="I21" s="452" t="e">
        <f>I6/I5*1000</f>
        <v>#REF!</v>
      </c>
      <c r="J21" s="452" t="e">
        <f>J6/J5*1000</f>
        <v>#REF!</v>
      </c>
      <c r="K21" s="452" t="e">
        <f>K6/K5*1000</f>
        <v>#REF!</v>
      </c>
      <c r="L21" s="452" t="e">
        <f>L6/L5*1000</f>
        <v>#REF!</v>
      </c>
      <c r="M21" s="453" t="e">
        <f>M6/M5*1000</f>
        <v>#REF!</v>
      </c>
    </row>
    <row r="22" spans="7:18" ht="14.25" x14ac:dyDescent="0.2">
      <c r="G22" s="494" t="s">
        <v>338</v>
      </c>
      <c r="H22" s="53" t="e">
        <f t="shared" ref="H22:M22" si="1">H19-H20</f>
        <v>#REF!</v>
      </c>
      <c r="I22" s="53" t="e">
        <f t="shared" si="1"/>
        <v>#REF!</v>
      </c>
      <c r="J22" s="53" t="e">
        <f t="shared" si="1"/>
        <v>#REF!</v>
      </c>
      <c r="K22" s="53" t="e">
        <f t="shared" si="1"/>
        <v>#REF!</v>
      </c>
      <c r="L22" s="53" t="e">
        <f t="shared" si="1"/>
        <v>#REF!</v>
      </c>
      <c r="M22" s="140" t="e">
        <f t="shared" si="1"/>
        <v>#REF!</v>
      </c>
    </row>
    <row r="23" spans="7:18" ht="15.75" thickBot="1" x14ac:dyDescent="0.25">
      <c r="G23" s="509" t="s">
        <v>315</v>
      </c>
      <c r="H23" s="510" t="e">
        <f t="shared" ref="H23:M23" si="2">H22/H19</f>
        <v>#REF!</v>
      </c>
      <c r="I23" s="510" t="e">
        <f t="shared" si="2"/>
        <v>#REF!</v>
      </c>
      <c r="J23" s="510" t="e">
        <f t="shared" si="2"/>
        <v>#REF!</v>
      </c>
      <c r="K23" s="510" t="e">
        <f t="shared" si="2"/>
        <v>#REF!</v>
      </c>
      <c r="L23" s="510" t="e">
        <f t="shared" si="2"/>
        <v>#REF!</v>
      </c>
      <c r="M23" s="511" t="e">
        <f t="shared" si="2"/>
        <v>#REF!</v>
      </c>
    </row>
    <row r="24" spans="7:18" ht="13.5" thickTop="1" x14ac:dyDescent="0.2"/>
    <row r="25" spans="7:18" x14ac:dyDescent="0.2">
      <c r="R25" s="277"/>
    </row>
    <row r="28" spans="7:18" ht="14.25" x14ac:dyDescent="0.2">
      <c r="G28" s="493" t="s">
        <v>261</v>
      </c>
      <c r="H28" s="493">
        <v>220</v>
      </c>
    </row>
  </sheetData>
  <mergeCells count="2">
    <mergeCell ref="F9:F10"/>
    <mergeCell ref="G3:M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גיליון8"/>
  <dimension ref="A2:AU110"/>
  <sheetViews>
    <sheetView showGridLines="0" rightToLeft="1" zoomScale="90" zoomScaleNormal="90" workbookViewId="0">
      <pane xSplit="1" topLeftCell="AC1" activePane="topRight" state="frozen"/>
      <selection pane="topRight" activeCell="AF3" sqref="AF3"/>
    </sheetView>
  </sheetViews>
  <sheetFormatPr defaultRowHeight="12.75" outlineLevelRow="1" outlineLevelCol="1" x14ac:dyDescent="0.2"/>
  <cols>
    <col min="1" max="1" width="18" customWidth="1"/>
    <col min="2" max="2" width="10.42578125" bestFit="1" customWidth="1"/>
    <col min="12" max="13" width="8.5703125" customWidth="1" outlineLevel="1"/>
    <col min="14" max="14" width="8.42578125" customWidth="1" outlineLevel="1"/>
    <col min="16" max="40" width="9.140625" outlineLevel="1"/>
  </cols>
  <sheetData>
    <row r="2" spans="1:47" x14ac:dyDescent="0.2">
      <c r="A2" s="49" t="s">
        <v>0</v>
      </c>
      <c r="B2" s="51" t="e">
        <f>#REF!</f>
        <v>#REF!</v>
      </c>
      <c r="C2" s="51" t="e">
        <f>#REF!</f>
        <v>#REF!</v>
      </c>
      <c r="D2" s="51" t="e">
        <f>#REF!</f>
        <v>#REF!</v>
      </c>
      <c r="E2" s="51" t="e">
        <f>#REF!</f>
        <v>#REF!</v>
      </c>
      <c r="F2" s="51" t="e">
        <f>#REF!</f>
        <v>#REF!</v>
      </c>
      <c r="G2" s="51" t="e">
        <f>#REF!</f>
        <v>#REF!</v>
      </c>
      <c r="H2" s="51" t="e">
        <f>#REF!</f>
        <v>#REF!</v>
      </c>
      <c r="I2" s="51" t="e">
        <f>#REF!</f>
        <v>#REF!</v>
      </c>
      <c r="J2" s="51" t="e">
        <f>#REF!</f>
        <v>#REF!</v>
      </c>
      <c r="K2" s="51" t="e">
        <f>#REF!</f>
        <v>#REF!</v>
      </c>
      <c r="L2" s="51" t="e">
        <f>#REF!</f>
        <v>#REF!</v>
      </c>
      <c r="M2" s="51" t="e">
        <f>#REF!</f>
        <v>#REF!</v>
      </c>
      <c r="N2" s="51" t="e">
        <f>#REF!</f>
        <v>#REF!</v>
      </c>
      <c r="O2" s="51" t="e">
        <f>#REF!</f>
        <v>#REF!</v>
      </c>
      <c r="P2" s="51" t="e">
        <f>#REF!</f>
        <v>#REF!</v>
      </c>
      <c r="Q2" s="51" t="e">
        <f>#REF!</f>
        <v>#REF!</v>
      </c>
      <c r="R2" s="51" t="e">
        <f>#REF!</f>
        <v>#REF!</v>
      </c>
      <c r="S2" s="51" t="e">
        <f>#REF!</f>
        <v>#REF!</v>
      </c>
      <c r="T2" s="51" t="e">
        <f>#REF!</f>
        <v>#REF!</v>
      </c>
      <c r="U2" s="51" t="e">
        <f>#REF!</f>
        <v>#REF!</v>
      </c>
      <c r="V2" s="51" t="e">
        <f>#REF!</f>
        <v>#REF!</v>
      </c>
      <c r="W2" s="51" t="e">
        <f>#REF!</f>
        <v>#REF!</v>
      </c>
      <c r="X2" s="51" t="e">
        <f>#REF!</f>
        <v>#REF!</v>
      </c>
      <c r="Y2" s="51" t="e">
        <f>#REF!</f>
        <v>#REF!</v>
      </c>
      <c r="Z2" s="51" t="e">
        <f>#REF!</f>
        <v>#REF!</v>
      </c>
      <c r="AA2" s="51" t="e">
        <f>#REF!</f>
        <v>#REF!</v>
      </c>
      <c r="AB2" s="51" t="e">
        <f>#REF!</f>
        <v>#REF!</v>
      </c>
      <c r="AC2" s="51" t="e">
        <f>#REF!</f>
        <v>#REF!</v>
      </c>
      <c r="AD2" s="51" t="e">
        <f>#REF!</f>
        <v>#REF!</v>
      </c>
      <c r="AE2" s="51" t="e">
        <f>#REF!</f>
        <v>#REF!</v>
      </c>
      <c r="AF2" s="51" t="e">
        <f>#REF!</f>
        <v>#REF!</v>
      </c>
      <c r="AG2" s="51" t="e">
        <f>#REF!</f>
        <v>#REF!</v>
      </c>
      <c r="AH2" s="51" t="e">
        <f>#REF!</f>
        <v>#REF!</v>
      </c>
      <c r="AI2" s="51" t="e">
        <f>#REF!</f>
        <v>#REF!</v>
      </c>
      <c r="AJ2" s="51" t="e">
        <f>#REF!</f>
        <v>#REF!</v>
      </c>
      <c r="AK2" s="51" t="e">
        <f>#REF!</f>
        <v>#REF!</v>
      </c>
      <c r="AL2" s="51" t="e">
        <f>#REF!</f>
        <v>#REF!</v>
      </c>
      <c r="AM2" s="51" t="e">
        <f>#REF!</f>
        <v>#REF!</v>
      </c>
      <c r="AN2" s="51" t="e">
        <f>#REF!</f>
        <v>#REF!</v>
      </c>
      <c r="AO2" s="51" t="e">
        <f>#REF!</f>
        <v>#REF!</v>
      </c>
      <c r="AP2" s="51" t="e">
        <f>#REF!</f>
        <v>#REF!</v>
      </c>
      <c r="AQ2" s="51" t="e">
        <f>#REF!</f>
        <v>#REF!</v>
      </c>
      <c r="AR2" s="51" t="e">
        <f>#REF!</f>
        <v>#REF!</v>
      </c>
      <c r="AS2" s="51" t="e">
        <f>#REF!</f>
        <v>#REF!</v>
      </c>
      <c r="AT2" s="51" t="e">
        <f>#REF!</f>
        <v>#REF!</v>
      </c>
      <c r="AU2" s="51" t="e">
        <f>#REF!</f>
        <v>#REF!</v>
      </c>
    </row>
    <row r="3" spans="1:47" ht="13.5" thickBot="1" x14ac:dyDescent="0.25">
      <c r="A3" s="49" t="s">
        <v>38</v>
      </c>
      <c r="B3" s="50" t="e">
        <f t="shared" ref="B3:K3" si="0">(B8+B12-B28)/B2</f>
        <v>#REF!</v>
      </c>
      <c r="C3" s="50" t="e">
        <f>(C8+C12-C28)/C2</f>
        <v>#REF!</v>
      </c>
      <c r="D3" s="50" t="e">
        <f t="shared" si="0"/>
        <v>#REF!</v>
      </c>
      <c r="E3" s="50" t="e">
        <f t="shared" si="0"/>
        <v>#REF!</v>
      </c>
      <c r="F3" s="50" t="e">
        <f t="shared" si="0"/>
        <v>#REF!</v>
      </c>
      <c r="G3" s="50" t="e">
        <f t="shared" si="0"/>
        <v>#REF!</v>
      </c>
      <c r="H3" s="50" t="e">
        <f t="shared" si="0"/>
        <v>#REF!</v>
      </c>
      <c r="I3" s="50" t="e">
        <f t="shared" si="0"/>
        <v>#REF!</v>
      </c>
      <c r="J3" s="50" t="e">
        <f t="shared" si="0"/>
        <v>#REF!</v>
      </c>
      <c r="K3" s="50" t="e">
        <f t="shared" si="0"/>
        <v>#REF!</v>
      </c>
      <c r="L3" s="50" t="e">
        <f>(L8+L12-L28)/(L2*4)</f>
        <v>#REF!</v>
      </c>
      <c r="M3" s="50" t="e">
        <f>(M8+M12-M28)/(M2*4)</f>
        <v>#REF!</v>
      </c>
      <c r="N3" s="50" t="e">
        <f>(N8+N12-N28)/(N2*4)</f>
        <v>#REF!</v>
      </c>
      <c r="O3" s="50" t="e">
        <f>(O8+O12-O28)/O2</f>
        <v>#REF!</v>
      </c>
      <c r="P3" s="50" t="e">
        <f>(P8+P12-P28)/(P2*4)</f>
        <v>#REF!</v>
      </c>
      <c r="Q3" s="50" t="e">
        <f>(Q8+Q12-Q28)/(Q2*4)</f>
        <v>#REF!</v>
      </c>
      <c r="R3" s="50" t="e">
        <f>(R8+R12-R28)/(R2*4)</f>
        <v>#REF!</v>
      </c>
      <c r="S3" s="50" t="e">
        <f>(S8+S12-S28)/(S2*4)</f>
        <v>#REF!</v>
      </c>
      <c r="T3" s="50" t="e">
        <f>(T8+T12-T28)/T2</f>
        <v>#REF!</v>
      </c>
      <c r="U3" s="50" t="e">
        <f t="shared" ref="U3:Z3" si="1">(U8+U12-U28)/(U2*4)</f>
        <v>#REF!</v>
      </c>
      <c r="V3" s="50" t="e">
        <f t="shared" si="1"/>
        <v>#REF!</v>
      </c>
      <c r="W3" s="50" t="e">
        <f t="shared" si="1"/>
        <v>#REF!</v>
      </c>
      <c r="X3" s="50" t="e">
        <f t="shared" si="1"/>
        <v>#REF!</v>
      </c>
      <c r="Y3" s="50" t="e">
        <f t="shared" si="1"/>
        <v>#REF!</v>
      </c>
      <c r="Z3" s="50" t="e">
        <f t="shared" si="1"/>
        <v>#REF!</v>
      </c>
      <c r="AA3" s="50" t="e">
        <f t="shared" ref="AA3:AH3" si="2">(AA8+AA12-AA28)/(AA2*4)</f>
        <v>#REF!</v>
      </c>
      <c r="AB3" s="50" t="e">
        <f t="shared" si="2"/>
        <v>#REF!</v>
      </c>
      <c r="AC3" s="50" t="e">
        <f t="shared" si="2"/>
        <v>#REF!</v>
      </c>
      <c r="AD3" s="50" t="e">
        <f t="shared" si="2"/>
        <v>#REF!</v>
      </c>
      <c r="AE3" s="50" t="e">
        <f t="shared" si="2"/>
        <v>#REF!</v>
      </c>
      <c r="AF3" s="50" t="e">
        <f t="shared" si="2"/>
        <v>#REF!</v>
      </c>
      <c r="AG3" s="50" t="e">
        <f t="shared" si="2"/>
        <v>#REF!</v>
      </c>
      <c r="AH3" s="50" t="e">
        <f t="shared" si="2"/>
        <v>#REF!</v>
      </c>
      <c r="AI3" s="50" t="e">
        <f t="shared" ref="AI3:AN3" si="3">(AI8+AI12-AI28)/(AI2*4)</f>
        <v>#REF!</v>
      </c>
      <c r="AJ3" s="50" t="e">
        <f t="shared" si="3"/>
        <v>#REF!</v>
      </c>
      <c r="AK3" s="50" t="e">
        <f t="shared" si="3"/>
        <v>#REF!</v>
      </c>
      <c r="AL3" s="50" t="e">
        <f t="shared" si="3"/>
        <v>#REF!</v>
      </c>
      <c r="AM3" s="50" t="e">
        <f t="shared" si="3"/>
        <v>#REF!</v>
      </c>
      <c r="AN3" s="50" t="e">
        <f t="shared" si="3"/>
        <v>#REF!</v>
      </c>
    </row>
    <row r="4" spans="1:47" ht="34.5" customHeight="1" thickTop="1" x14ac:dyDescent="0.2">
      <c r="A4" s="42" t="s">
        <v>33</v>
      </c>
      <c r="B4" s="43" t="s">
        <v>6</v>
      </c>
      <c r="C4" s="44" t="s">
        <v>7</v>
      </c>
      <c r="D4" s="44" t="s">
        <v>8</v>
      </c>
      <c r="E4" s="44" t="s">
        <v>9</v>
      </c>
      <c r="F4" s="44" t="s">
        <v>10</v>
      </c>
      <c r="G4" s="44" t="s">
        <v>11</v>
      </c>
      <c r="H4" s="44" t="s">
        <v>12</v>
      </c>
      <c r="I4" s="44" t="s">
        <v>13</v>
      </c>
      <c r="J4" s="44" t="s">
        <v>14</v>
      </c>
      <c r="K4" s="44" t="s">
        <v>15</v>
      </c>
      <c r="L4" s="45" t="s">
        <v>27</v>
      </c>
      <c r="M4" s="45" t="s">
        <v>28</v>
      </c>
      <c r="N4" s="45" t="s">
        <v>29</v>
      </c>
      <c r="O4" s="44" t="s">
        <v>16</v>
      </c>
      <c r="P4" s="44" t="s">
        <v>31</v>
      </c>
      <c r="Q4" s="44" t="s">
        <v>32</v>
      </c>
      <c r="R4" s="44" t="s">
        <v>209</v>
      </c>
      <c r="S4" s="44" t="s">
        <v>310</v>
      </c>
      <c r="T4" s="44" t="s">
        <v>311</v>
      </c>
      <c r="U4" s="44" t="s">
        <v>312</v>
      </c>
      <c r="V4" s="44" t="s">
        <v>324</v>
      </c>
      <c r="W4" s="44" t="s">
        <v>340</v>
      </c>
      <c r="X4" s="44" t="s">
        <v>342</v>
      </c>
      <c r="Y4" s="44" t="s">
        <v>345</v>
      </c>
      <c r="Z4" s="44" t="s">
        <v>348</v>
      </c>
      <c r="AA4" s="44" t="s">
        <v>351</v>
      </c>
      <c r="AB4" s="44" t="s">
        <v>354</v>
      </c>
      <c r="AC4" s="44" t="s">
        <v>438</v>
      </c>
      <c r="AD4" s="44" t="s">
        <v>485</v>
      </c>
      <c r="AE4" s="44" t="s">
        <v>486</v>
      </c>
      <c r="AF4" s="44" t="s">
        <v>499</v>
      </c>
      <c r="AG4" s="44" t="s">
        <v>501</v>
      </c>
      <c r="AH4" s="44" t="s">
        <v>502</v>
      </c>
      <c r="AI4" s="44" t="s">
        <v>570</v>
      </c>
      <c r="AJ4" s="44" t="s">
        <v>572</v>
      </c>
      <c r="AK4" s="44" t="s">
        <v>573</v>
      </c>
      <c r="AL4" s="44" t="s">
        <v>574</v>
      </c>
      <c r="AM4" s="44" t="s">
        <v>575</v>
      </c>
      <c r="AN4" s="44" t="s">
        <v>576</v>
      </c>
      <c r="AO4" s="44">
        <v>2016</v>
      </c>
      <c r="AP4" s="44">
        <v>2017</v>
      </c>
      <c r="AQ4" s="44" t="s">
        <v>601</v>
      </c>
      <c r="AR4" s="44" t="s">
        <v>602</v>
      </c>
      <c r="AS4" s="44" t="s">
        <v>603</v>
      </c>
      <c r="AT4" s="44" t="s">
        <v>22</v>
      </c>
      <c r="AU4" s="44" t="s">
        <v>23</v>
      </c>
    </row>
    <row r="5" spans="1:47" ht="18" customHeight="1" x14ac:dyDescent="0.2">
      <c r="A5" s="144" t="s">
        <v>43</v>
      </c>
      <c r="B5" s="145">
        <f t="shared" ref="B5:Q5" si="4">B6+B8+B10+B11+B12</f>
        <v>1237.6080000000002</v>
      </c>
      <c r="C5" s="145">
        <f t="shared" si="4"/>
        <v>1199.0790000000002</v>
      </c>
      <c r="D5" s="145">
        <f t="shared" si="4"/>
        <v>1058.6500000000001</v>
      </c>
      <c r="E5" s="145">
        <f t="shared" si="4"/>
        <v>1058.335</v>
      </c>
      <c r="F5" s="145">
        <f t="shared" si="4"/>
        <v>1043.298</v>
      </c>
      <c r="G5" s="145">
        <f t="shared" si="4"/>
        <v>1202.3990000000001</v>
      </c>
      <c r="H5" s="145">
        <f t="shared" si="4"/>
        <v>1387.3520000000001</v>
      </c>
      <c r="I5" s="145">
        <f t="shared" si="4"/>
        <v>1635.54</v>
      </c>
      <c r="J5" s="145">
        <f t="shared" si="4"/>
        <v>2198.8409999999999</v>
      </c>
      <c r="K5" s="145">
        <f t="shared" si="4"/>
        <v>2962.6989999999996</v>
      </c>
      <c r="L5" s="145">
        <f t="shared" si="4"/>
        <v>2874.145</v>
      </c>
      <c r="M5" s="145">
        <f t="shared" si="4"/>
        <v>2757.598</v>
      </c>
      <c r="N5" s="145">
        <f t="shared" si="4"/>
        <v>3082.0160000000001</v>
      </c>
      <c r="O5" s="145">
        <f t="shared" si="4"/>
        <v>2771.4949999999999</v>
      </c>
      <c r="P5" s="145">
        <f t="shared" si="4"/>
        <v>2997.87</v>
      </c>
      <c r="Q5" s="145">
        <f t="shared" si="4"/>
        <v>2654.3759999999997</v>
      </c>
      <c r="R5" s="145">
        <f t="shared" ref="R5:X5" si="5">R6+R8+R10+R11+R12</f>
        <v>2727.5140000000001</v>
      </c>
      <c r="S5" s="145">
        <f t="shared" si="5"/>
        <v>3130.1190000000001</v>
      </c>
      <c r="T5" s="145">
        <f t="shared" si="5"/>
        <v>3130.1190000000001</v>
      </c>
      <c r="U5" s="145">
        <f t="shared" si="5"/>
        <v>3204.3740000000003</v>
      </c>
      <c r="V5" s="145">
        <f t="shared" si="5"/>
        <v>3354.5639999999999</v>
      </c>
      <c r="W5" s="145">
        <f t="shared" si="5"/>
        <v>3480.857</v>
      </c>
      <c r="X5" s="145">
        <f t="shared" si="5"/>
        <v>3442.924</v>
      </c>
      <c r="Y5" s="145">
        <f t="shared" ref="Y5:AE5" si="6">Y6+Y8+Y10+Y11+Y12</f>
        <v>3479.8229999999999</v>
      </c>
      <c r="Z5" s="145">
        <f t="shared" si="6"/>
        <v>3473.3440000000001</v>
      </c>
      <c r="AA5" s="145">
        <f t="shared" si="6"/>
        <v>3398.5889999999999</v>
      </c>
      <c r="AB5" s="145">
        <f t="shared" si="6"/>
        <v>3310.0640000000003</v>
      </c>
      <c r="AC5" s="145">
        <f t="shared" si="6"/>
        <v>3287.0349999999999</v>
      </c>
      <c r="AD5" s="145">
        <f t="shared" si="6"/>
        <v>3230.9669999999996</v>
      </c>
      <c r="AE5" s="145">
        <f t="shared" si="6"/>
        <v>3077.09</v>
      </c>
      <c r="AF5" s="145">
        <f>AF6+AF8+AF10+AF11+AF12</f>
        <v>3041.6400000000003</v>
      </c>
      <c r="AG5" s="145">
        <f>AG6+AG8+AG10+AG11+AG12</f>
        <v>3231.5440000000003</v>
      </c>
      <c r="AH5" s="145">
        <f>AH6+AH8+AH10+AH11+AH12</f>
        <v>3186.9769999999999</v>
      </c>
      <c r="AI5" s="145">
        <f>AI6+AI8+AI10+AI11+AI12+250.959</f>
        <v>3326.7079999999996</v>
      </c>
      <c r="AJ5" s="145">
        <f>AJ6+AJ8+AJ10+AJ11+AJ12+224.595</f>
        <v>3140.0390000000002</v>
      </c>
      <c r="AK5" s="145">
        <f>AK6+AK8+AK10+AK11+AK12+21.943</f>
        <v>2960.0810000000001</v>
      </c>
      <c r="AL5" s="145">
        <f>AL6+AL8+AL10+AL11+AL12+50</f>
        <v>2701</v>
      </c>
      <c r="AM5" s="145">
        <f>AM6+AM8+AM10+AM11+AM12+48</f>
        <v>2684</v>
      </c>
      <c r="AN5" s="145">
        <f>AN6+AN8+AN10+AN11+AN12+39</f>
        <v>2985</v>
      </c>
      <c r="AO5" s="145" t="e">
        <f t="shared" ref="AO5:AU5" si="7">AO2</f>
        <v>#REF!</v>
      </c>
      <c r="AP5" s="60" t="e">
        <f t="shared" si="7"/>
        <v>#REF!</v>
      </c>
      <c r="AQ5" s="60" t="e">
        <f t="shared" si="7"/>
        <v>#REF!</v>
      </c>
      <c r="AR5" s="60" t="e">
        <f t="shared" si="7"/>
        <v>#REF!</v>
      </c>
      <c r="AS5" s="60" t="e">
        <f t="shared" si="7"/>
        <v>#REF!</v>
      </c>
      <c r="AT5" s="60" t="e">
        <f t="shared" si="7"/>
        <v>#REF!</v>
      </c>
      <c r="AU5" s="60" t="e">
        <f t="shared" si="7"/>
        <v>#REF!</v>
      </c>
    </row>
    <row r="6" spans="1:47" ht="25.5" x14ac:dyDescent="0.2">
      <c r="A6" s="146" t="s">
        <v>68</v>
      </c>
      <c r="B6" s="140">
        <v>92.995000000000005</v>
      </c>
      <c r="C6" s="53">
        <v>52.793999999999997</v>
      </c>
      <c r="D6" s="53">
        <v>41.064</v>
      </c>
      <c r="E6" s="53">
        <v>30.888000000000002</v>
      </c>
      <c r="F6" s="53">
        <v>85.13</v>
      </c>
      <c r="G6" s="53">
        <v>187.529</v>
      </c>
      <c r="H6" s="53">
        <v>116.003</v>
      </c>
      <c r="I6" s="53">
        <v>170.905</v>
      </c>
      <c r="J6" s="53">
        <v>131.54900000000001</v>
      </c>
      <c r="K6" s="53">
        <v>340.21500000000003</v>
      </c>
      <c r="L6" s="53">
        <f>270.917+122.86</f>
        <v>393.77699999999999</v>
      </c>
      <c r="M6" s="53">
        <f>363.256+123.392</f>
        <v>486.64799999999997</v>
      </c>
      <c r="N6" s="53">
        <f>540.653+152.283</f>
        <v>692.93600000000004</v>
      </c>
      <c r="O6" s="53">
        <f>257.97+167.549</f>
        <v>425.51900000000001</v>
      </c>
      <c r="P6" s="53">
        <f>406.157+208.475</f>
        <v>614.63199999999995</v>
      </c>
      <c r="Q6" s="53">
        <f>281.324+154.629</f>
        <v>435.95299999999997</v>
      </c>
      <c r="R6" s="53">
        <f>307.88+214.022</f>
        <v>521.90200000000004</v>
      </c>
      <c r="S6" s="53">
        <f>T6</f>
        <v>894.11500000000001</v>
      </c>
      <c r="T6" s="53">
        <f>400.914+493.201</f>
        <v>894.11500000000001</v>
      </c>
      <c r="U6" s="53">
        <f>437.274+202.076</f>
        <v>639.35</v>
      </c>
      <c r="V6" s="53">
        <f>271.275+189.556</f>
        <v>460.83100000000002</v>
      </c>
      <c r="W6" s="53">
        <f>384.334+255.901</f>
        <v>640.23500000000001</v>
      </c>
      <c r="X6" s="53">
        <f>284.477+189.77</f>
        <v>474.24699999999996</v>
      </c>
      <c r="Y6" s="53">
        <f>245.347+240.007</f>
        <v>485.35400000000004</v>
      </c>
      <c r="Z6" s="53">
        <f>249.89+223.267</f>
        <v>473.15699999999998</v>
      </c>
      <c r="AA6" s="53">
        <f>428.036+159.822</f>
        <v>587.85799999999995</v>
      </c>
      <c r="AB6" s="53">
        <f>288.509+172.44</f>
        <v>460.94900000000001</v>
      </c>
      <c r="AC6" s="53">
        <f>230.519+127.241</f>
        <v>357.76</v>
      </c>
      <c r="AD6" s="53">
        <f>238.998+101.137</f>
        <v>340.13499999999999</v>
      </c>
      <c r="AE6" s="53">
        <f>309.222+98.679</f>
        <v>407.90099999999995</v>
      </c>
      <c r="AF6" s="53">
        <f>188.34+96.388</f>
        <v>284.72800000000001</v>
      </c>
      <c r="AG6" s="53">
        <f>247.819+80.13</f>
        <v>327.94899999999996</v>
      </c>
      <c r="AH6" s="53">
        <f>177.777+82.357</f>
        <v>260.13400000000001</v>
      </c>
      <c r="AI6" s="53">
        <f>177.117+101.972</f>
        <v>279.089</v>
      </c>
      <c r="AJ6" s="53">
        <f>130.831+116.492</f>
        <v>247.32299999999998</v>
      </c>
      <c r="AK6" s="53">
        <f>165.302+121.105</f>
        <v>286.40699999999998</v>
      </c>
      <c r="AL6" s="53">
        <f>231+77</f>
        <v>308</v>
      </c>
      <c r="AM6" s="53">
        <f>212+81</f>
        <v>293</v>
      </c>
      <c r="AN6" s="53">
        <f>248</f>
        <v>248</v>
      </c>
      <c r="AO6" s="53">
        <f>87+29</f>
        <v>116</v>
      </c>
    </row>
    <row r="7" spans="1:47" x14ac:dyDescent="0.2">
      <c r="A7" s="147" t="s">
        <v>40</v>
      </c>
      <c r="B7" s="48" t="e">
        <f t="shared" ref="B7:K7" si="8">B6/B2</f>
        <v>#REF!</v>
      </c>
      <c r="C7" s="48" t="e">
        <f t="shared" si="8"/>
        <v>#REF!</v>
      </c>
      <c r="D7" s="48" t="e">
        <f t="shared" si="8"/>
        <v>#REF!</v>
      </c>
      <c r="E7" s="48" t="e">
        <f t="shared" si="8"/>
        <v>#REF!</v>
      </c>
      <c r="F7" s="48" t="e">
        <f t="shared" si="8"/>
        <v>#REF!</v>
      </c>
      <c r="G7" s="48" t="e">
        <f t="shared" si="8"/>
        <v>#REF!</v>
      </c>
      <c r="H7" s="48" t="e">
        <f t="shared" si="8"/>
        <v>#REF!</v>
      </c>
      <c r="I7" s="48" t="e">
        <f t="shared" si="8"/>
        <v>#REF!</v>
      </c>
      <c r="J7" s="48" t="e">
        <f t="shared" si="8"/>
        <v>#REF!</v>
      </c>
      <c r="K7" s="48" t="e">
        <f t="shared" si="8"/>
        <v>#REF!</v>
      </c>
      <c r="L7" s="48" t="e">
        <f>L6/(L2*4)</f>
        <v>#REF!</v>
      </c>
      <c r="M7" s="48" t="e">
        <f>M6/(M2*4)</f>
        <v>#REF!</v>
      </c>
      <c r="N7" s="48" t="e">
        <f>N6/(N2*4)</f>
        <v>#REF!</v>
      </c>
      <c r="O7" s="48" t="e">
        <f>O6/O2</f>
        <v>#REF!</v>
      </c>
      <c r="P7" s="48" t="e">
        <f>P6/(P2*4)</f>
        <v>#REF!</v>
      </c>
      <c r="Q7" s="48" t="e">
        <f>Q6/(Q2*4)</f>
        <v>#REF!</v>
      </c>
      <c r="R7" s="48" t="e">
        <f>R6/(R2*4)</f>
        <v>#REF!</v>
      </c>
      <c r="S7" s="48" t="e">
        <f>S6/(S2*4)</f>
        <v>#REF!</v>
      </c>
      <c r="T7" s="48" t="e">
        <f>T6/T2</f>
        <v>#REF!</v>
      </c>
      <c r="U7" s="48" t="e">
        <f t="shared" ref="U7:Z7" si="9">U6/(U2*4)</f>
        <v>#REF!</v>
      </c>
      <c r="V7" s="48" t="e">
        <f t="shared" si="9"/>
        <v>#REF!</v>
      </c>
      <c r="W7" s="48" t="e">
        <f t="shared" si="9"/>
        <v>#REF!</v>
      </c>
      <c r="X7" s="48" t="e">
        <f t="shared" si="9"/>
        <v>#REF!</v>
      </c>
      <c r="Y7" s="48" t="e">
        <f t="shared" si="9"/>
        <v>#REF!</v>
      </c>
      <c r="Z7" s="48" t="e">
        <f t="shared" si="9"/>
        <v>#REF!</v>
      </c>
      <c r="AA7" s="48" t="e">
        <f t="shared" ref="AA7:AH7" si="10">AA6/(AA2*4)</f>
        <v>#REF!</v>
      </c>
      <c r="AB7" s="48" t="e">
        <f t="shared" si="10"/>
        <v>#REF!</v>
      </c>
      <c r="AC7" s="48" t="e">
        <f t="shared" si="10"/>
        <v>#REF!</v>
      </c>
      <c r="AD7" s="48" t="e">
        <f t="shared" si="10"/>
        <v>#REF!</v>
      </c>
      <c r="AE7" s="48" t="e">
        <f t="shared" si="10"/>
        <v>#REF!</v>
      </c>
      <c r="AF7" s="48" t="e">
        <f t="shared" si="10"/>
        <v>#REF!</v>
      </c>
      <c r="AG7" s="48" t="e">
        <f t="shared" si="10"/>
        <v>#REF!</v>
      </c>
      <c r="AH7" s="48" t="e">
        <f t="shared" si="10"/>
        <v>#REF!</v>
      </c>
      <c r="AI7" s="48" t="e">
        <f t="shared" ref="AI7:AN7" si="11">AI6/(AI2*4)</f>
        <v>#REF!</v>
      </c>
      <c r="AJ7" s="48" t="e">
        <f t="shared" si="11"/>
        <v>#REF!</v>
      </c>
      <c r="AK7" s="48" t="e">
        <f t="shared" si="11"/>
        <v>#REF!</v>
      </c>
      <c r="AL7" s="48" t="e">
        <f t="shared" si="11"/>
        <v>#REF!</v>
      </c>
      <c r="AM7" s="48" t="e">
        <f t="shared" si="11"/>
        <v>#REF!</v>
      </c>
      <c r="AN7" s="48" t="e">
        <f t="shared" si="11"/>
        <v>#REF!</v>
      </c>
      <c r="AO7" s="48"/>
    </row>
    <row r="8" spans="1:47" ht="14.25" x14ac:dyDescent="0.2">
      <c r="A8" s="146" t="s">
        <v>39</v>
      </c>
      <c r="B8" s="140">
        <v>488.95800000000003</v>
      </c>
      <c r="C8" s="53">
        <v>453.49299999999999</v>
      </c>
      <c r="D8" s="53">
        <v>354.36599999999999</v>
      </c>
      <c r="E8" s="53">
        <v>340.59699999999998</v>
      </c>
      <c r="F8" s="53">
        <v>262.44299999999998</v>
      </c>
      <c r="G8" s="53">
        <v>397.2</v>
      </c>
      <c r="H8" s="53">
        <v>503.44600000000003</v>
      </c>
      <c r="I8" s="53">
        <v>470.56900000000002</v>
      </c>
      <c r="J8" s="53">
        <v>964.19399999999996</v>
      </c>
      <c r="K8" s="53">
        <v>1054.3869999999999</v>
      </c>
      <c r="L8" s="53">
        <f>964.557</f>
        <v>964.55700000000002</v>
      </c>
      <c r="M8" s="53">
        <v>761.553</v>
      </c>
      <c r="N8" s="53">
        <v>915.44399999999996</v>
      </c>
      <c r="O8" s="53">
        <v>969.62</v>
      </c>
      <c r="P8" s="53">
        <v>1105.932</v>
      </c>
      <c r="Q8" s="53">
        <v>987.40599999999995</v>
      </c>
      <c r="R8" s="53">
        <v>969.36500000000001</v>
      </c>
      <c r="S8" s="53">
        <f>T8</f>
        <v>949.69200000000001</v>
      </c>
      <c r="T8" s="53">
        <v>949.69200000000001</v>
      </c>
      <c r="U8" s="53">
        <v>1163.8810000000001</v>
      </c>
      <c r="V8" s="53">
        <f>1411.827</f>
        <v>1411.827</v>
      </c>
      <c r="W8" s="53">
        <v>1350.471</v>
      </c>
      <c r="X8" s="53">
        <v>1327.5129999999999</v>
      </c>
      <c r="Y8" s="53">
        <v>1314.038</v>
      </c>
      <c r="Z8" s="53">
        <f>1440.187</f>
        <v>1440.1869999999999</v>
      </c>
      <c r="AA8" s="53">
        <v>1259.1030000000001</v>
      </c>
      <c r="AB8" s="53">
        <v>1074.2070000000001</v>
      </c>
      <c r="AC8" s="53">
        <f>1261.141</f>
        <v>1261.1410000000001</v>
      </c>
      <c r="AD8" s="53">
        <v>1237.634</v>
      </c>
      <c r="AE8" s="53">
        <v>1031.53</v>
      </c>
      <c r="AF8" s="53">
        <v>1057.028</v>
      </c>
      <c r="AG8" s="53">
        <v>1262.491</v>
      </c>
      <c r="AH8" s="53">
        <v>1274.0609999999999</v>
      </c>
      <c r="AI8" s="53">
        <f>1168.292</f>
        <v>1168.2919999999999</v>
      </c>
      <c r="AJ8" s="53">
        <v>1039.146</v>
      </c>
      <c r="AK8" s="53">
        <v>1110.336</v>
      </c>
      <c r="AL8" s="53">
        <v>882</v>
      </c>
      <c r="AM8" s="53">
        <v>883</v>
      </c>
      <c r="AN8" s="53">
        <v>1082</v>
      </c>
      <c r="AO8" s="53" t="e">
        <f t="shared" ref="AO8:AU8" si="12">AO5*AO9</f>
        <v>#REF!</v>
      </c>
      <c r="AP8" s="41" t="e">
        <f t="shared" si="12"/>
        <v>#REF!</v>
      </c>
      <c r="AQ8" s="41" t="e">
        <f t="shared" si="12"/>
        <v>#REF!</v>
      </c>
      <c r="AR8" s="41" t="e">
        <f t="shared" si="12"/>
        <v>#REF!</v>
      </c>
      <c r="AS8" s="41" t="e">
        <f t="shared" si="12"/>
        <v>#REF!</v>
      </c>
      <c r="AT8" s="41" t="e">
        <f t="shared" si="12"/>
        <v>#REF!</v>
      </c>
      <c r="AU8" s="41" t="e">
        <f t="shared" si="12"/>
        <v>#REF!</v>
      </c>
    </row>
    <row r="9" spans="1:47" x14ac:dyDescent="0.2">
      <c r="A9" s="147" t="s">
        <v>40</v>
      </c>
      <c r="B9" s="48" t="e">
        <f>B8/B2</f>
        <v>#REF!</v>
      </c>
      <c r="C9" s="48" t="e">
        <f>C8/C2</f>
        <v>#REF!</v>
      </c>
      <c r="D9" s="48" t="e">
        <f t="shared" ref="D9:K9" si="13">D8/D2</f>
        <v>#REF!</v>
      </c>
      <c r="E9" s="48" t="e">
        <f t="shared" si="13"/>
        <v>#REF!</v>
      </c>
      <c r="F9" s="48" t="e">
        <f t="shared" si="13"/>
        <v>#REF!</v>
      </c>
      <c r="G9" s="48" t="e">
        <f t="shared" si="13"/>
        <v>#REF!</v>
      </c>
      <c r="H9" s="48" t="e">
        <f t="shared" si="13"/>
        <v>#REF!</v>
      </c>
      <c r="I9" s="48" t="e">
        <f t="shared" si="13"/>
        <v>#REF!</v>
      </c>
      <c r="J9" s="48" t="e">
        <f t="shared" si="13"/>
        <v>#REF!</v>
      </c>
      <c r="K9" s="48" t="e">
        <f t="shared" si="13"/>
        <v>#REF!</v>
      </c>
      <c r="L9" s="48" t="e">
        <f>L8/(L2*4)</f>
        <v>#REF!</v>
      </c>
      <c r="M9" s="48" t="e">
        <f>M8/(M2*4)</f>
        <v>#REF!</v>
      </c>
      <c r="N9" s="48" t="e">
        <f>N8/(N2*4)</f>
        <v>#REF!</v>
      </c>
      <c r="O9" s="48" t="e">
        <f>O8/O2</f>
        <v>#REF!</v>
      </c>
      <c r="P9" s="48" t="e">
        <f>P8/(P2*4)</f>
        <v>#REF!</v>
      </c>
      <c r="Q9" s="48" t="e">
        <f>Q8/(Q2*4)</f>
        <v>#REF!</v>
      </c>
      <c r="R9" s="48" t="e">
        <f>R8/(R2*4)</f>
        <v>#REF!</v>
      </c>
      <c r="S9" s="48" t="e">
        <f>S8/(S2*4)</f>
        <v>#REF!</v>
      </c>
      <c r="T9" s="48" t="e">
        <f>T8/T2</f>
        <v>#REF!</v>
      </c>
      <c r="U9" s="48" t="e">
        <f t="shared" ref="U9:Z9" si="14">U8/(U2*4)</f>
        <v>#REF!</v>
      </c>
      <c r="V9" s="48" t="e">
        <f t="shared" si="14"/>
        <v>#REF!</v>
      </c>
      <c r="W9" s="48" t="e">
        <f t="shared" si="14"/>
        <v>#REF!</v>
      </c>
      <c r="X9" s="48" t="e">
        <f t="shared" si="14"/>
        <v>#REF!</v>
      </c>
      <c r="Y9" s="48" t="e">
        <f t="shared" si="14"/>
        <v>#REF!</v>
      </c>
      <c r="Z9" s="48" t="e">
        <f t="shared" si="14"/>
        <v>#REF!</v>
      </c>
      <c r="AA9" s="48" t="e">
        <f t="shared" ref="AA9:AH9" si="15">AA8/(AA2*4)</f>
        <v>#REF!</v>
      </c>
      <c r="AB9" s="48" t="e">
        <f t="shared" si="15"/>
        <v>#REF!</v>
      </c>
      <c r="AC9" s="48" t="e">
        <f t="shared" si="15"/>
        <v>#REF!</v>
      </c>
      <c r="AD9" s="48" t="e">
        <f t="shared" si="15"/>
        <v>#REF!</v>
      </c>
      <c r="AE9" s="48" t="e">
        <f t="shared" si="15"/>
        <v>#REF!</v>
      </c>
      <c r="AF9" s="48" t="e">
        <f t="shared" si="15"/>
        <v>#REF!</v>
      </c>
      <c r="AG9" s="48" t="e">
        <f t="shared" si="15"/>
        <v>#REF!</v>
      </c>
      <c r="AH9" s="48" t="e">
        <f t="shared" si="15"/>
        <v>#REF!</v>
      </c>
      <c r="AI9" s="48" t="e">
        <f t="shared" ref="AI9:AN9" si="16">AI8/(AI2*4)</f>
        <v>#REF!</v>
      </c>
      <c r="AJ9" s="48" t="e">
        <f t="shared" si="16"/>
        <v>#REF!</v>
      </c>
      <c r="AK9" s="48" t="e">
        <f t="shared" si="16"/>
        <v>#REF!</v>
      </c>
      <c r="AL9" s="48" t="e">
        <f t="shared" si="16"/>
        <v>#REF!</v>
      </c>
      <c r="AM9" s="48" t="e">
        <f t="shared" si="16"/>
        <v>#REF!</v>
      </c>
      <c r="AN9" s="48" t="e">
        <f t="shared" si="16"/>
        <v>#REF!</v>
      </c>
      <c r="AO9" s="48">
        <v>0.255</v>
      </c>
      <c r="AP9" s="61">
        <v>0.26</v>
      </c>
      <c r="AQ9" s="61">
        <v>0.26</v>
      </c>
      <c r="AR9" s="61">
        <v>0.26</v>
      </c>
      <c r="AS9" s="61">
        <v>0.26</v>
      </c>
      <c r="AT9" s="61">
        <v>0.26</v>
      </c>
      <c r="AU9" s="61">
        <v>0.26</v>
      </c>
    </row>
    <row r="10" spans="1:47" ht="14.25" x14ac:dyDescent="0.2">
      <c r="A10" s="146" t="s">
        <v>41</v>
      </c>
      <c r="B10" s="140">
        <v>150.63200000000001</v>
      </c>
      <c r="C10" s="53">
        <v>200.721</v>
      </c>
      <c r="D10" s="53">
        <v>171.61500000000001</v>
      </c>
      <c r="E10" s="53">
        <v>180.48</v>
      </c>
      <c r="F10" s="53">
        <v>155.43199999999999</v>
      </c>
      <c r="G10" s="53">
        <v>107.85899999999999</v>
      </c>
      <c r="H10" s="53">
        <v>115.38200000000001</v>
      </c>
      <c r="I10" s="53">
        <v>195.059</v>
      </c>
      <c r="J10" s="53">
        <v>123.703</v>
      </c>
      <c r="K10" s="53">
        <v>143.273</v>
      </c>
      <c r="L10" s="53">
        <v>115.157</v>
      </c>
      <c r="M10" s="53">
        <v>128.74299999999999</v>
      </c>
      <c r="N10" s="53">
        <v>137.631</v>
      </c>
      <c r="O10" s="53">
        <v>118.538</v>
      </c>
      <c r="P10" s="53">
        <v>124.43300000000001</v>
      </c>
      <c r="Q10" s="53">
        <v>146.95500000000001</v>
      </c>
      <c r="R10" s="53">
        <v>151.827</v>
      </c>
      <c r="S10" s="53">
        <f>T10</f>
        <v>145.00700000000001</v>
      </c>
      <c r="T10" s="53">
        <v>145.00700000000001</v>
      </c>
      <c r="U10" s="53">
        <v>203.16200000000001</v>
      </c>
      <c r="V10" s="53">
        <v>234.13300000000001</v>
      </c>
      <c r="W10" s="53">
        <v>209.27799999999999</v>
      </c>
      <c r="X10" s="53">
        <v>181.53100000000001</v>
      </c>
      <c r="Y10" s="53">
        <v>187.06100000000001</v>
      </c>
      <c r="Z10" s="53">
        <v>185.565</v>
      </c>
      <c r="AA10" s="53">
        <v>196.708</v>
      </c>
      <c r="AB10" s="53">
        <v>231.34700000000001</v>
      </c>
      <c r="AC10" s="53">
        <f>200.384</f>
        <v>200.38399999999999</v>
      </c>
      <c r="AD10" s="53">
        <v>214.27199999999999</v>
      </c>
      <c r="AE10" s="53">
        <v>216.75299999999999</v>
      </c>
      <c r="AF10" s="53">
        <v>186.31700000000001</v>
      </c>
      <c r="AG10" s="53">
        <v>202.08500000000001</v>
      </c>
      <c r="AH10" s="53">
        <v>209.148</v>
      </c>
      <c r="AI10" s="53">
        <v>155.745</v>
      </c>
      <c r="AJ10" s="53">
        <v>154.78399999999999</v>
      </c>
      <c r="AK10" s="53">
        <v>158.095</v>
      </c>
      <c r="AL10" s="53">
        <v>226</v>
      </c>
      <c r="AM10" s="53">
        <v>207</v>
      </c>
      <c r="AN10" s="53">
        <v>207</v>
      </c>
      <c r="AO10" s="53"/>
    </row>
    <row r="11" spans="1:47" ht="14.25" x14ac:dyDescent="0.2">
      <c r="A11" s="146" t="s">
        <v>163</v>
      </c>
      <c r="B11" s="140">
        <v>0</v>
      </c>
      <c r="C11" s="53">
        <v>0</v>
      </c>
      <c r="D11" s="53">
        <v>0</v>
      </c>
      <c r="E11" s="53">
        <v>0</v>
      </c>
      <c r="F11" s="53">
        <v>0</v>
      </c>
      <c r="G11" s="53">
        <v>0</v>
      </c>
      <c r="H11" s="53">
        <v>0</v>
      </c>
      <c r="I11" s="53">
        <v>0</v>
      </c>
      <c r="J11" s="53">
        <v>8.8249999999999993</v>
      </c>
      <c r="K11" s="53">
        <v>146.82</v>
      </c>
      <c r="L11" s="53">
        <v>82.488</v>
      </c>
      <c r="M11" s="53">
        <v>103.13800000000001</v>
      </c>
      <c r="N11" s="53">
        <v>104.79</v>
      </c>
      <c r="O11" s="53">
        <v>24.568000000000001</v>
      </c>
      <c r="P11" s="53">
        <v>19.254999999999999</v>
      </c>
      <c r="Q11" s="53">
        <v>25.783000000000001</v>
      </c>
      <c r="R11" s="53">
        <v>30.757999999999999</v>
      </c>
      <c r="S11" s="53">
        <f>T11</f>
        <v>27.170999999999999</v>
      </c>
      <c r="T11" s="53">
        <v>27.170999999999999</v>
      </c>
      <c r="U11" s="53">
        <v>26.437999999999999</v>
      </c>
      <c r="V11" s="53">
        <v>14.367000000000001</v>
      </c>
      <c r="W11" s="53">
        <v>11.9</v>
      </c>
      <c r="X11" s="53">
        <v>48.703000000000003</v>
      </c>
      <c r="Y11" s="53">
        <v>45.058999999999997</v>
      </c>
      <c r="Z11" s="53">
        <v>37.817999999999998</v>
      </c>
      <c r="AA11" s="53">
        <v>34.197000000000003</v>
      </c>
      <c r="AB11" s="53">
        <v>63.517000000000003</v>
      </c>
      <c r="AC11" s="53">
        <f>59.93</f>
        <v>59.93</v>
      </c>
      <c r="AD11" s="53">
        <v>69.510999999999996</v>
      </c>
      <c r="AE11" s="53">
        <v>50.703000000000003</v>
      </c>
      <c r="AF11" s="53">
        <v>105.27</v>
      </c>
      <c r="AG11" s="53">
        <v>105.16800000000001</v>
      </c>
      <c r="AH11" s="53">
        <v>93.105999999999995</v>
      </c>
      <c r="AI11" s="53">
        <v>195.73599999999999</v>
      </c>
      <c r="AJ11" s="53">
        <v>139.09299999999999</v>
      </c>
      <c r="AK11" s="53">
        <v>147.61000000000001</v>
      </c>
      <c r="AL11" s="53">
        <v>34</v>
      </c>
      <c r="AM11" s="53">
        <v>69</v>
      </c>
      <c r="AN11" s="53">
        <v>45</v>
      </c>
      <c r="AO11" s="53"/>
    </row>
    <row r="12" spans="1:47" ht="14.25" x14ac:dyDescent="0.2">
      <c r="A12" s="146" t="s">
        <v>42</v>
      </c>
      <c r="B12" s="140">
        <v>505.02300000000002</v>
      </c>
      <c r="C12" s="53">
        <v>492.07100000000003</v>
      </c>
      <c r="D12" s="53">
        <v>491.60500000000002</v>
      </c>
      <c r="E12" s="53">
        <v>506.37</v>
      </c>
      <c r="F12" s="53">
        <v>540.29300000000001</v>
      </c>
      <c r="G12" s="53">
        <v>509.81099999999998</v>
      </c>
      <c r="H12" s="53">
        <v>652.52099999999996</v>
      </c>
      <c r="I12" s="53">
        <v>799.00699999999995</v>
      </c>
      <c r="J12" s="53">
        <v>970.57</v>
      </c>
      <c r="K12" s="53">
        <v>1278.0039999999999</v>
      </c>
      <c r="L12" s="53">
        <v>1318.1659999999999</v>
      </c>
      <c r="M12" s="53">
        <v>1277.5160000000001</v>
      </c>
      <c r="N12" s="53">
        <v>1231.2149999999999</v>
      </c>
      <c r="O12" s="53">
        <f>1233.25</f>
        <v>1233.25</v>
      </c>
      <c r="P12" s="53">
        <v>1133.6179999999999</v>
      </c>
      <c r="Q12" s="53">
        <v>1058.279</v>
      </c>
      <c r="R12" s="53">
        <v>1053.662</v>
      </c>
      <c r="S12" s="53">
        <f>T12</f>
        <v>1114.134</v>
      </c>
      <c r="T12" s="53">
        <v>1114.134</v>
      </c>
      <c r="U12" s="53">
        <v>1171.5429999999999</v>
      </c>
      <c r="V12" s="53">
        <v>1233.4059999999999</v>
      </c>
      <c r="W12" s="53">
        <v>1268.973</v>
      </c>
      <c r="X12" s="53">
        <v>1410.93</v>
      </c>
      <c r="Y12" s="53">
        <v>1448.3109999999999</v>
      </c>
      <c r="Z12" s="53">
        <v>1336.617</v>
      </c>
      <c r="AA12" s="53">
        <v>1320.723</v>
      </c>
      <c r="AB12" s="53">
        <v>1480.0440000000001</v>
      </c>
      <c r="AC12" s="53">
        <f>1407.82</f>
        <v>1407.82</v>
      </c>
      <c r="AD12" s="53">
        <v>1369.415</v>
      </c>
      <c r="AE12" s="53">
        <v>1370.203</v>
      </c>
      <c r="AF12" s="53">
        <v>1408.297</v>
      </c>
      <c r="AG12" s="53">
        <v>1333.8510000000001</v>
      </c>
      <c r="AH12" s="53">
        <v>1350.528</v>
      </c>
      <c r="AI12" s="53">
        <f>1276.887</f>
        <v>1276.8869999999999</v>
      </c>
      <c r="AJ12" s="53">
        <v>1335.098</v>
      </c>
      <c r="AK12" s="53">
        <v>1235.69</v>
      </c>
      <c r="AL12" s="53">
        <v>1201</v>
      </c>
      <c r="AM12" s="53">
        <v>1184</v>
      </c>
      <c r="AN12" s="53">
        <v>1364</v>
      </c>
      <c r="AO12" s="53" t="e">
        <f t="shared" ref="AO12:AU12" si="17">AO5*AO13</f>
        <v>#REF!</v>
      </c>
      <c r="AP12" s="41" t="e">
        <f t="shared" si="17"/>
        <v>#REF!</v>
      </c>
      <c r="AQ12" s="41" t="e">
        <f t="shared" si="17"/>
        <v>#REF!</v>
      </c>
      <c r="AR12" s="41" t="e">
        <f t="shared" si="17"/>
        <v>#REF!</v>
      </c>
      <c r="AS12" s="41" t="e">
        <f t="shared" si="17"/>
        <v>#REF!</v>
      </c>
      <c r="AT12" s="41" t="e">
        <f t="shared" si="17"/>
        <v>#REF!</v>
      </c>
      <c r="AU12" s="41" t="e">
        <f t="shared" si="17"/>
        <v>#REF!</v>
      </c>
    </row>
    <row r="13" spans="1:47" x14ac:dyDescent="0.2">
      <c r="A13" s="147" t="s">
        <v>40</v>
      </c>
      <c r="B13" s="48" t="e">
        <f>B12/B2</f>
        <v>#REF!</v>
      </c>
      <c r="C13" s="48" t="e">
        <f t="shared" ref="C13:K13" si="18">C12/C2</f>
        <v>#REF!</v>
      </c>
      <c r="D13" s="48" t="e">
        <f t="shared" si="18"/>
        <v>#REF!</v>
      </c>
      <c r="E13" s="48" t="e">
        <f t="shared" si="18"/>
        <v>#REF!</v>
      </c>
      <c r="F13" s="48" t="e">
        <f t="shared" si="18"/>
        <v>#REF!</v>
      </c>
      <c r="G13" s="48" t="e">
        <f t="shared" si="18"/>
        <v>#REF!</v>
      </c>
      <c r="H13" s="48" t="e">
        <f t="shared" si="18"/>
        <v>#REF!</v>
      </c>
      <c r="I13" s="48" t="e">
        <f t="shared" si="18"/>
        <v>#REF!</v>
      </c>
      <c r="J13" s="48" t="e">
        <f t="shared" si="18"/>
        <v>#REF!</v>
      </c>
      <c r="K13" s="48" t="e">
        <f t="shared" si="18"/>
        <v>#REF!</v>
      </c>
      <c r="L13" s="48" t="e">
        <f>L12/(L2*4)</f>
        <v>#REF!</v>
      </c>
      <c r="M13" s="48" t="e">
        <f>M12/(M2*4)</f>
        <v>#REF!</v>
      </c>
      <c r="N13" s="48" t="e">
        <f>N12/(N2*4)</f>
        <v>#REF!</v>
      </c>
      <c r="O13" s="48" t="e">
        <f>O12/O2</f>
        <v>#REF!</v>
      </c>
      <c r="P13" s="48" t="e">
        <f>P12/(P2*4)</f>
        <v>#REF!</v>
      </c>
      <c r="Q13" s="48" t="e">
        <f>Q12/(Q2*4)</f>
        <v>#REF!</v>
      </c>
      <c r="R13" s="48" t="e">
        <f>R12/(R2*4)</f>
        <v>#REF!</v>
      </c>
      <c r="S13" s="48" t="e">
        <f>S12/(S2*4)</f>
        <v>#REF!</v>
      </c>
      <c r="T13" s="48" t="e">
        <f>T12/T2</f>
        <v>#REF!</v>
      </c>
      <c r="U13" s="48" t="e">
        <f t="shared" ref="U13:Z13" si="19">U12/(U2*4)</f>
        <v>#REF!</v>
      </c>
      <c r="V13" s="48" t="e">
        <f t="shared" si="19"/>
        <v>#REF!</v>
      </c>
      <c r="W13" s="48" t="e">
        <f t="shared" si="19"/>
        <v>#REF!</v>
      </c>
      <c r="X13" s="48" t="e">
        <f t="shared" si="19"/>
        <v>#REF!</v>
      </c>
      <c r="Y13" s="48" t="e">
        <f t="shared" si="19"/>
        <v>#REF!</v>
      </c>
      <c r="Z13" s="48" t="e">
        <f t="shared" si="19"/>
        <v>#REF!</v>
      </c>
      <c r="AA13" s="48" t="e">
        <f t="shared" ref="AA13:AH13" si="20">AA12/(AA2*4)</f>
        <v>#REF!</v>
      </c>
      <c r="AB13" s="48" t="e">
        <f t="shared" si="20"/>
        <v>#REF!</v>
      </c>
      <c r="AC13" s="48" t="e">
        <f t="shared" si="20"/>
        <v>#REF!</v>
      </c>
      <c r="AD13" s="48" t="e">
        <f t="shared" si="20"/>
        <v>#REF!</v>
      </c>
      <c r="AE13" s="48" t="e">
        <f t="shared" si="20"/>
        <v>#REF!</v>
      </c>
      <c r="AF13" s="48" t="e">
        <f t="shared" si="20"/>
        <v>#REF!</v>
      </c>
      <c r="AG13" s="48" t="e">
        <f t="shared" si="20"/>
        <v>#REF!</v>
      </c>
      <c r="AH13" s="48" t="e">
        <f t="shared" si="20"/>
        <v>#REF!</v>
      </c>
      <c r="AI13" s="48" t="e">
        <f t="shared" ref="AI13:AN13" si="21">AI12/(AI2*4)</f>
        <v>#REF!</v>
      </c>
      <c r="AJ13" s="48" t="e">
        <f t="shared" si="21"/>
        <v>#REF!</v>
      </c>
      <c r="AK13" s="48" t="e">
        <f t="shared" si="21"/>
        <v>#REF!</v>
      </c>
      <c r="AL13" s="48" t="e">
        <f t="shared" si="21"/>
        <v>#REF!</v>
      </c>
      <c r="AM13" s="48" t="e">
        <f t="shared" si="21"/>
        <v>#REF!</v>
      </c>
      <c r="AN13" s="48" t="e">
        <f t="shared" si="21"/>
        <v>#REF!</v>
      </c>
      <c r="AO13" s="48">
        <v>0.35</v>
      </c>
      <c r="AP13" s="61">
        <v>0.35499999999999998</v>
      </c>
      <c r="AQ13" s="61">
        <v>0.36</v>
      </c>
      <c r="AR13" s="61">
        <f>AQ13</f>
        <v>0.36</v>
      </c>
      <c r="AS13" s="61">
        <f>AR13</f>
        <v>0.36</v>
      </c>
      <c r="AT13" s="61">
        <f>AS13</f>
        <v>0.36</v>
      </c>
      <c r="AU13" s="61">
        <f>AT13</f>
        <v>0.36</v>
      </c>
    </row>
    <row r="14" spans="1:47" ht="12.75" customHeight="1" x14ac:dyDescent="0.2">
      <c r="A14" s="148" t="s">
        <v>44</v>
      </c>
      <c r="B14" s="149">
        <f t="shared" ref="B14:Q14" si="22">B15+B16+B17+B18+B19+B20+B21+B22+B23</f>
        <v>2069.7489999999998</v>
      </c>
      <c r="C14" s="149">
        <f t="shared" si="22"/>
        <v>2156.9659999999999</v>
      </c>
      <c r="D14" s="149">
        <f t="shared" si="22"/>
        <v>1881.7460000000001</v>
      </c>
      <c r="E14" s="149">
        <f t="shared" si="22"/>
        <v>1935.1100000000001</v>
      </c>
      <c r="F14" s="149">
        <f t="shared" si="22"/>
        <v>1947.8600000000001</v>
      </c>
      <c r="G14" s="149">
        <f t="shared" si="22"/>
        <v>1859.873</v>
      </c>
      <c r="H14" s="149">
        <f t="shared" si="22"/>
        <v>1936.59</v>
      </c>
      <c r="I14" s="149">
        <f t="shared" si="22"/>
        <v>1980.1510000000001</v>
      </c>
      <c r="J14" s="149">
        <f t="shared" si="22"/>
        <v>2491.1019999999999</v>
      </c>
      <c r="K14" s="149">
        <f t="shared" si="22"/>
        <v>2775.0430000000001</v>
      </c>
      <c r="L14" s="149">
        <f t="shared" si="22"/>
        <v>2747.0430000000001</v>
      </c>
      <c r="M14" s="149">
        <f t="shared" si="22"/>
        <v>2915.241</v>
      </c>
      <c r="N14" s="149">
        <f t="shared" si="22"/>
        <v>3033.7049999999999</v>
      </c>
      <c r="O14" s="149">
        <f t="shared" si="22"/>
        <v>3136.0939999999996</v>
      </c>
      <c r="P14" s="149">
        <f t="shared" si="22"/>
        <v>3129.8110000000001</v>
      </c>
      <c r="Q14" s="149">
        <f t="shared" si="22"/>
        <v>3082.5300000000007</v>
      </c>
      <c r="R14" s="149">
        <f t="shared" ref="R14:W14" si="23">R15+R16+R17+R18+R19+R20+R21+R22+R23</f>
        <v>3207.7440000000001</v>
      </c>
      <c r="S14" s="149">
        <f t="shared" si="23"/>
        <v>3258.0250000000001</v>
      </c>
      <c r="T14" s="149">
        <f t="shared" si="23"/>
        <v>3258.0250000000001</v>
      </c>
      <c r="U14" s="149">
        <f t="shared" si="23"/>
        <v>3518.1019999999999</v>
      </c>
      <c r="V14" s="149">
        <f t="shared" si="23"/>
        <v>3794.6990000000001</v>
      </c>
      <c r="W14" s="149">
        <f t="shared" si="23"/>
        <v>3788.8459999999995</v>
      </c>
      <c r="X14" s="149">
        <f t="shared" ref="X14:AC14" si="24">X15+X16+X17+X18+X19+X20+X21+X22+X23</f>
        <v>3840.1739999999995</v>
      </c>
      <c r="Y14" s="149">
        <f t="shared" si="24"/>
        <v>3975.1950000000006</v>
      </c>
      <c r="Z14" s="149">
        <f t="shared" si="24"/>
        <v>4084.3580000000002</v>
      </c>
      <c r="AA14" s="149">
        <f t="shared" si="24"/>
        <v>4253.6059999999998</v>
      </c>
      <c r="AB14" s="149">
        <f t="shared" si="24"/>
        <v>4436.7179999999998</v>
      </c>
      <c r="AC14" s="149">
        <f t="shared" si="24"/>
        <v>4378.4529999999995</v>
      </c>
      <c r="AD14" s="149">
        <f t="shared" ref="AD14:AJ14" si="25">AD15+AD16+AD17+AD18+AD19+AD20+AD21+AD22+AD23</f>
        <v>4524.598</v>
      </c>
      <c r="AE14" s="149">
        <f t="shared" si="25"/>
        <v>4721.7879999999996</v>
      </c>
      <c r="AF14" s="149">
        <f t="shared" si="25"/>
        <v>4931.8450000000003</v>
      </c>
      <c r="AG14" s="149">
        <f t="shared" si="25"/>
        <v>5112.7820000000002</v>
      </c>
      <c r="AH14" s="149">
        <f t="shared" si="25"/>
        <v>5249.1719999999996</v>
      </c>
      <c r="AI14" s="149">
        <f t="shared" si="25"/>
        <v>5095.2559999999994</v>
      </c>
      <c r="AJ14" s="149">
        <f t="shared" si="25"/>
        <v>5207.549</v>
      </c>
      <c r="AK14" s="149">
        <f>AK15+AK16+AK17+AK18+AK19+AK20+AK21+AK22+AK23</f>
        <v>5180.0380000000005</v>
      </c>
      <c r="AL14" s="149">
        <f>AL15+AL16+AL17+AL18+AL19+AL20+AL21+AL22+AL23</f>
        <v>5491</v>
      </c>
      <c r="AM14" s="149">
        <f>AM15+AM16+AM17+AM18+AM19+AM20+AM21+AM22+AM23</f>
        <v>5510</v>
      </c>
      <c r="AN14" s="149">
        <f>AN15+AN16+AN17+AN18+AN19+AN20+AN21+AN22+AN23+192</f>
        <v>6092</v>
      </c>
      <c r="AO14" s="149"/>
    </row>
    <row r="15" spans="1:47" ht="25.5" x14ac:dyDescent="0.2">
      <c r="A15" s="146" t="s">
        <v>164</v>
      </c>
      <c r="B15" s="140">
        <v>51.677</v>
      </c>
      <c r="C15" s="53">
        <v>61.893999999999998</v>
      </c>
      <c r="D15" s="53">
        <v>58.618000000000002</v>
      </c>
      <c r="E15" s="53">
        <v>62.355000000000004</v>
      </c>
      <c r="F15" s="53">
        <v>63.198</v>
      </c>
      <c r="G15" s="53">
        <v>14.15</v>
      </c>
      <c r="H15" s="53">
        <v>24.774999999999999</v>
      </c>
      <c r="I15" s="53">
        <v>31.149000000000001</v>
      </c>
      <c r="J15" s="53">
        <v>39.064</v>
      </c>
      <c r="K15" s="53">
        <v>27.181000000000001</v>
      </c>
      <c r="L15" s="53">
        <v>27.4</v>
      </c>
      <c r="M15" s="53">
        <v>30.574999999999999</v>
      </c>
      <c r="N15" s="53">
        <v>33.106000000000002</v>
      </c>
      <c r="O15" s="53">
        <v>28.762</v>
      </c>
      <c r="P15" s="53">
        <v>26.709</v>
      </c>
      <c r="Q15" s="53">
        <v>25.353000000000002</v>
      </c>
      <c r="R15" s="53">
        <v>28.105</v>
      </c>
      <c r="S15" s="53">
        <f t="shared" ref="S15:S23" si="26">T15</f>
        <v>28.123999999999999</v>
      </c>
      <c r="T15" s="53">
        <v>28.123999999999999</v>
      </c>
      <c r="U15" s="53">
        <v>28.055</v>
      </c>
      <c r="V15" s="53">
        <v>31.898</v>
      </c>
      <c r="W15" s="53">
        <v>30.187000000000001</v>
      </c>
      <c r="X15" s="53">
        <v>29.404</v>
      </c>
      <c r="Y15" s="53">
        <v>35.747</v>
      </c>
      <c r="Z15" s="53">
        <v>35.072000000000003</v>
      </c>
      <c r="AA15" s="53">
        <v>38.292000000000002</v>
      </c>
      <c r="AB15" s="53">
        <v>18.391999999999999</v>
      </c>
      <c r="AC15" s="53">
        <f>162.321</f>
        <v>162.321</v>
      </c>
      <c r="AD15" s="53">
        <v>165.66800000000001</v>
      </c>
      <c r="AE15" s="53">
        <v>175.56399999999999</v>
      </c>
      <c r="AF15" s="53">
        <v>174.511</v>
      </c>
      <c r="AG15" s="53">
        <v>191.77</v>
      </c>
      <c r="AH15" s="53">
        <v>199.24600000000001</v>
      </c>
      <c r="AI15" s="53">
        <f>194.2</f>
        <v>194.2</v>
      </c>
      <c r="AJ15" s="53">
        <v>184.54900000000001</v>
      </c>
      <c r="AK15" s="53">
        <v>167.934</v>
      </c>
      <c r="AL15" s="53">
        <v>161</v>
      </c>
      <c r="AM15" s="53">
        <v>164</v>
      </c>
      <c r="AN15" s="53">
        <v>159</v>
      </c>
      <c r="AO15" s="53"/>
    </row>
    <row r="16" spans="1:47" ht="25.5" x14ac:dyDescent="0.2">
      <c r="A16" s="146" t="s">
        <v>165</v>
      </c>
      <c r="B16" s="140">
        <v>33.1</v>
      </c>
      <c r="C16" s="53">
        <v>25.504999999999999</v>
      </c>
      <c r="D16" s="53">
        <v>20.745000000000001</v>
      </c>
      <c r="E16" s="53">
        <v>17.495000000000001</v>
      </c>
      <c r="F16" s="53">
        <v>15.772</v>
      </c>
      <c r="G16" s="53">
        <v>33.707000000000001</v>
      </c>
      <c r="H16" s="53">
        <v>22.622</v>
      </c>
      <c r="I16" s="53">
        <v>27.797999999999998</v>
      </c>
      <c r="J16" s="53">
        <v>111.11499999999999</v>
      </c>
      <c r="K16" s="53">
        <v>185.66900000000001</v>
      </c>
      <c r="L16" s="53">
        <v>144.22499999999999</v>
      </c>
      <c r="M16" s="53">
        <v>170.732</v>
      </c>
      <c r="N16" s="53">
        <v>187.06899999999999</v>
      </c>
      <c r="O16" s="53">
        <v>209.00800000000001</v>
      </c>
      <c r="P16" s="53">
        <v>204.30600000000001</v>
      </c>
      <c r="Q16" s="53">
        <v>192.44300000000001</v>
      </c>
      <c r="R16" s="53">
        <v>204.876</v>
      </c>
      <c r="S16" s="53">
        <f t="shared" si="26"/>
        <v>205.58</v>
      </c>
      <c r="T16" s="53">
        <v>205.58</v>
      </c>
      <c r="U16" s="53">
        <v>223.37</v>
      </c>
      <c r="V16" s="53">
        <v>235.67699999999999</v>
      </c>
      <c r="W16" s="53">
        <v>244.17699999999999</v>
      </c>
      <c r="X16" s="53">
        <v>270.73200000000003</v>
      </c>
      <c r="Y16" s="53">
        <v>299.197</v>
      </c>
      <c r="Z16" s="53">
        <v>316.14400000000001</v>
      </c>
      <c r="AA16" s="53">
        <v>339.839</v>
      </c>
      <c r="AB16" s="53">
        <v>362.81799999999998</v>
      </c>
      <c r="AC16" s="53">
        <f>21.755</f>
        <v>21.754999999999999</v>
      </c>
      <c r="AD16" s="53">
        <v>15.962</v>
      </c>
      <c r="AE16" s="53">
        <v>15.788</v>
      </c>
      <c r="AF16" s="53">
        <v>15.768000000000001</v>
      </c>
      <c r="AG16" s="53">
        <v>15.201000000000001</v>
      </c>
      <c r="AH16" s="53">
        <v>14.54</v>
      </c>
      <c r="AI16" s="53">
        <v>13.221</v>
      </c>
      <c r="AJ16" s="53">
        <v>11.666</v>
      </c>
      <c r="AK16" s="53">
        <v>14.529</v>
      </c>
      <c r="AL16" s="53">
        <v>14</v>
      </c>
      <c r="AM16" s="53">
        <v>11</v>
      </c>
      <c r="AN16" s="53">
        <v>35</v>
      </c>
      <c r="AO16" s="53"/>
    </row>
    <row r="17" spans="1:41" ht="38.25" x14ac:dyDescent="0.2">
      <c r="A17" s="146" t="s">
        <v>166</v>
      </c>
      <c r="B17" s="140"/>
      <c r="C17" s="53"/>
      <c r="D17" s="53"/>
      <c r="E17" s="53"/>
      <c r="F17" s="53"/>
      <c r="G17" s="53"/>
      <c r="H17" s="53"/>
      <c r="I17" s="53"/>
      <c r="J17" s="53"/>
      <c r="K17" s="53"/>
      <c r="L17" s="53">
        <v>43.323</v>
      </c>
      <c r="M17" s="53">
        <v>57.970999999999997</v>
      </c>
      <c r="N17" s="53">
        <v>70.647999999999996</v>
      </c>
      <c r="O17" s="53">
        <v>66.057000000000002</v>
      </c>
      <c r="P17" s="53">
        <v>70.597999999999999</v>
      </c>
      <c r="Q17" s="53">
        <v>61.753999999999998</v>
      </c>
      <c r="R17" s="53">
        <v>70.715999999999994</v>
      </c>
      <c r="S17" s="53">
        <f t="shared" si="26"/>
        <v>83.325000000000003</v>
      </c>
      <c r="T17" s="53">
        <v>83.325000000000003</v>
      </c>
      <c r="U17" s="53">
        <v>89.266999999999996</v>
      </c>
      <c r="V17" s="53">
        <v>84.001000000000005</v>
      </c>
      <c r="W17" s="53">
        <v>68.052999999999997</v>
      </c>
      <c r="X17" s="53">
        <v>65.364999999999995</v>
      </c>
      <c r="Y17" s="53">
        <v>75.477000000000004</v>
      </c>
      <c r="Z17" s="53">
        <v>64.064999999999998</v>
      </c>
      <c r="AA17" s="53">
        <v>68.965000000000003</v>
      </c>
      <c r="AB17" s="53">
        <v>69.192999999999998</v>
      </c>
      <c r="AC17" s="53">
        <f>73.647</f>
        <v>73.647000000000006</v>
      </c>
      <c r="AD17" s="53">
        <v>74.260000000000005</v>
      </c>
      <c r="AE17" s="53">
        <v>79.164000000000001</v>
      </c>
      <c r="AF17" s="53">
        <v>83.123999999999995</v>
      </c>
      <c r="AG17" s="53">
        <v>82.875</v>
      </c>
      <c r="AH17" s="53">
        <v>83.587999999999994</v>
      </c>
      <c r="AI17" s="53">
        <v>66.572999999999993</v>
      </c>
      <c r="AJ17" s="53">
        <v>66.063000000000002</v>
      </c>
      <c r="AK17" s="53">
        <v>73.363</v>
      </c>
      <c r="AL17" s="53">
        <v>80</v>
      </c>
      <c r="AM17" s="53">
        <v>71</v>
      </c>
      <c r="AN17" s="53">
        <v>80</v>
      </c>
      <c r="AO17" s="53"/>
    </row>
    <row r="18" spans="1:41" ht="14.25" x14ac:dyDescent="0.2">
      <c r="A18" s="146" t="s">
        <v>167</v>
      </c>
      <c r="B18" s="140">
        <v>0</v>
      </c>
      <c r="C18" s="53">
        <v>0</v>
      </c>
      <c r="D18" s="53">
        <v>0</v>
      </c>
      <c r="E18" s="53">
        <v>0</v>
      </c>
      <c r="F18" s="53">
        <v>0</v>
      </c>
      <c r="G18" s="53">
        <v>0</v>
      </c>
      <c r="H18" s="53">
        <v>0</v>
      </c>
      <c r="I18" s="53">
        <v>0</v>
      </c>
      <c r="J18" s="53">
        <v>2.468</v>
      </c>
      <c r="K18" s="53">
        <v>7.3339999999999996</v>
      </c>
      <c r="L18" s="53">
        <v>7.9089999999999998</v>
      </c>
      <c r="M18" s="53">
        <v>14.961</v>
      </c>
      <c r="N18" s="53">
        <v>16.134</v>
      </c>
      <c r="O18" s="53">
        <v>16.739000000000001</v>
      </c>
      <c r="P18" s="53">
        <v>20.183</v>
      </c>
      <c r="Q18" s="53">
        <v>17.896000000000001</v>
      </c>
      <c r="R18" s="53">
        <v>26.715</v>
      </c>
      <c r="S18" s="53">
        <f t="shared" si="26"/>
        <v>36.308</v>
      </c>
      <c r="T18" s="53">
        <v>36.308</v>
      </c>
      <c r="U18" s="53">
        <v>36.212000000000003</v>
      </c>
      <c r="V18" s="53">
        <v>45.176000000000002</v>
      </c>
      <c r="W18" s="53">
        <v>23.13</v>
      </c>
      <c r="X18" s="53">
        <v>18.228999999999999</v>
      </c>
      <c r="Y18" s="53">
        <v>20.358000000000001</v>
      </c>
      <c r="Z18" s="53">
        <v>14.867000000000001</v>
      </c>
      <c r="AA18" s="53">
        <v>26.664999999999999</v>
      </c>
      <c r="AB18" s="53">
        <v>27.513999999999999</v>
      </c>
      <c r="AC18" s="53">
        <f>19.102</f>
        <v>19.102</v>
      </c>
      <c r="AD18" s="53">
        <v>5.7640000000000002</v>
      </c>
      <c r="AE18" s="53">
        <v>5.5430000000000001</v>
      </c>
      <c r="AF18" s="53">
        <v>7.6189999999999998</v>
      </c>
      <c r="AG18" s="53">
        <v>10.005000000000001</v>
      </c>
      <c r="AH18" s="53">
        <v>16.135999999999999</v>
      </c>
      <c r="AI18" s="53">
        <v>7.4320000000000004</v>
      </c>
      <c r="AJ18" s="53">
        <v>0</v>
      </c>
      <c r="AK18" s="53">
        <v>0</v>
      </c>
      <c r="AL18" s="53">
        <v>0</v>
      </c>
      <c r="AM18" s="53">
        <v>0</v>
      </c>
      <c r="AN18" s="53">
        <v>0</v>
      </c>
      <c r="AO18" s="53"/>
    </row>
    <row r="19" spans="1:41" ht="14.25" x14ac:dyDescent="0.2">
      <c r="A19" s="146" t="s">
        <v>168</v>
      </c>
      <c r="B19" s="140">
        <v>0</v>
      </c>
      <c r="C19" s="53">
        <v>0</v>
      </c>
      <c r="D19" s="53">
        <v>0</v>
      </c>
      <c r="E19" s="53">
        <v>0</v>
      </c>
      <c r="F19" s="53">
        <v>14.412000000000001</v>
      </c>
      <c r="G19" s="53">
        <v>31.414999999999999</v>
      </c>
      <c r="H19" s="53">
        <v>28.84</v>
      </c>
      <c r="I19" s="53">
        <v>33.865000000000002</v>
      </c>
      <c r="J19" s="53">
        <v>30.501999999999999</v>
      </c>
      <c r="K19" s="53">
        <v>51.188000000000002</v>
      </c>
      <c r="L19" s="53">
        <v>53.402999999999999</v>
      </c>
      <c r="M19" s="53">
        <v>52.246000000000002</v>
      </c>
      <c r="N19" s="53">
        <v>51.173000000000002</v>
      </c>
      <c r="O19" s="53">
        <v>55.441000000000003</v>
      </c>
      <c r="P19" s="53">
        <v>61.042999999999999</v>
      </c>
      <c r="Q19" s="53">
        <v>62.472999999999999</v>
      </c>
      <c r="R19" s="53">
        <v>64.698999999999998</v>
      </c>
      <c r="S19" s="53">
        <f t="shared" si="26"/>
        <v>50.01</v>
      </c>
      <c r="T19" s="53">
        <v>50.01</v>
      </c>
      <c r="U19" s="53">
        <v>51.204000000000001</v>
      </c>
      <c r="V19" s="53">
        <v>53.173999999999999</v>
      </c>
      <c r="W19" s="53">
        <v>57.042000000000002</v>
      </c>
      <c r="X19" s="53">
        <v>48.795000000000002</v>
      </c>
      <c r="Y19" s="53">
        <v>47.228000000000002</v>
      </c>
      <c r="Z19" s="53">
        <v>58.823999999999998</v>
      </c>
      <c r="AA19" s="53">
        <v>60.287999999999997</v>
      </c>
      <c r="AB19" s="53">
        <v>54.993000000000002</v>
      </c>
      <c r="AC19" s="53">
        <f>29.079</f>
        <v>29.079000000000001</v>
      </c>
      <c r="AD19" s="53">
        <v>30.088000000000001</v>
      </c>
      <c r="AE19" s="53">
        <v>48.003</v>
      </c>
      <c r="AF19" s="53">
        <v>62.252000000000002</v>
      </c>
      <c r="AG19" s="53">
        <v>61.375</v>
      </c>
      <c r="AH19" s="53">
        <v>62.972000000000001</v>
      </c>
      <c r="AI19" s="53">
        <v>56.262999999999998</v>
      </c>
      <c r="AJ19" s="53">
        <v>57.034999999999997</v>
      </c>
      <c r="AK19" s="53">
        <v>57.293999999999997</v>
      </c>
      <c r="AL19" s="53">
        <v>41</v>
      </c>
      <c r="AM19" s="53">
        <v>58</v>
      </c>
      <c r="AN19" s="53">
        <v>57</v>
      </c>
      <c r="AO19" s="53"/>
    </row>
    <row r="20" spans="1:41" ht="14.25" x14ac:dyDescent="0.2">
      <c r="A20" s="146" t="s">
        <v>52</v>
      </c>
      <c r="B20" s="140">
        <v>0</v>
      </c>
      <c r="C20" s="53">
        <v>0</v>
      </c>
      <c r="D20" s="53">
        <v>0</v>
      </c>
      <c r="E20" s="53">
        <v>0</v>
      </c>
      <c r="F20" s="53">
        <v>0</v>
      </c>
      <c r="G20" s="53">
        <v>29.773</v>
      </c>
      <c r="H20" s="53">
        <v>5.5410000000000004</v>
      </c>
      <c r="I20" s="53">
        <v>6.5389999999999997</v>
      </c>
      <c r="J20" s="53">
        <v>25.327000000000002</v>
      </c>
      <c r="K20" s="53">
        <v>74.968999999999994</v>
      </c>
      <c r="L20" s="53">
        <v>35.963000000000001</v>
      </c>
      <c r="M20" s="53">
        <v>61.173000000000002</v>
      </c>
      <c r="N20" s="53">
        <v>84.71</v>
      </c>
      <c r="O20" s="53">
        <v>100.271</v>
      </c>
      <c r="P20" s="53">
        <v>111.349</v>
      </c>
      <c r="Q20" s="53">
        <v>107.408</v>
      </c>
      <c r="R20" s="53">
        <v>100.398</v>
      </c>
      <c r="S20" s="53">
        <f t="shared" si="26"/>
        <v>120.30500000000001</v>
      </c>
      <c r="T20" s="53">
        <v>120.30500000000001</v>
      </c>
      <c r="U20" s="53">
        <v>109.971</v>
      </c>
      <c r="V20" s="53">
        <v>111.271</v>
      </c>
      <c r="W20" s="53">
        <v>101.315</v>
      </c>
      <c r="X20" s="53">
        <v>85.355999999999995</v>
      </c>
      <c r="Y20" s="53">
        <v>78.355999999999995</v>
      </c>
      <c r="Z20" s="53">
        <v>84.168000000000006</v>
      </c>
      <c r="AA20" s="53">
        <v>65.793000000000006</v>
      </c>
      <c r="AB20" s="53">
        <v>112.455</v>
      </c>
      <c r="AC20" s="53">
        <f>117.796</f>
        <v>117.79600000000001</v>
      </c>
      <c r="AD20" s="53">
        <v>110.23</v>
      </c>
      <c r="AE20" s="53">
        <v>93.965000000000003</v>
      </c>
      <c r="AF20" s="53">
        <v>111.157</v>
      </c>
      <c r="AG20" s="53">
        <v>108.59099999999999</v>
      </c>
      <c r="AH20" s="53">
        <v>130.46100000000001</v>
      </c>
      <c r="AI20" s="53">
        <v>94.477000000000004</v>
      </c>
      <c r="AJ20" s="53">
        <v>158.44300000000001</v>
      </c>
      <c r="AK20" s="53">
        <v>176.358</v>
      </c>
      <c r="AL20" s="53">
        <v>181</v>
      </c>
      <c r="AM20" s="53">
        <v>162</v>
      </c>
      <c r="AN20" s="53">
        <v>172</v>
      </c>
      <c r="AO20" s="53"/>
    </row>
    <row r="21" spans="1:41" ht="25.5" x14ac:dyDescent="0.2">
      <c r="A21" s="146" t="s">
        <v>169</v>
      </c>
      <c r="B21" s="140">
        <v>0</v>
      </c>
      <c r="C21" s="53">
        <v>0</v>
      </c>
      <c r="D21" s="53">
        <v>8.0679999999999996</v>
      </c>
      <c r="E21" s="53">
        <v>10.967000000000001</v>
      </c>
      <c r="F21" s="53">
        <v>21.838000000000001</v>
      </c>
      <c r="G21" s="53">
        <v>1.5409999999999999</v>
      </c>
      <c r="H21" s="53">
        <v>7.5190000000000001</v>
      </c>
      <c r="I21" s="53">
        <v>17.010999999999999</v>
      </c>
      <c r="J21" s="53">
        <v>0</v>
      </c>
      <c r="K21" s="53">
        <v>0</v>
      </c>
      <c r="L21" s="53">
        <v>0</v>
      </c>
      <c r="M21" s="53">
        <v>0</v>
      </c>
      <c r="N21" s="53">
        <v>0</v>
      </c>
      <c r="O21" s="53">
        <v>0</v>
      </c>
      <c r="P21" s="53">
        <v>0</v>
      </c>
      <c r="Q21" s="53">
        <v>0</v>
      </c>
      <c r="R21" s="53">
        <v>0</v>
      </c>
      <c r="S21" s="53">
        <f t="shared" si="26"/>
        <v>0</v>
      </c>
      <c r="T21" s="53">
        <v>0</v>
      </c>
      <c r="U21" s="53">
        <v>0</v>
      </c>
      <c r="V21" s="53">
        <v>0</v>
      </c>
      <c r="W21" s="53">
        <v>0</v>
      </c>
      <c r="X21" s="53">
        <f>AO21</f>
        <v>0</v>
      </c>
      <c r="Y21" s="53">
        <v>0</v>
      </c>
      <c r="Z21" s="53">
        <v>0</v>
      </c>
      <c r="AA21" s="53">
        <v>0</v>
      </c>
      <c r="AB21" s="53">
        <f>AS21</f>
        <v>0</v>
      </c>
      <c r="AC21" s="53">
        <v>0</v>
      </c>
      <c r="AD21" s="53">
        <v>0</v>
      </c>
      <c r="AE21" s="53">
        <v>0</v>
      </c>
      <c r="AF21" s="53">
        <v>0</v>
      </c>
      <c r="AG21" s="53">
        <v>0</v>
      </c>
      <c r="AH21" s="53">
        <v>0</v>
      </c>
      <c r="AI21" s="53">
        <v>0</v>
      </c>
      <c r="AJ21" s="53">
        <v>0</v>
      </c>
      <c r="AK21" s="53">
        <v>0</v>
      </c>
      <c r="AL21" s="53">
        <v>0</v>
      </c>
      <c r="AM21" s="53">
        <v>0</v>
      </c>
      <c r="AN21" s="53">
        <v>0</v>
      </c>
      <c r="AO21" s="53"/>
    </row>
    <row r="22" spans="1:41" ht="14.25" x14ac:dyDescent="0.2">
      <c r="A22" s="146" t="s">
        <v>45</v>
      </c>
      <c r="B22" s="140">
        <v>1950.2929999999999</v>
      </c>
      <c r="C22" s="53">
        <v>1911.38</v>
      </c>
      <c r="D22" s="53">
        <v>1640.711</v>
      </c>
      <c r="E22" s="53">
        <v>1698.0540000000001</v>
      </c>
      <c r="F22" s="53">
        <v>1694.6030000000001</v>
      </c>
      <c r="G22" s="53">
        <v>1620.24</v>
      </c>
      <c r="H22" s="53">
        <v>1661.9359999999999</v>
      </c>
      <c r="I22" s="53">
        <v>1681.961</v>
      </c>
      <c r="J22" s="53">
        <v>1803.9929999999999</v>
      </c>
      <c r="K22" s="53">
        <v>1907.2639999999999</v>
      </c>
      <c r="L22" s="53">
        <v>1924.0630000000001</v>
      </c>
      <c r="M22" s="53">
        <v>2000.106</v>
      </c>
      <c r="N22" s="53">
        <v>2034.1869999999999</v>
      </c>
      <c r="O22" s="53">
        <v>2093.1329999999998</v>
      </c>
      <c r="P22" s="53">
        <v>2090.02</v>
      </c>
      <c r="Q22" s="53">
        <v>2088.8270000000002</v>
      </c>
      <c r="R22" s="53">
        <v>2162.8240000000001</v>
      </c>
      <c r="S22" s="53">
        <f t="shared" si="26"/>
        <v>2190.5940000000001</v>
      </c>
      <c r="T22" s="53">
        <v>2190.5940000000001</v>
      </c>
      <c r="U22" s="53">
        <v>2281.194</v>
      </c>
      <c r="V22" s="53">
        <v>2400.3249999999998</v>
      </c>
      <c r="W22" s="53">
        <v>2486.5279999999998</v>
      </c>
      <c r="X22" s="53">
        <v>2575.9879999999998</v>
      </c>
      <c r="Y22" s="53">
        <v>2664.1930000000002</v>
      </c>
      <c r="Z22" s="53">
        <v>2780.7280000000001</v>
      </c>
      <c r="AA22" s="53">
        <v>2916.1579999999999</v>
      </c>
      <c r="AB22" s="53">
        <v>3049.973</v>
      </c>
      <c r="AC22" s="53">
        <v>3187.2130000000002</v>
      </c>
      <c r="AD22" s="53">
        <v>3353.9360000000001</v>
      </c>
      <c r="AE22" s="53">
        <v>3521.8649999999998</v>
      </c>
      <c r="AF22" s="53">
        <v>3686.24</v>
      </c>
      <c r="AG22" s="53">
        <v>3822.6309999999999</v>
      </c>
      <c r="AH22" s="53">
        <v>3917.5120000000002</v>
      </c>
      <c r="AI22" s="53">
        <v>3929.797</v>
      </c>
      <c r="AJ22" s="53">
        <v>3926.873</v>
      </c>
      <c r="AK22" s="53">
        <v>3884.509</v>
      </c>
      <c r="AL22" s="53">
        <v>3986</v>
      </c>
      <c r="AM22" s="53">
        <v>4013</v>
      </c>
      <c r="AN22" s="53">
        <v>4212</v>
      </c>
      <c r="AO22" s="53"/>
    </row>
    <row r="23" spans="1:41" ht="14.25" x14ac:dyDescent="0.2">
      <c r="A23" s="146" t="s">
        <v>170</v>
      </c>
      <c r="B23" s="140">
        <v>34.679000000000002</v>
      </c>
      <c r="C23" s="53">
        <v>158.18700000000001</v>
      </c>
      <c r="D23" s="53">
        <v>153.60400000000001</v>
      </c>
      <c r="E23" s="53">
        <v>146.239</v>
      </c>
      <c r="F23" s="53">
        <v>138.03700000000001</v>
      </c>
      <c r="G23" s="53">
        <v>129.047</v>
      </c>
      <c r="H23" s="53">
        <v>185.357</v>
      </c>
      <c r="I23" s="53">
        <v>181.828</v>
      </c>
      <c r="J23" s="53">
        <v>478.63299999999998</v>
      </c>
      <c r="K23" s="53">
        <v>521.43799999999999</v>
      </c>
      <c r="L23" s="53">
        <v>510.75700000000001</v>
      </c>
      <c r="M23" s="53">
        <v>527.47699999999998</v>
      </c>
      <c r="N23" s="53">
        <v>556.678</v>
      </c>
      <c r="O23" s="53">
        <v>566.68299999999999</v>
      </c>
      <c r="P23" s="53">
        <v>545.60299999999995</v>
      </c>
      <c r="Q23" s="53">
        <v>526.37599999999998</v>
      </c>
      <c r="R23" s="53">
        <v>549.41099999999994</v>
      </c>
      <c r="S23" s="53">
        <f t="shared" si="26"/>
        <v>543.779</v>
      </c>
      <c r="T23" s="53">
        <v>543.779</v>
      </c>
      <c r="U23" s="53">
        <v>698.82899999999995</v>
      </c>
      <c r="V23" s="53">
        <v>833.17700000000002</v>
      </c>
      <c r="W23" s="53">
        <v>778.41399999999999</v>
      </c>
      <c r="X23" s="53">
        <v>746.30499999999995</v>
      </c>
      <c r="Y23" s="53">
        <v>754.63900000000001</v>
      </c>
      <c r="Z23" s="53">
        <v>730.49</v>
      </c>
      <c r="AA23" s="53">
        <v>737.60599999999999</v>
      </c>
      <c r="AB23" s="53">
        <v>741.38</v>
      </c>
      <c r="AC23" s="53">
        <v>767.54</v>
      </c>
      <c r="AD23" s="53">
        <v>768.69</v>
      </c>
      <c r="AE23" s="53">
        <v>781.89599999999996</v>
      </c>
      <c r="AF23" s="53">
        <v>791.17399999999998</v>
      </c>
      <c r="AG23" s="53">
        <v>820.33399999999995</v>
      </c>
      <c r="AH23" s="53">
        <v>824.71699999999998</v>
      </c>
      <c r="AI23" s="53">
        <v>733.29300000000001</v>
      </c>
      <c r="AJ23" s="53">
        <v>802.92</v>
      </c>
      <c r="AK23" s="53">
        <v>806.05100000000004</v>
      </c>
      <c r="AL23" s="53">
        <v>1028</v>
      </c>
      <c r="AM23" s="53">
        <v>1031</v>
      </c>
      <c r="AN23" s="53">
        <v>1185</v>
      </c>
      <c r="AO23" s="53"/>
    </row>
    <row r="24" spans="1:41" x14ac:dyDescent="0.2">
      <c r="A24" s="148" t="s">
        <v>46</v>
      </c>
      <c r="B24" s="149">
        <f>B5+B14</f>
        <v>3307.357</v>
      </c>
      <c r="C24" s="149">
        <f>C5+C14</f>
        <v>3356.0450000000001</v>
      </c>
      <c r="D24" s="149">
        <f t="shared" ref="D24:O24" si="27">D5+D14</f>
        <v>2940.3960000000002</v>
      </c>
      <c r="E24" s="149">
        <f t="shared" si="27"/>
        <v>2993.4450000000002</v>
      </c>
      <c r="F24" s="149">
        <f t="shared" si="27"/>
        <v>2991.1580000000004</v>
      </c>
      <c r="G24" s="149">
        <f t="shared" si="27"/>
        <v>3062.2719999999999</v>
      </c>
      <c r="H24" s="149">
        <f t="shared" si="27"/>
        <v>3323.942</v>
      </c>
      <c r="I24" s="149">
        <f t="shared" si="27"/>
        <v>3615.6909999999998</v>
      </c>
      <c r="J24" s="149">
        <f t="shared" si="27"/>
        <v>4689.9429999999993</v>
      </c>
      <c r="K24" s="149">
        <f t="shared" si="27"/>
        <v>5737.7420000000002</v>
      </c>
      <c r="L24" s="149">
        <f t="shared" si="27"/>
        <v>5621.1880000000001</v>
      </c>
      <c r="M24" s="149">
        <f t="shared" si="27"/>
        <v>5672.8389999999999</v>
      </c>
      <c r="N24" s="149">
        <f t="shared" si="27"/>
        <v>6115.7209999999995</v>
      </c>
      <c r="O24" s="149">
        <f t="shared" si="27"/>
        <v>5907.5889999999999</v>
      </c>
      <c r="P24" s="149">
        <f t="shared" ref="P24:U24" si="28">P5+P14</f>
        <v>6127.6810000000005</v>
      </c>
      <c r="Q24" s="149">
        <f t="shared" si="28"/>
        <v>5736.9060000000009</v>
      </c>
      <c r="R24" s="149">
        <f t="shared" si="28"/>
        <v>5935.2579999999998</v>
      </c>
      <c r="S24" s="149">
        <f t="shared" si="28"/>
        <v>6388.1440000000002</v>
      </c>
      <c r="T24" s="149">
        <f t="shared" si="28"/>
        <v>6388.1440000000002</v>
      </c>
      <c r="U24" s="149">
        <f t="shared" si="28"/>
        <v>6722.4760000000006</v>
      </c>
      <c r="V24" s="149">
        <f t="shared" ref="V24:AB24" si="29">V5+V14</f>
        <v>7149.2629999999999</v>
      </c>
      <c r="W24" s="149">
        <f t="shared" si="29"/>
        <v>7269.7029999999995</v>
      </c>
      <c r="X24" s="149">
        <f t="shared" si="29"/>
        <v>7283.098</v>
      </c>
      <c r="Y24" s="149">
        <f t="shared" si="29"/>
        <v>7455.018</v>
      </c>
      <c r="Z24" s="149">
        <f t="shared" si="29"/>
        <v>7557.7020000000002</v>
      </c>
      <c r="AA24" s="149">
        <f t="shared" si="29"/>
        <v>7652.1949999999997</v>
      </c>
      <c r="AB24" s="149">
        <f t="shared" si="29"/>
        <v>7746.7820000000002</v>
      </c>
      <c r="AC24" s="149">
        <f t="shared" ref="AC24:AH24" si="30">AC5+AC14</f>
        <v>7665.4879999999994</v>
      </c>
      <c r="AD24" s="149">
        <f t="shared" si="30"/>
        <v>7755.5649999999996</v>
      </c>
      <c r="AE24" s="149">
        <f t="shared" si="30"/>
        <v>7798.8779999999997</v>
      </c>
      <c r="AF24" s="149">
        <f t="shared" si="30"/>
        <v>7973.4850000000006</v>
      </c>
      <c r="AG24" s="149">
        <f t="shared" si="30"/>
        <v>8344.3260000000009</v>
      </c>
      <c r="AH24" s="149">
        <f t="shared" si="30"/>
        <v>8436.1489999999994</v>
      </c>
      <c r="AI24" s="149">
        <f t="shared" ref="AI24:AN24" si="31">AI5+AI14</f>
        <v>8421.9639999999999</v>
      </c>
      <c r="AJ24" s="149">
        <f t="shared" si="31"/>
        <v>8347.5879999999997</v>
      </c>
      <c r="AK24" s="149">
        <f t="shared" si="31"/>
        <v>8140.1190000000006</v>
      </c>
      <c r="AL24" s="149">
        <f t="shared" si="31"/>
        <v>8192</v>
      </c>
      <c r="AM24" s="149">
        <f t="shared" si="31"/>
        <v>8194</v>
      </c>
      <c r="AN24" s="149">
        <f t="shared" si="31"/>
        <v>9077</v>
      </c>
      <c r="AO24" s="149"/>
    </row>
    <row r="25" spans="1:41" ht="5.25" customHeight="1" x14ac:dyDescent="0.2">
      <c r="A25" s="63"/>
      <c r="B25" s="65"/>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row>
    <row r="26" spans="1:41" x14ac:dyDescent="0.2">
      <c r="A26" s="148" t="s">
        <v>47</v>
      </c>
      <c r="B26" s="149">
        <f>B27+B28+B30+B31+B32+B33</f>
        <v>913.14400000000001</v>
      </c>
      <c r="C26" s="149">
        <f t="shared" ref="C26:P26" si="32">C27+C28+C30+C31+C32+C33</f>
        <v>1004.6560000000001</v>
      </c>
      <c r="D26" s="149">
        <f t="shared" si="32"/>
        <v>938.88299999999992</v>
      </c>
      <c r="E26" s="149">
        <f t="shared" si="32"/>
        <v>1060.979</v>
      </c>
      <c r="F26" s="149">
        <f t="shared" si="32"/>
        <v>1092.3230000000001</v>
      </c>
      <c r="G26" s="149">
        <f t="shared" si="32"/>
        <v>927.28800000000001</v>
      </c>
      <c r="H26" s="149">
        <f t="shared" si="32"/>
        <v>897.13000000000011</v>
      </c>
      <c r="I26" s="149">
        <f t="shared" si="32"/>
        <v>954.26600000000008</v>
      </c>
      <c r="J26" s="149">
        <f t="shared" si="32"/>
        <v>1540.7939999999999</v>
      </c>
      <c r="K26" s="149">
        <f t="shared" si="32"/>
        <v>1576.7430000000002</v>
      </c>
      <c r="L26" s="149">
        <f t="shared" si="32"/>
        <v>1605.317</v>
      </c>
      <c r="M26" s="149">
        <f t="shared" si="32"/>
        <v>1272.4569999999999</v>
      </c>
      <c r="N26" s="149">
        <f t="shared" si="32"/>
        <v>1201.2179999999998</v>
      </c>
      <c r="O26" s="149">
        <f t="shared" si="32"/>
        <v>1169.6170000000004</v>
      </c>
      <c r="P26" s="149">
        <f t="shared" si="32"/>
        <v>1229.8869999999999</v>
      </c>
      <c r="Q26" s="149">
        <f>Q27+Q28+Q30+Q31+Q33</f>
        <v>1111.9890000000003</v>
      </c>
      <c r="R26" s="149">
        <f>R27+R28+R30+R31+R33</f>
        <v>1122.2560000000001</v>
      </c>
      <c r="S26" s="149">
        <f>S27+S28+S30+S31+S33</f>
        <v>1296.1079999999999</v>
      </c>
      <c r="T26" s="149">
        <f>T27+T28+T30+T31+T33</f>
        <v>1296.1079999999999</v>
      </c>
      <c r="U26" s="149">
        <f>U27+U28+U30+U31+U32+U33</f>
        <v>1596.2639999999999</v>
      </c>
      <c r="V26" s="149">
        <f>V27+V28+V30+V31+V32+V33</f>
        <v>1709.3719999999998</v>
      </c>
      <c r="W26" s="149">
        <f>W27+W28+W30+W31+W32+W33</f>
        <v>2490.5350000000003</v>
      </c>
      <c r="X26" s="149">
        <f>X27+X28+X30+X31+X33</f>
        <v>1753.5229999999999</v>
      </c>
      <c r="Y26" s="149">
        <f>Y27+Y28+Y30+Y31+Y32+Y33</f>
        <v>1846.8520000000001</v>
      </c>
      <c r="Z26" s="149">
        <f>Z27+Z28+Z30+Z31+Z32+Z33</f>
        <v>1647.1880000000001</v>
      </c>
      <c r="AA26" s="149">
        <f>AA27+AA28+AA30+AA31+AA32+AA33</f>
        <v>1692.7840000000001</v>
      </c>
      <c r="AB26" s="149">
        <f>AB27+AB28+AB30+AB31+AB33</f>
        <v>1926.1349999999998</v>
      </c>
      <c r="AC26" s="149">
        <f>AC27+AC28+AC30+AC31+AC32+AC33</f>
        <v>1988.048</v>
      </c>
      <c r="AD26" s="149">
        <f>AD27+AD28+AD30+AD31+AD32+AD33</f>
        <v>2094.5640000000003</v>
      </c>
      <c r="AE26" s="149">
        <f>AE27+AE28+AE30+AE31+AE32+AE33</f>
        <v>2148.9980000000005</v>
      </c>
      <c r="AF26" s="149">
        <f>AF27+AF28+AF30+AF31+AF33</f>
        <v>1960.0409999999999</v>
      </c>
      <c r="AG26" s="149">
        <f>AG27+AG28+AG30+AG31+AG32+AG33</f>
        <v>2293.13</v>
      </c>
      <c r="AH26" s="149">
        <f>AH27+AH28+AH30+AH31+AH32+AH33</f>
        <v>2200.21</v>
      </c>
      <c r="AI26" s="149">
        <f>AI27+AI28+AI30+AI31+AI32+AI33+58.547</f>
        <v>2161.335</v>
      </c>
      <c r="AJ26" s="149">
        <f>AJ27+AJ28+AJ30+AJ31+AJ33+50.702</f>
        <v>2002.8519999999999</v>
      </c>
      <c r="AK26" s="149">
        <f>AK27+AK28+AK30+AK31+AK32+AK33+5.854</f>
        <v>2195.518</v>
      </c>
      <c r="AL26" s="149">
        <f>AL27+AL28+AL30+AL31+AL32+AL33+18</f>
        <v>1811</v>
      </c>
      <c r="AM26" s="149">
        <f>AM27+AM28+AM30+AM31+AM32+AM33+16</f>
        <v>1660</v>
      </c>
      <c r="AN26" s="149">
        <f>AN27+AN28+AN30+AN31+AN33+26</f>
        <v>2046</v>
      </c>
      <c r="AO26" s="149"/>
    </row>
    <row r="27" spans="1:41" ht="25.5" x14ac:dyDescent="0.2">
      <c r="A27" s="146" t="s">
        <v>171</v>
      </c>
      <c r="B27" s="140">
        <v>453.31799999999998</v>
      </c>
      <c r="C27" s="53">
        <v>552.10500000000002</v>
      </c>
      <c r="D27" s="53">
        <v>535.16</v>
      </c>
      <c r="E27" s="53">
        <v>599.84500000000003</v>
      </c>
      <c r="F27" s="53">
        <v>558.94500000000005</v>
      </c>
      <c r="G27" s="53">
        <v>340.48500000000001</v>
      </c>
      <c r="H27" s="53">
        <v>239.28399999999999</v>
      </c>
      <c r="I27" s="53">
        <v>266.97300000000001</v>
      </c>
      <c r="J27" s="53">
        <v>622.70399999999995</v>
      </c>
      <c r="K27" s="53">
        <v>411.53300000000002</v>
      </c>
      <c r="L27" s="53">
        <v>382.57799999999997</v>
      </c>
      <c r="M27" s="53">
        <v>261.21100000000001</v>
      </c>
      <c r="N27" s="53">
        <v>160.03399999999999</v>
      </c>
      <c r="O27" s="53">
        <v>103.95100000000042</v>
      </c>
      <c r="P27" s="53">
        <v>38.045000000000002</v>
      </c>
      <c r="Q27" s="53">
        <v>18.648</v>
      </c>
      <c r="R27" s="53">
        <v>26.22</v>
      </c>
      <c r="S27" s="53">
        <f>T27</f>
        <v>53.017000000000003</v>
      </c>
      <c r="T27" s="53">
        <v>53.017000000000003</v>
      </c>
      <c r="U27" s="53">
        <v>183.077</v>
      </c>
      <c r="V27" s="53">
        <v>341.94600000000003</v>
      </c>
      <c r="W27" s="53">
        <v>1138.3330000000001</v>
      </c>
      <c r="X27" s="53">
        <v>367.14800000000002</v>
      </c>
      <c r="Y27" s="53">
        <v>248.048</v>
      </c>
      <c r="Z27" s="53">
        <v>380.94400000000002</v>
      </c>
      <c r="AA27" s="53">
        <v>429.27600000000001</v>
      </c>
      <c r="AB27" s="53">
        <v>603.80499999999995</v>
      </c>
      <c r="AC27" s="53">
        <f>570.589</f>
        <v>570.58900000000006</v>
      </c>
      <c r="AD27" s="53">
        <v>814.25400000000002</v>
      </c>
      <c r="AE27" s="53">
        <v>864.17600000000004</v>
      </c>
      <c r="AF27" s="53">
        <v>718.28399999999999</v>
      </c>
      <c r="AG27" s="53">
        <v>881.13199999999995</v>
      </c>
      <c r="AH27" s="53">
        <v>858.67100000000005</v>
      </c>
      <c r="AI27" s="53">
        <v>815.30499999999995</v>
      </c>
      <c r="AJ27" s="53">
        <v>602.74900000000002</v>
      </c>
      <c r="AK27" s="53">
        <f>797.807</f>
        <v>797.80700000000002</v>
      </c>
      <c r="AL27" s="53">
        <v>559</v>
      </c>
      <c r="AM27" s="53">
        <v>501</v>
      </c>
      <c r="AN27" s="53">
        <f>673</f>
        <v>673</v>
      </c>
      <c r="AO27" s="53"/>
    </row>
    <row r="28" spans="1:41" ht="14.25" x14ac:dyDescent="0.2">
      <c r="A28" s="146" t="s">
        <v>172</v>
      </c>
      <c r="B28" s="140">
        <v>215.316</v>
      </c>
      <c r="C28" s="53">
        <v>208.61500000000001</v>
      </c>
      <c r="D28" s="53">
        <v>176.90199999999999</v>
      </c>
      <c r="E28" s="53">
        <v>220.023</v>
      </c>
      <c r="F28" s="53">
        <v>244.05</v>
      </c>
      <c r="G28" s="53">
        <v>267.49200000000002</v>
      </c>
      <c r="H28" s="53">
        <v>288.77199999999999</v>
      </c>
      <c r="I28" s="53">
        <v>315.94499999999999</v>
      </c>
      <c r="J28" s="53">
        <v>428.26600000000002</v>
      </c>
      <c r="K28" s="53">
        <v>448.154</v>
      </c>
      <c r="L28" s="53">
        <v>372.53</v>
      </c>
      <c r="M28" s="53">
        <v>420.52199999999999</v>
      </c>
      <c r="N28" s="53">
        <v>430.24700000000001</v>
      </c>
      <c r="O28" s="53">
        <v>469.798</v>
      </c>
      <c r="P28" s="53">
        <v>453.35199999999998</v>
      </c>
      <c r="Q28" s="53">
        <v>499.54599999999999</v>
      </c>
      <c r="R28" s="53">
        <v>502.01100000000002</v>
      </c>
      <c r="S28" s="53">
        <f>T28</f>
        <v>521.25800000000004</v>
      </c>
      <c r="T28" s="53">
        <v>521.25800000000004</v>
      </c>
      <c r="U28" s="53">
        <v>571.15899999999999</v>
      </c>
      <c r="V28" s="53">
        <v>722.62099999999998</v>
      </c>
      <c r="W28" s="53">
        <v>671.56700000000001</v>
      </c>
      <c r="X28" s="53">
        <v>665.02800000000002</v>
      </c>
      <c r="Y28" s="53">
        <v>628.78899999999999</v>
      </c>
      <c r="Z28" s="53">
        <v>641.48099999999999</v>
      </c>
      <c r="AA28" s="53">
        <v>588.83799999999997</v>
      </c>
      <c r="AB28" s="53">
        <v>653.75699999999995</v>
      </c>
      <c r="AC28" s="53">
        <f>664.94</f>
        <v>664.94</v>
      </c>
      <c r="AD28" s="53">
        <v>707.13300000000004</v>
      </c>
      <c r="AE28" s="53">
        <v>653.70000000000005</v>
      </c>
      <c r="AF28" s="53">
        <v>669.10199999999998</v>
      </c>
      <c r="AG28" s="53">
        <v>659.98599999999999</v>
      </c>
      <c r="AH28" s="53">
        <v>639.149</v>
      </c>
      <c r="AI28" s="53">
        <v>563.43100000000004</v>
      </c>
      <c r="AJ28" s="53">
        <v>584.90899999999999</v>
      </c>
      <c r="AK28" s="53">
        <v>559.471</v>
      </c>
      <c r="AL28" s="53">
        <v>572</v>
      </c>
      <c r="AM28" s="53">
        <v>544</v>
      </c>
      <c r="AN28" s="53">
        <v>716</v>
      </c>
      <c r="AO28" s="53"/>
    </row>
    <row r="29" spans="1:41" x14ac:dyDescent="0.2">
      <c r="A29" s="147" t="s">
        <v>40</v>
      </c>
      <c r="B29" s="48" t="e">
        <f>B28/B2</f>
        <v>#REF!</v>
      </c>
      <c r="C29" s="48" t="e">
        <f t="shared" ref="C29:K29" si="33">C28/C2</f>
        <v>#REF!</v>
      </c>
      <c r="D29" s="48" t="e">
        <f t="shared" si="33"/>
        <v>#REF!</v>
      </c>
      <c r="E29" s="48" t="e">
        <f t="shared" si="33"/>
        <v>#REF!</v>
      </c>
      <c r="F29" s="48" t="e">
        <f t="shared" si="33"/>
        <v>#REF!</v>
      </c>
      <c r="G29" s="48" t="e">
        <f t="shared" si="33"/>
        <v>#REF!</v>
      </c>
      <c r="H29" s="48" t="e">
        <f t="shared" si="33"/>
        <v>#REF!</v>
      </c>
      <c r="I29" s="48" t="e">
        <f t="shared" si="33"/>
        <v>#REF!</v>
      </c>
      <c r="J29" s="48" t="e">
        <f t="shared" si="33"/>
        <v>#REF!</v>
      </c>
      <c r="K29" s="48" t="e">
        <f t="shared" si="33"/>
        <v>#REF!</v>
      </c>
      <c r="L29" s="48" t="e">
        <f>L28/(L2*4)</f>
        <v>#REF!</v>
      </c>
      <c r="M29" s="48" t="e">
        <f>M28/(M2*4)</f>
        <v>#REF!</v>
      </c>
      <c r="N29" s="48" t="e">
        <f>N28/(N2*4)</f>
        <v>#REF!</v>
      </c>
      <c r="O29" s="48" t="e">
        <f>O28/O2</f>
        <v>#REF!</v>
      </c>
      <c r="P29" s="48" t="e">
        <f>P28/(P2*4)</f>
        <v>#REF!</v>
      </c>
      <c r="Q29" s="48" t="e">
        <f>Q28/(Q2*4)</f>
        <v>#REF!</v>
      </c>
      <c r="R29" s="48" t="e">
        <f>R28/(R2*4)</f>
        <v>#REF!</v>
      </c>
      <c r="S29" s="48" t="e">
        <f>S28/(S2*4)</f>
        <v>#REF!</v>
      </c>
      <c r="T29" s="48" t="e">
        <f>T28/T2</f>
        <v>#REF!</v>
      </c>
      <c r="U29" s="48" t="e">
        <f t="shared" ref="U29:Z29" si="34">U28/(U2*4)</f>
        <v>#REF!</v>
      </c>
      <c r="V29" s="48" t="e">
        <f t="shared" si="34"/>
        <v>#REF!</v>
      </c>
      <c r="W29" s="48" t="e">
        <f t="shared" si="34"/>
        <v>#REF!</v>
      </c>
      <c r="X29" s="48" t="e">
        <f t="shared" si="34"/>
        <v>#REF!</v>
      </c>
      <c r="Y29" s="48" t="e">
        <f t="shared" si="34"/>
        <v>#REF!</v>
      </c>
      <c r="Z29" s="48" t="e">
        <f t="shared" si="34"/>
        <v>#REF!</v>
      </c>
      <c r="AA29" s="48" t="e">
        <f t="shared" ref="AA29:AH29" si="35">AA28/(AA2*4)</f>
        <v>#REF!</v>
      </c>
      <c r="AB29" s="48" t="e">
        <f t="shared" si="35"/>
        <v>#REF!</v>
      </c>
      <c r="AC29" s="48" t="e">
        <f t="shared" si="35"/>
        <v>#REF!</v>
      </c>
      <c r="AD29" s="48" t="e">
        <f t="shared" si="35"/>
        <v>#REF!</v>
      </c>
      <c r="AE29" s="48" t="e">
        <f t="shared" si="35"/>
        <v>#REF!</v>
      </c>
      <c r="AF29" s="48" t="e">
        <f t="shared" si="35"/>
        <v>#REF!</v>
      </c>
      <c r="AG29" s="48" t="e">
        <f t="shared" si="35"/>
        <v>#REF!</v>
      </c>
      <c r="AH29" s="48" t="e">
        <f t="shared" si="35"/>
        <v>#REF!</v>
      </c>
      <c r="AI29" s="48" t="e">
        <f t="shared" ref="AI29:AN29" si="36">AI28/(AI2*4)</f>
        <v>#REF!</v>
      </c>
      <c r="AJ29" s="48" t="e">
        <f t="shared" si="36"/>
        <v>#REF!</v>
      </c>
      <c r="AK29" s="48" t="e">
        <f t="shared" si="36"/>
        <v>#REF!</v>
      </c>
      <c r="AL29" s="48" t="e">
        <f t="shared" si="36"/>
        <v>#REF!</v>
      </c>
      <c r="AM29" s="48" t="e">
        <f t="shared" si="36"/>
        <v>#REF!</v>
      </c>
      <c r="AN29" s="48" t="e">
        <f t="shared" si="36"/>
        <v>#REF!</v>
      </c>
      <c r="AO29" s="48"/>
    </row>
    <row r="30" spans="1:41" ht="14.25" x14ac:dyDescent="0.2">
      <c r="A30" s="146" t="s">
        <v>173</v>
      </c>
      <c r="B30" s="140">
        <v>0</v>
      </c>
      <c r="C30" s="53">
        <v>0</v>
      </c>
      <c r="D30" s="53">
        <v>0</v>
      </c>
      <c r="E30" s="53">
        <v>0</v>
      </c>
      <c r="F30" s="53">
        <v>0</v>
      </c>
      <c r="G30" s="53">
        <v>0</v>
      </c>
      <c r="H30" s="53">
        <v>0</v>
      </c>
      <c r="I30" s="53">
        <v>0</v>
      </c>
      <c r="J30" s="53">
        <v>26.146999999999998</v>
      </c>
      <c r="K30" s="53">
        <v>19.518999999999998</v>
      </c>
      <c r="L30" s="53">
        <v>15.95</v>
      </c>
      <c r="M30" s="53">
        <v>17.347000000000001</v>
      </c>
      <c r="N30" s="53">
        <v>18.952999999999999</v>
      </c>
      <c r="O30" s="53">
        <v>22.114999999999998</v>
      </c>
      <c r="P30" s="53">
        <v>32.662999999999997</v>
      </c>
      <c r="Q30" s="53">
        <v>33.628</v>
      </c>
      <c r="R30" s="53">
        <v>33.915999999999997</v>
      </c>
      <c r="S30" s="53">
        <f>T30</f>
        <v>55.036999999999999</v>
      </c>
      <c r="T30" s="53">
        <v>55.036999999999999</v>
      </c>
      <c r="U30" s="53">
        <v>57.808999999999997</v>
      </c>
      <c r="V30" s="53">
        <v>67.921999999999997</v>
      </c>
      <c r="W30" s="53">
        <v>76.629000000000005</v>
      </c>
      <c r="X30" s="53">
        <v>47.177999999999997</v>
      </c>
      <c r="Y30" s="53">
        <v>43.420999999999999</v>
      </c>
      <c r="Z30" s="53">
        <v>45.468000000000004</v>
      </c>
      <c r="AA30" s="53">
        <v>42.277000000000001</v>
      </c>
      <c r="AB30" s="53">
        <v>41.177</v>
      </c>
      <c r="AC30" s="53">
        <f>39.906</f>
        <v>39.905999999999999</v>
      </c>
      <c r="AD30" s="53">
        <v>43.101999999999997</v>
      </c>
      <c r="AE30" s="53">
        <v>40.363</v>
      </c>
      <c r="AF30" s="53">
        <v>38.484999999999999</v>
      </c>
      <c r="AG30" s="53">
        <v>39.58</v>
      </c>
      <c r="AH30" s="53">
        <v>37.548999999999999</v>
      </c>
      <c r="AI30" s="53">
        <v>30.588999999999999</v>
      </c>
      <c r="AJ30" s="53">
        <v>35.118000000000002</v>
      </c>
      <c r="AK30" s="53">
        <v>32.902000000000001</v>
      </c>
      <c r="AL30" s="53">
        <v>38</v>
      </c>
      <c r="AM30" s="53">
        <v>42</v>
      </c>
      <c r="AN30" s="53">
        <v>45</v>
      </c>
      <c r="AO30" s="53"/>
    </row>
    <row r="31" spans="1:41" ht="14.25" x14ac:dyDescent="0.2">
      <c r="A31" s="146" t="s">
        <v>49</v>
      </c>
      <c r="B31" s="140">
        <v>244.51</v>
      </c>
      <c r="C31" s="53">
        <v>243.93600000000001</v>
      </c>
      <c r="D31" s="53">
        <v>226.821</v>
      </c>
      <c r="E31" s="53">
        <v>241.11099999999999</v>
      </c>
      <c r="F31" s="53">
        <v>289.32799999999997</v>
      </c>
      <c r="G31" s="53">
        <v>319.31099999999998</v>
      </c>
      <c r="H31" s="53">
        <v>369.07400000000001</v>
      </c>
      <c r="I31" s="53">
        <v>371.34800000000001</v>
      </c>
      <c r="J31" s="53">
        <v>401.67700000000002</v>
      </c>
      <c r="K31" s="53">
        <v>651.09900000000005</v>
      </c>
      <c r="L31" s="53">
        <v>618.86400000000003</v>
      </c>
      <c r="M31" s="53">
        <v>513.45299999999997</v>
      </c>
      <c r="N31" s="53">
        <v>562.75599999999997</v>
      </c>
      <c r="O31" s="53">
        <v>504.03</v>
      </c>
      <c r="P31" s="53">
        <v>528.13800000000003</v>
      </c>
      <c r="Q31" s="53">
        <v>536.49800000000005</v>
      </c>
      <c r="R31" s="53">
        <v>532.24599999999998</v>
      </c>
      <c r="S31" s="53">
        <f>T31</f>
        <v>625.36900000000003</v>
      </c>
      <c r="T31" s="53">
        <v>625.36900000000003</v>
      </c>
      <c r="U31" s="53">
        <v>568.14099999999996</v>
      </c>
      <c r="V31" s="53">
        <v>495.98399999999998</v>
      </c>
      <c r="W31" s="53">
        <v>532.56299999999999</v>
      </c>
      <c r="X31" s="53">
        <v>629.38499999999999</v>
      </c>
      <c r="Y31" s="53">
        <v>629.50800000000004</v>
      </c>
      <c r="Z31" s="53">
        <v>551.78399999999999</v>
      </c>
      <c r="AA31" s="53">
        <v>598.60500000000002</v>
      </c>
      <c r="AB31" s="53">
        <v>594.99900000000002</v>
      </c>
      <c r="AC31" s="53">
        <f>536.979</f>
        <v>536.97900000000004</v>
      </c>
      <c r="AD31" s="53">
        <v>485.94099999999997</v>
      </c>
      <c r="AE31" s="53">
        <v>491.584</v>
      </c>
      <c r="AF31" s="53">
        <v>500.45299999999997</v>
      </c>
      <c r="AG31" s="53">
        <v>538.476</v>
      </c>
      <c r="AH31" s="53">
        <v>623.14099999999996</v>
      </c>
      <c r="AI31" s="53">
        <v>654.95100000000002</v>
      </c>
      <c r="AJ31" s="53">
        <v>692.91300000000001</v>
      </c>
      <c r="AK31" s="53">
        <v>655.24300000000005</v>
      </c>
      <c r="AL31" s="53">
        <v>531</v>
      </c>
      <c r="AM31" s="53">
        <v>474</v>
      </c>
      <c r="AN31" s="53">
        <v>524</v>
      </c>
      <c r="AO31" s="53"/>
    </row>
    <row r="32" spans="1:41" ht="14.25" x14ac:dyDescent="0.2">
      <c r="A32" s="146" t="s">
        <v>50</v>
      </c>
      <c r="B32" s="140"/>
      <c r="C32" s="53"/>
      <c r="D32" s="53"/>
      <c r="E32" s="53"/>
      <c r="F32" s="53"/>
      <c r="G32" s="53"/>
      <c r="H32" s="53"/>
      <c r="I32" s="53"/>
      <c r="J32" s="53"/>
      <c r="K32" s="53"/>
      <c r="L32" s="53">
        <v>174.69200000000001</v>
      </c>
      <c r="M32" s="53">
        <v>0</v>
      </c>
      <c r="N32" s="53">
        <v>0</v>
      </c>
      <c r="O32" s="53">
        <v>0</v>
      </c>
      <c r="P32" s="53">
        <v>154.72900000000001</v>
      </c>
      <c r="Q32" s="53">
        <v>0</v>
      </c>
      <c r="R32" s="53">
        <v>0</v>
      </c>
      <c r="S32" s="53">
        <f>T32</f>
        <v>169.703</v>
      </c>
      <c r="T32" s="53">
        <v>169.703</v>
      </c>
      <c r="U32" s="53">
        <v>169.703</v>
      </c>
      <c r="V32" s="53">
        <v>0</v>
      </c>
      <c r="W32" s="53">
        <v>0</v>
      </c>
      <c r="X32" s="53">
        <f>AO32</f>
        <v>0</v>
      </c>
      <c r="Y32" s="53">
        <v>259.54700000000003</v>
      </c>
      <c r="Z32" s="53">
        <v>0</v>
      </c>
      <c r="AA32" s="53">
        <v>0</v>
      </c>
      <c r="AB32" s="53">
        <v>0</v>
      </c>
      <c r="AC32" s="53">
        <f>146.744</f>
        <v>146.744</v>
      </c>
      <c r="AD32" s="53">
        <v>0</v>
      </c>
      <c r="AE32" s="53">
        <v>0</v>
      </c>
      <c r="AF32" s="53">
        <v>0</v>
      </c>
      <c r="AG32" s="53">
        <v>82.855000000000004</v>
      </c>
      <c r="AH32" s="53">
        <v>0</v>
      </c>
      <c r="AI32" s="53">
        <v>0</v>
      </c>
      <c r="AJ32" s="53">
        <v>0</v>
      </c>
      <c r="AK32" s="53">
        <v>59.5</v>
      </c>
      <c r="AL32" s="53">
        <v>0</v>
      </c>
      <c r="AM32" s="53">
        <v>0</v>
      </c>
      <c r="AN32" s="53">
        <v>0</v>
      </c>
      <c r="AO32" s="53"/>
    </row>
    <row r="33" spans="1:47" ht="14.25" x14ac:dyDescent="0.2">
      <c r="A33" s="146" t="s">
        <v>174</v>
      </c>
      <c r="B33" s="140">
        <v>0</v>
      </c>
      <c r="C33" s="53">
        <v>0</v>
      </c>
      <c r="D33" s="53">
        <v>0</v>
      </c>
      <c r="E33" s="53">
        <v>0</v>
      </c>
      <c r="F33" s="53">
        <v>0</v>
      </c>
      <c r="G33" s="53">
        <v>0</v>
      </c>
      <c r="H33" s="53">
        <v>0</v>
      </c>
      <c r="I33" s="53">
        <v>0</v>
      </c>
      <c r="J33" s="53">
        <v>62</v>
      </c>
      <c r="K33" s="53">
        <v>46.438000000000002</v>
      </c>
      <c r="L33" s="53">
        <v>40.703000000000003</v>
      </c>
      <c r="M33" s="53">
        <v>59.923999999999999</v>
      </c>
      <c r="N33" s="53">
        <v>29.228000000000002</v>
      </c>
      <c r="O33" s="53">
        <v>69.722999999999999</v>
      </c>
      <c r="P33" s="53">
        <v>22.96</v>
      </c>
      <c r="Q33" s="53">
        <v>23.669</v>
      </c>
      <c r="R33" s="53">
        <v>27.863</v>
      </c>
      <c r="S33" s="53">
        <f>T33</f>
        <v>41.427</v>
      </c>
      <c r="T33" s="53">
        <v>41.427</v>
      </c>
      <c r="U33" s="53">
        <v>46.375</v>
      </c>
      <c r="V33" s="53">
        <v>80.899000000000001</v>
      </c>
      <c r="W33" s="53">
        <v>71.442999999999998</v>
      </c>
      <c r="X33" s="53">
        <v>44.783999999999999</v>
      </c>
      <c r="Y33" s="53">
        <v>37.539000000000001</v>
      </c>
      <c r="Z33" s="53">
        <v>27.510999999999999</v>
      </c>
      <c r="AA33" s="53">
        <v>33.787999999999997</v>
      </c>
      <c r="AB33" s="53">
        <v>32.396999999999998</v>
      </c>
      <c r="AC33" s="53">
        <v>28.89</v>
      </c>
      <c r="AD33" s="53">
        <v>44.134</v>
      </c>
      <c r="AE33" s="53">
        <v>99.174999999999997</v>
      </c>
      <c r="AF33" s="53">
        <v>33.716999999999999</v>
      </c>
      <c r="AG33" s="53">
        <v>91.100999999999999</v>
      </c>
      <c r="AH33" s="53">
        <v>41.7</v>
      </c>
      <c r="AI33" s="53">
        <v>38.512</v>
      </c>
      <c r="AJ33" s="53">
        <v>36.460999999999999</v>
      </c>
      <c r="AK33" s="53">
        <v>84.741</v>
      </c>
      <c r="AL33" s="53">
        <v>93</v>
      </c>
      <c r="AM33" s="53">
        <v>83</v>
      </c>
      <c r="AN33" s="53">
        <v>62</v>
      </c>
      <c r="AO33" s="53"/>
    </row>
    <row r="34" spans="1:47" x14ac:dyDescent="0.2">
      <c r="A34" s="148" t="s">
        <v>51</v>
      </c>
      <c r="B34" s="149">
        <f>SUM(B35:B39)</f>
        <v>1319.723</v>
      </c>
      <c r="C34" s="149">
        <f>SUM(C35:C39)</f>
        <v>1372.0729999999999</v>
      </c>
      <c r="D34" s="149">
        <f t="shared" ref="D34:P34" si="37">SUM(D35:D39)</f>
        <v>1178.2269999999999</v>
      </c>
      <c r="E34" s="149">
        <f t="shared" si="37"/>
        <v>980.8900000000001</v>
      </c>
      <c r="F34" s="149">
        <f t="shared" si="37"/>
        <v>871.35899999999992</v>
      </c>
      <c r="G34" s="149">
        <f t="shared" si="37"/>
        <v>910.57600000000002</v>
      </c>
      <c r="H34" s="149">
        <f t="shared" si="37"/>
        <v>926.32099999999991</v>
      </c>
      <c r="I34" s="149">
        <f t="shared" si="37"/>
        <v>918.02299999999991</v>
      </c>
      <c r="J34" s="149">
        <f t="shared" si="37"/>
        <v>1282.231</v>
      </c>
      <c r="K34" s="149">
        <f t="shared" si="37"/>
        <v>1650.0720000000001</v>
      </c>
      <c r="L34" s="149">
        <f t="shared" si="37"/>
        <v>1558.7250000000004</v>
      </c>
      <c r="M34" s="149">
        <f t="shared" si="37"/>
        <v>1821.7939999999999</v>
      </c>
      <c r="N34" s="149">
        <f t="shared" si="37"/>
        <v>2131.61</v>
      </c>
      <c r="O34" s="149">
        <f t="shared" si="37"/>
        <v>1943.1230000000005</v>
      </c>
      <c r="P34" s="149">
        <f t="shared" si="37"/>
        <v>2060.3429999999998</v>
      </c>
      <c r="Q34" s="149">
        <f t="shared" ref="Q34:W34" si="38">SUM(Q35:Q39)</f>
        <v>2217.348</v>
      </c>
      <c r="R34" s="149">
        <f t="shared" si="38"/>
        <v>2278.6660000000002</v>
      </c>
      <c r="S34" s="149">
        <f t="shared" si="38"/>
        <v>2281.1030000000001</v>
      </c>
      <c r="T34" s="149">
        <f t="shared" si="38"/>
        <v>2281.1030000000001</v>
      </c>
      <c r="U34" s="149">
        <f t="shared" si="38"/>
        <v>2316.9459999999999</v>
      </c>
      <c r="V34" s="149">
        <f t="shared" si="38"/>
        <v>2388.0100000000002</v>
      </c>
      <c r="W34" s="149">
        <f t="shared" si="38"/>
        <v>1679.3130000000001</v>
      </c>
      <c r="X34" s="149">
        <f t="shared" ref="X34:AC34" si="39">SUM(X35:X39)</f>
        <v>2424.681</v>
      </c>
      <c r="Y34" s="149">
        <f t="shared" si="39"/>
        <v>2434.25</v>
      </c>
      <c r="Z34" s="149">
        <f t="shared" si="39"/>
        <v>2601.3720000000003</v>
      </c>
      <c r="AA34" s="149">
        <f t="shared" si="39"/>
        <v>2492.2190000000001</v>
      </c>
      <c r="AB34" s="149">
        <f t="shared" si="39"/>
        <v>2420.643</v>
      </c>
      <c r="AC34" s="149">
        <f t="shared" si="39"/>
        <v>2154.587</v>
      </c>
      <c r="AD34" s="149">
        <f t="shared" ref="AD34:AJ34" si="40">SUM(AD35:AD39)</f>
        <v>2001.0650000000005</v>
      </c>
      <c r="AE34" s="149">
        <f t="shared" si="40"/>
        <v>2071.7060000000001</v>
      </c>
      <c r="AF34" s="149">
        <f t="shared" si="40"/>
        <v>2334.77</v>
      </c>
      <c r="AG34" s="149">
        <f t="shared" si="40"/>
        <v>2844.0479999999998</v>
      </c>
      <c r="AH34" s="149">
        <f t="shared" si="40"/>
        <v>3080.107</v>
      </c>
      <c r="AI34" s="149">
        <f t="shared" si="40"/>
        <v>3142.2550000000001</v>
      </c>
      <c r="AJ34" s="149">
        <f t="shared" si="40"/>
        <v>3344.5099999999998</v>
      </c>
      <c r="AK34" s="149">
        <f>SUM(AK35:AK39)</f>
        <v>3030.3409999999999</v>
      </c>
      <c r="AL34" s="149">
        <f>SUM(AL35:AL39)</f>
        <v>3377</v>
      </c>
      <c r="AM34" s="149">
        <f>SUM(AM35:AM39)</f>
        <v>3503</v>
      </c>
      <c r="AN34" s="149">
        <f>SUM(AN35:AN39)</f>
        <v>3843</v>
      </c>
      <c r="AO34" s="149"/>
      <c r="AP34" s="386">
        <f>633</f>
        <v>633</v>
      </c>
    </row>
    <row r="35" spans="1:47" ht="25.5" x14ac:dyDescent="0.2">
      <c r="A35" s="146" t="s">
        <v>67</v>
      </c>
      <c r="B35" s="140">
        <v>983.44299999999998</v>
      </c>
      <c r="C35" s="53">
        <v>989.25099999999998</v>
      </c>
      <c r="D35" s="53">
        <v>844.70799999999997</v>
      </c>
      <c r="E35" s="53">
        <v>610.54100000000005</v>
      </c>
      <c r="F35" s="53">
        <v>475.23399999999998</v>
      </c>
      <c r="G35" s="53">
        <v>449.59500000000003</v>
      </c>
      <c r="H35" s="53">
        <v>501.14699999999999</v>
      </c>
      <c r="I35" s="53">
        <v>483.39100000000002</v>
      </c>
      <c r="J35" s="53">
        <v>754.63</v>
      </c>
      <c r="K35" s="53">
        <v>1022.269</v>
      </c>
      <c r="L35" s="53">
        <f>870.748+87</f>
        <v>957.74800000000005</v>
      </c>
      <c r="M35" s="53">
        <f>891.073+263.256</f>
        <v>1154.329</v>
      </c>
      <c r="N35" s="53">
        <f>905.639+505.784</f>
        <v>1411.423</v>
      </c>
      <c r="O35" s="53">
        <v>1189.8710000000001</v>
      </c>
      <c r="P35" s="53">
        <f>800.065+508.161</f>
        <v>1308.2260000000001</v>
      </c>
      <c r="Q35" s="53">
        <f>958.295+495.01</f>
        <v>1453.3049999999998</v>
      </c>
      <c r="R35" s="53">
        <f>940.223+516.005</f>
        <v>1456.2280000000001</v>
      </c>
      <c r="S35" s="53">
        <f>T35</f>
        <v>1509.922</v>
      </c>
      <c r="T35" s="53">
        <f>981.194+528.728</f>
        <v>1509.922</v>
      </c>
      <c r="U35" s="53">
        <f>1009.484+517.228</f>
        <v>1526.712</v>
      </c>
      <c r="V35" s="53">
        <f>1046.794+526.353</f>
        <v>1573.1469999999999</v>
      </c>
      <c r="W35" s="53">
        <f>345.17+495.927</f>
        <v>841.09699999999998</v>
      </c>
      <c r="X35" s="53">
        <f>1072.207+485.47</f>
        <v>1557.6770000000001</v>
      </c>
      <c r="Y35" s="53">
        <f>1069.785+495.433</f>
        <v>1565.2180000000001</v>
      </c>
      <c r="Z35" s="53">
        <f>1205.79+478.011</f>
        <v>1683.8009999999999</v>
      </c>
      <c r="AA35" s="53">
        <f>1082.166+480.077</f>
        <v>1562.2429999999999</v>
      </c>
      <c r="AB35" s="53">
        <f>1195.433+228.708</f>
        <v>1424.1410000000001</v>
      </c>
      <c r="AC35" s="53">
        <f>944.861+231.349</f>
        <v>1176.21</v>
      </c>
      <c r="AD35" s="53">
        <f>950.297+94.604</f>
        <v>1044.9010000000001</v>
      </c>
      <c r="AE35" s="53">
        <f>1019.457+95.236</f>
        <v>1114.693</v>
      </c>
      <c r="AF35" s="53">
        <f>1243.638+67</f>
        <v>1310.6379999999999</v>
      </c>
      <c r="AG35" s="53">
        <f>1549.03+275</f>
        <v>1824.03</v>
      </c>
      <c r="AH35" s="53">
        <f>1782.082+275</f>
        <v>2057.0820000000003</v>
      </c>
      <c r="AI35" s="53">
        <f>1812.451+275</f>
        <v>2087.451</v>
      </c>
      <c r="AJ35" s="53">
        <f>1239.494+1064.222</f>
        <v>2303.7159999999999</v>
      </c>
      <c r="AK35" s="53">
        <f>890.274+1064.415</f>
        <v>1954.6889999999999</v>
      </c>
      <c r="AL35" s="53">
        <f>1274+1065</f>
        <v>2339</v>
      </c>
      <c r="AM35" s="53">
        <f>1395+1065</f>
        <v>2460</v>
      </c>
      <c r="AN35" s="53">
        <v>2805</v>
      </c>
      <c r="AO35" s="53"/>
      <c r="AP35">
        <f>3330+250</f>
        <v>3580</v>
      </c>
    </row>
    <row r="36" spans="1:47" ht="14.25" x14ac:dyDescent="0.2">
      <c r="A36" s="146" t="s">
        <v>167</v>
      </c>
      <c r="B36" s="140">
        <v>0</v>
      </c>
      <c r="C36" s="53">
        <v>0</v>
      </c>
      <c r="D36" s="53">
        <v>0</v>
      </c>
      <c r="E36" s="53">
        <v>0</v>
      </c>
      <c r="F36" s="53">
        <v>0</v>
      </c>
      <c r="G36" s="53">
        <v>0</v>
      </c>
      <c r="H36" s="53">
        <v>0</v>
      </c>
      <c r="I36" s="53">
        <v>0</v>
      </c>
      <c r="J36" s="53">
        <v>1.734</v>
      </c>
      <c r="K36" s="53">
        <v>11.784000000000001</v>
      </c>
      <c r="L36" s="53">
        <v>16.844000000000001</v>
      </c>
      <c r="M36" s="53">
        <v>13.452999999999999</v>
      </c>
      <c r="N36" s="53">
        <v>15.606</v>
      </c>
      <c r="O36" s="53">
        <v>14.228</v>
      </c>
      <c r="P36" s="53">
        <v>13.811999999999999</v>
      </c>
      <c r="Q36" s="53">
        <v>28.077999999999999</v>
      </c>
      <c r="R36" s="53">
        <v>30.277000000000001</v>
      </c>
      <c r="S36" s="53">
        <f>T36</f>
        <v>24.07</v>
      </c>
      <c r="T36" s="53">
        <v>24.07</v>
      </c>
      <c r="U36" s="53">
        <v>23.433</v>
      </c>
      <c r="V36" s="53">
        <v>29.091999999999999</v>
      </c>
      <c r="W36" s="53">
        <v>29.64</v>
      </c>
      <c r="X36" s="53">
        <v>27.036999999999999</v>
      </c>
      <c r="Y36" s="53">
        <v>19.731000000000002</v>
      </c>
      <c r="Z36" s="53">
        <v>34.082000000000001</v>
      </c>
      <c r="AA36" s="53">
        <v>35.627000000000002</v>
      </c>
      <c r="AB36" s="53">
        <v>23.812000000000001</v>
      </c>
      <c r="AC36" s="53">
        <f>17.647</f>
        <v>17.646999999999998</v>
      </c>
      <c r="AD36" s="53">
        <v>9.2940000000000005</v>
      </c>
      <c r="AE36" s="53">
        <v>7.4219999999999997</v>
      </c>
      <c r="AF36" s="53">
        <v>6.5819999999999999</v>
      </c>
      <c r="AG36" s="53">
        <v>4.7839999999999998</v>
      </c>
      <c r="AH36" s="53">
        <v>6.7990000000000004</v>
      </c>
      <c r="AI36" s="53">
        <v>4.9279999999999999</v>
      </c>
      <c r="AJ36" s="53">
        <v>19.321000000000002</v>
      </c>
      <c r="AK36" s="53">
        <v>20.648</v>
      </c>
      <c r="AL36" s="53">
        <v>7</v>
      </c>
      <c r="AM36" s="53">
        <v>21</v>
      </c>
      <c r="AN36" s="53">
        <v>10</v>
      </c>
      <c r="AO36" s="53"/>
      <c r="AP36">
        <f>AP34/AP35</f>
        <v>0.17681564245810055</v>
      </c>
    </row>
    <row r="37" spans="1:47" ht="14.25" x14ac:dyDescent="0.2">
      <c r="A37" s="146" t="s">
        <v>173</v>
      </c>
      <c r="B37" s="140">
        <v>0</v>
      </c>
      <c r="C37" s="53">
        <v>0</v>
      </c>
      <c r="D37" s="53">
        <v>0</v>
      </c>
      <c r="E37" s="53">
        <v>0</v>
      </c>
      <c r="F37" s="53">
        <v>0</v>
      </c>
      <c r="G37" s="53">
        <v>28.38</v>
      </c>
      <c r="H37" s="53">
        <v>21.375</v>
      </c>
      <c r="I37" s="53">
        <v>24.989000000000001</v>
      </c>
      <c r="J37" s="53">
        <v>34.704000000000001</v>
      </c>
      <c r="K37" s="53">
        <v>63.396999999999998</v>
      </c>
      <c r="L37" s="53">
        <v>60.622</v>
      </c>
      <c r="M37" s="53">
        <v>65.09</v>
      </c>
      <c r="N37" s="53">
        <v>67.256</v>
      </c>
      <c r="O37" s="53">
        <v>106.919</v>
      </c>
      <c r="P37" s="53">
        <v>89.364999999999995</v>
      </c>
      <c r="Q37" s="53">
        <v>82.218000000000004</v>
      </c>
      <c r="R37" s="53">
        <v>96.031999999999996</v>
      </c>
      <c r="S37" s="53">
        <f>T37</f>
        <v>67.503</v>
      </c>
      <c r="T37" s="53">
        <v>67.503</v>
      </c>
      <c r="U37" s="53">
        <v>70.245000000000005</v>
      </c>
      <c r="V37" s="53">
        <v>79.894999999999996</v>
      </c>
      <c r="W37" s="53">
        <v>78.004999999999995</v>
      </c>
      <c r="X37" s="53">
        <v>79.581000000000003</v>
      </c>
      <c r="Y37" s="53">
        <v>79.147999999999996</v>
      </c>
      <c r="Z37" s="53">
        <v>79.171000000000006</v>
      </c>
      <c r="AA37" s="53">
        <v>78.894999999999996</v>
      </c>
      <c r="AB37" s="53">
        <v>78.418000000000006</v>
      </c>
      <c r="AC37" s="53">
        <v>69.823999999999998</v>
      </c>
      <c r="AD37" s="53">
        <v>69.111999999999995</v>
      </c>
      <c r="AE37" s="53">
        <v>71.037999999999997</v>
      </c>
      <c r="AF37" s="53">
        <v>94.57</v>
      </c>
      <c r="AG37" s="53">
        <v>94.581999999999994</v>
      </c>
      <c r="AH37" s="53">
        <v>100.524</v>
      </c>
      <c r="AI37" s="53">
        <v>100.11</v>
      </c>
      <c r="AJ37" s="53">
        <v>102.431</v>
      </c>
      <c r="AK37" s="53">
        <v>100.111</v>
      </c>
      <c r="AL37" s="53">
        <v>102</v>
      </c>
      <c r="AM37" s="53">
        <v>99</v>
      </c>
      <c r="AN37" s="53">
        <v>130</v>
      </c>
      <c r="AO37" s="53"/>
    </row>
    <row r="38" spans="1:47" ht="14.25" x14ac:dyDescent="0.2">
      <c r="A38" s="146" t="s">
        <v>175</v>
      </c>
      <c r="B38" s="140">
        <v>220.494</v>
      </c>
      <c r="C38" s="53">
        <v>252.83699999999999</v>
      </c>
      <c r="D38" s="53">
        <v>195.75700000000001</v>
      </c>
      <c r="E38" s="53">
        <v>220.167</v>
      </c>
      <c r="F38" s="53">
        <v>209.06700000000001</v>
      </c>
      <c r="G38" s="53">
        <v>192.38</v>
      </c>
      <c r="H38" s="53">
        <v>169.351</v>
      </c>
      <c r="I38" s="53">
        <v>168.39099999999999</v>
      </c>
      <c r="J38" s="53">
        <v>111.46899999999999</v>
      </c>
      <c r="K38" s="53">
        <v>111.214</v>
      </c>
      <c r="L38" s="53">
        <v>113.66</v>
      </c>
      <c r="M38" s="53">
        <v>122.65900000000001</v>
      </c>
      <c r="N38" s="53">
        <v>96.019000000000005</v>
      </c>
      <c r="O38" s="53">
        <v>101.785</v>
      </c>
      <c r="P38" s="53">
        <v>101.705</v>
      </c>
      <c r="Q38" s="53">
        <v>109.616</v>
      </c>
      <c r="R38" s="53">
        <v>98.096000000000004</v>
      </c>
      <c r="S38" s="53">
        <f>T38</f>
        <v>99.105000000000004</v>
      </c>
      <c r="T38" s="53">
        <v>99.105000000000004</v>
      </c>
      <c r="U38" s="53">
        <v>106.07899999999999</v>
      </c>
      <c r="V38" s="53">
        <v>104.08</v>
      </c>
      <c r="W38" s="53">
        <v>141.327</v>
      </c>
      <c r="X38" s="53">
        <v>180.82599999999999</v>
      </c>
      <c r="Y38" s="53">
        <v>177.68600000000001</v>
      </c>
      <c r="Z38" s="53">
        <v>222.8</v>
      </c>
      <c r="AA38" s="53">
        <v>223.32</v>
      </c>
      <c r="AB38" s="53">
        <v>222.553</v>
      </c>
      <c r="AC38" s="53">
        <v>220.17599999999999</v>
      </c>
      <c r="AD38" s="53">
        <v>219.03399999999999</v>
      </c>
      <c r="AE38" s="53">
        <v>218.83699999999999</v>
      </c>
      <c r="AF38" s="53">
        <v>220.87700000000001</v>
      </c>
      <c r="AG38" s="53">
        <v>226.535</v>
      </c>
      <c r="AH38" s="53">
        <v>189.62200000000001</v>
      </c>
      <c r="AI38" s="53">
        <v>252.08</v>
      </c>
      <c r="AJ38" s="53">
        <v>259.87700000000001</v>
      </c>
      <c r="AK38" s="53">
        <v>273.03199999999998</v>
      </c>
      <c r="AL38" s="53">
        <v>315</v>
      </c>
      <c r="AM38" s="53">
        <v>339</v>
      </c>
      <c r="AN38" s="53">
        <v>351</v>
      </c>
      <c r="AO38" s="53"/>
    </row>
    <row r="39" spans="1:47" ht="25.5" x14ac:dyDescent="0.2">
      <c r="A39" s="146" t="s">
        <v>53</v>
      </c>
      <c r="B39" s="140">
        <v>115.786</v>
      </c>
      <c r="C39" s="53">
        <v>129.98500000000001</v>
      </c>
      <c r="D39" s="53">
        <v>137.762</v>
      </c>
      <c r="E39" s="53">
        <v>150.18199999999999</v>
      </c>
      <c r="F39" s="53">
        <v>187.05799999999999</v>
      </c>
      <c r="G39" s="53">
        <v>240.221</v>
      </c>
      <c r="H39" s="53">
        <v>234.44800000000001</v>
      </c>
      <c r="I39" s="53">
        <v>241.25200000000001</v>
      </c>
      <c r="J39" s="53">
        <v>379.69400000000002</v>
      </c>
      <c r="K39" s="53">
        <v>441.40800000000002</v>
      </c>
      <c r="L39" s="53">
        <v>409.851</v>
      </c>
      <c r="M39" s="53">
        <v>466.26299999999998</v>
      </c>
      <c r="N39" s="53">
        <v>541.30600000000004</v>
      </c>
      <c r="O39" s="53">
        <v>530.32000000000005</v>
      </c>
      <c r="P39" s="53">
        <v>547.23500000000001</v>
      </c>
      <c r="Q39" s="53">
        <v>544.13099999999997</v>
      </c>
      <c r="R39" s="53">
        <v>598.03300000000002</v>
      </c>
      <c r="S39" s="53">
        <f>T39</f>
        <v>580.50300000000004</v>
      </c>
      <c r="T39" s="53">
        <v>580.50300000000004</v>
      </c>
      <c r="U39" s="53">
        <v>590.47699999999998</v>
      </c>
      <c r="V39" s="53">
        <v>601.79600000000005</v>
      </c>
      <c r="W39" s="53">
        <v>589.24400000000003</v>
      </c>
      <c r="X39" s="53">
        <v>579.55999999999995</v>
      </c>
      <c r="Y39" s="53">
        <v>592.46699999999998</v>
      </c>
      <c r="Z39" s="53">
        <v>581.51800000000003</v>
      </c>
      <c r="AA39" s="53">
        <v>592.13400000000001</v>
      </c>
      <c r="AB39" s="53">
        <v>671.71900000000005</v>
      </c>
      <c r="AC39" s="53">
        <v>670.73</v>
      </c>
      <c r="AD39" s="53">
        <v>658.72400000000005</v>
      </c>
      <c r="AE39" s="53">
        <v>659.71600000000001</v>
      </c>
      <c r="AF39" s="53">
        <v>702.10299999999995</v>
      </c>
      <c r="AG39" s="53">
        <v>694.11699999999996</v>
      </c>
      <c r="AH39" s="53">
        <v>726.08</v>
      </c>
      <c r="AI39" s="53">
        <v>697.68600000000004</v>
      </c>
      <c r="AJ39" s="53">
        <v>659.16499999999996</v>
      </c>
      <c r="AK39" s="53">
        <v>681.86099999999999</v>
      </c>
      <c r="AL39" s="53">
        <v>614</v>
      </c>
      <c r="AM39" s="53">
        <v>584</v>
      </c>
      <c r="AN39" s="53">
        <v>547</v>
      </c>
      <c r="AO39" s="53"/>
    </row>
    <row r="40" spans="1:47" x14ac:dyDescent="0.2">
      <c r="A40" s="148" t="s">
        <v>54</v>
      </c>
      <c r="B40" s="149">
        <f>B26+B34</f>
        <v>2232.8670000000002</v>
      </c>
      <c r="C40" s="149">
        <f>C26+C34</f>
        <v>2376.7289999999998</v>
      </c>
      <c r="D40" s="149">
        <f t="shared" ref="D40:P40" si="41">D26+D34</f>
        <v>2117.1099999999997</v>
      </c>
      <c r="E40" s="149">
        <f t="shared" si="41"/>
        <v>2041.8690000000001</v>
      </c>
      <c r="F40" s="149">
        <f t="shared" si="41"/>
        <v>1963.682</v>
      </c>
      <c r="G40" s="149">
        <f t="shared" si="41"/>
        <v>1837.864</v>
      </c>
      <c r="H40" s="149">
        <f t="shared" si="41"/>
        <v>1823.451</v>
      </c>
      <c r="I40" s="149">
        <f t="shared" si="41"/>
        <v>1872.289</v>
      </c>
      <c r="J40" s="149">
        <f t="shared" si="41"/>
        <v>2823.0249999999996</v>
      </c>
      <c r="K40" s="149">
        <f t="shared" si="41"/>
        <v>3226.8150000000005</v>
      </c>
      <c r="L40" s="149">
        <f>L26+L34</f>
        <v>3164.0420000000004</v>
      </c>
      <c r="M40" s="149">
        <f>M26+M34</f>
        <v>3094.2509999999997</v>
      </c>
      <c r="N40" s="149">
        <f>N26+N34</f>
        <v>3332.828</v>
      </c>
      <c r="O40" s="149">
        <f t="shared" si="41"/>
        <v>3112.7400000000007</v>
      </c>
      <c r="P40" s="149">
        <f t="shared" si="41"/>
        <v>3290.2299999999996</v>
      </c>
      <c r="Q40" s="149">
        <f t="shared" ref="Q40:W40" si="42">Q26+Q34</f>
        <v>3329.3370000000004</v>
      </c>
      <c r="R40" s="149">
        <f t="shared" si="42"/>
        <v>3400.9220000000005</v>
      </c>
      <c r="S40" s="149">
        <f t="shared" si="42"/>
        <v>3577.2110000000002</v>
      </c>
      <c r="T40" s="149">
        <f t="shared" si="42"/>
        <v>3577.2110000000002</v>
      </c>
      <c r="U40" s="149">
        <f t="shared" si="42"/>
        <v>3913.21</v>
      </c>
      <c r="V40" s="149">
        <f t="shared" si="42"/>
        <v>4097.3819999999996</v>
      </c>
      <c r="W40" s="149">
        <f t="shared" si="42"/>
        <v>4169.848</v>
      </c>
      <c r="X40" s="149">
        <f t="shared" ref="X40:AC40" si="43">X26+X34</f>
        <v>4178.2039999999997</v>
      </c>
      <c r="Y40" s="149">
        <f t="shared" si="43"/>
        <v>4281.1019999999999</v>
      </c>
      <c r="Z40" s="149">
        <f t="shared" si="43"/>
        <v>4248.5600000000004</v>
      </c>
      <c r="AA40" s="149">
        <f t="shared" si="43"/>
        <v>4185.0030000000006</v>
      </c>
      <c r="AB40" s="149">
        <f t="shared" si="43"/>
        <v>4346.7780000000002</v>
      </c>
      <c r="AC40" s="149">
        <f t="shared" si="43"/>
        <v>4142.6350000000002</v>
      </c>
      <c r="AD40" s="149">
        <f t="shared" ref="AD40:AJ40" si="44">AD26+AD34</f>
        <v>4095.6290000000008</v>
      </c>
      <c r="AE40" s="149">
        <f t="shared" si="44"/>
        <v>4220.7040000000006</v>
      </c>
      <c r="AF40" s="149">
        <f t="shared" si="44"/>
        <v>4294.8109999999997</v>
      </c>
      <c r="AG40" s="149">
        <f t="shared" si="44"/>
        <v>5137.1779999999999</v>
      </c>
      <c r="AH40" s="149">
        <f t="shared" si="44"/>
        <v>5280.317</v>
      </c>
      <c r="AI40" s="149">
        <f t="shared" si="44"/>
        <v>5303.59</v>
      </c>
      <c r="AJ40" s="149">
        <f t="shared" si="44"/>
        <v>5347.3619999999992</v>
      </c>
      <c r="AK40" s="149">
        <f>AK26+AK34</f>
        <v>5225.8590000000004</v>
      </c>
      <c r="AL40" s="149">
        <f>AL26+AL34</f>
        <v>5188</v>
      </c>
      <c r="AM40" s="149">
        <f>AM26+AM34</f>
        <v>5163</v>
      </c>
      <c r="AN40" s="149">
        <f>AN26+AN34</f>
        <v>5889</v>
      </c>
      <c r="AO40" s="149"/>
    </row>
    <row r="41" spans="1:47" ht="5.25" customHeight="1" x14ac:dyDescent="0.2">
      <c r="A41" s="63"/>
      <c r="B41" s="65"/>
      <c r="C41" s="66"/>
      <c r="D41" s="66"/>
      <c r="E41" s="66"/>
      <c r="F41" s="66"/>
      <c r="G41" s="66"/>
      <c r="H41" s="66"/>
      <c r="I41" s="66"/>
      <c r="J41" s="66"/>
      <c r="K41" s="66"/>
      <c r="L41" s="66"/>
      <c r="M41" s="66"/>
      <c r="N41" s="66"/>
      <c r="O41" s="66"/>
      <c r="P41" s="66"/>
      <c r="Q41" s="66"/>
      <c r="R41" s="66"/>
      <c r="S41" s="53">
        <f>T41</f>
        <v>0</v>
      </c>
      <c r="T41" s="66"/>
      <c r="U41" s="66"/>
      <c r="V41" s="66"/>
      <c r="W41" s="66"/>
      <c r="X41" s="53"/>
      <c r="Y41" s="66"/>
      <c r="Z41" s="66"/>
      <c r="AA41" s="66"/>
      <c r="AB41" s="53"/>
      <c r="AC41" s="66"/>
      <c r="AD41" s="66"/>
      <c r="AE41" s="66"/>
      <c r="AF41" s="53"/>
      <c r="AG41" s="66"/>
      <c r="AH41" s="66"/>
      <c r="AI41" s="66"/>
      <c r="AJ41" s="53"/>
      <c r="AK41" s="66"/>
      <c r="AL41" s="66"/>
      <c r="AM41" s="66"/>
      <c r="AN41" s="53"/>
      <c r="AO41" s="53"/>
    </row>
    <row r="42" spans="1:47" ht="14.25" x14ac:dyDescent="0.2">
      <c r="A42" s="146" t="s">
        <v>35</v>
      </c>
      <c r="B42" s="140">
        <v>149.13999999999999</v>
      </c>
      <c r="C42" s="53">
        <v>60.42</v>
      </c>
      <c r="D42" s="53">
        <v>0</v>
      </c>
      <c r="E42" s="53">
        <v>0</v>
      </c>
      <c r="F42" s="53">
        <v>7.7080000000000002</v>
      </c>
      <c r="G42" s="53">
        <v>9.0510000000000002</v>
      </c>
      <c r="H42" s="53">
        <v>7.7469999999999999</v>
      </c>
      <c r="I42" s="53">
        <v>9.4760000000000009</v>
      </c>
      <c r="J42" s="53">
        <v>66.421000000000006</v>
      </c>
      <c r="K42" s="53">
        <v>67.974000000000004</v>
      </c>
      <c r="L42" s="53">
        <v>62.503</v>
      </c>
      <c r="M42" s="53">
        <v>68.959000000000003</v>
      </c>
      <c r="N42" s="53">
        <v>21.352</v>
      </c>
      <c r="O42" s="53">
        <v>21.088999999999999</v>
      </c>
      <c r="P42" s="53">
        <v>22.800999999999998</v>
      </c>
      <c r="Q42" s="53">
        <v>21.812000000000001</v>
      </c>
      <c r="R42" s="53">
        <v>21.619</v>
      </c>
      <c r="S42" s="53">
        <f>T42</f>
        <v>21.123000000000001</v>
      </c>
      <c r="T42" s="53">
        <v>21.123000000000001</v>
      </c>
      <c r="U42" s="53">
        <v>21.082999999999998</v>
      </c>
      <c r="V42" s="53">
        <v>24.33</v>
      </c>
      <c r="W42" s="53">
        <v>27.047000000000001</v>
      </c>
      <c r="X42" s="53">
        <v>28.091999999999999</v>
      </c>
      <c r="Y42" s="53">
        <v>29.797000000000001</v>
      </c>
      <c r="Z42" s="53">
        <v>27.741</v>
      </c>
      <c r="AA42" s="53">
        <v>28.727</v>
      </c>
      <c r="AB42" s="53">
        <v>24.547999999999998</v>
      </c>
      <c r="AC42" s="53">
        <v>23.831</v>
      </c>
      <c r="AD42" s="53">
        <v>24.309000000000001</v>
      </c>
      <c r="AE42" s="53">
        <v>24.478999999999999</v>
      </c>
      <c r="AF42" s="53">
        <v>24.754000000000001</v>
      </c>
      <c r="AG42" s="53">
        <v>25.417999999999999</v>
      </c>
      <c r="AH42" s="53">
        <v>26.242999999999999</v>
      </c>
      <c r="AI42" s="53">
        <v>27.539000000000001</v>
      </c>
      <c r="AJ42" s="53">
        <v>26.512</v>
      </c>
      <c r="AK42" s="53">
        <v>26.695</v>
      </c>
      <c r="AL42" s="53">
        <v>27</v>
      </c>
      <c r="AM42" s="53">
        <v>26</v>
      </c>
      <c r="AN42" s="53">
        <v>160</v>
      </c>
      <c r="AO42" s="53"/>
      <c r="AP42" s="51"/>
    </row>
    <row r="43" spans="1:47" ht="14.25" x14ac:dyDescent="0.2">
      <c r="A43" s="146" t="s">
        <v>176</v>
      </c>
      <c r="B43" s="140">
        <v>0</v>
      </c>
      <c r="C43" s="53">
        <v>0</v>
      </c>
      <c r="D43" s="53">
        <v>0</v>
      </c>
      <c r="E43" s="53">
        <v>76.995000000000005</v>
      </c>
      <c r="F43" s="53">
        <v>71.668999999999997</v>
      </c>
      <c r="G43" s="53">
        <v>38.335000000000001</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v>0</v>
      </c>
      <c r="AD43" s="53">
        <v>0</v>
      </c>
      <c r="AE43" s="53">
        <v>0</v>
      </c>
      <c r="AF43" s="53">
        <v>0</v>
      </c>
      <c r="AG43" s="53">
        <v>0</v>
      </c>
      <c r="AH43" s="53">
        <v>0</v>
      </c>
      <c r="AI43" s="53">
        <v>0</v>
      </c>
      <c r="AJ43" s="53">
        <v>0</v>
      </c>
      <c r="AK43" s="53">
        <v>0</v>
      </c>
      <c r="AL43" s="53">
        <v>0</v>
      </c>
      <c r="AM43" s="53">
        <v>0</v>
      </c>
      <c r="AN43" s="53">
        <v>0</v>
      </c>
      <c r="AO43" s="53"/>
    </row>
    <row r="44" spans="1:47" x14ac:dyDescent="0.2">
      <c r="A44" s="148" t="s">
        <v>55</v>
      </c>
      <c r="B44" s="149">
        <v>925.35</v>
      </c>
      <c r="C44" s="149">
        <v>918.89599999999996</v>
      </c>
      <c r="D44" s="149">
        <v>823.28599999999994</v>
      </c>
      <c r="E44" s="149">
        <v>874.58100000000002</v>
      </c>
      <c r="F44" s="149">
        <v>948.09900000000005</v>
      </c>
      <c r="G44" s="149">
        <v>1177.0219999999999</v>
      </c>
      <c r="H44" s="149">
        <v>1492.7439999999999</v>
      </c>
      <c r="I44" s="149">
        <v>1733.9259999999999</v>
      </c>
      <c r="J44" s="149">
        <v>1800.4970000000001</v>
      </c>
      <c r="K44" s="149">
        <v>2442.953</v>
      </c>
      <c r="L44" s="149">
        <v>2394.643</v>
      </c>
      <c r="M44" s="149">
        <v>2509.6289999999999</v>
      </c>
      <c r="N44" s="149">
        <v>2761.5410000000002</v>
      </c>
      <c r="O44" s="149">
        <v>2773.76</v>
      </c>
      <c r="P44" s="149">
        <v>2814.65</v>
      </c>
      <c r="Q44" s="149">
        <v>2385.7570000000001</v>
      </c>
      <c r="R44" s="149">
        <v>2512.1770000000001</v>
      </c>
      <c r="S44" s="149">
        <f>T44</f>
        <v>2620.107</v>
      </c>
      <c r="T44" s="149">
        <v>2620.107</v>
      </c>
      <c r="U44" s="149">
        <v>2788.183</v>
      </c>
      <c r="V44" s="149">
        <v>3027.5540000000001</v>
      </c>
      <c r="W44" s="149">
        <v>3072.808</v>
      </c>
      <c r="X44" s="149">
        <v>3076.8020000000001</v>
      </c>
      <c r="Y44" s="149">
        <v>3144.1190000000001</v>
      </c>
      <c r="Z44" s="149">
        <v>3281.4009999999998</v>
      </c>
      <c r="AA44" s="149">
        <v>3438.4650000000001</v>
      </c>
      <c r="AB44" s="149">
        <v>3375.4560000000001</v>
      </c>
      <c r="AC44" s="149">
        <v>3499.0219999999999</v>
      </c>
      <c r="AD44" s="149">
        <v>3635.627</v>
      </c>
      <c r="AE44" s="149">
        <v>3553.6950000000002</v>
      </c>
      <c r="AF44" s="149">
        <v>3653.92</v>
      </c>
      <c r="AG44" s="149">
        <v>3181.73</v>
      </c>
      <c r="AH44" s="149">
        <v>3129.5889999999999</v>
      </c>
      <c r="AI44" s="149">
        <v>3090.835</v>
      </c>
      <c r="AJ44" s="149">
        <v>2973.7139999999999</v>
      </c>
      <c r="AK44" s="149">
        <v>2887.5650000000001</v>
      </c>
      <c r="AL44" s="149">
        <v>2977</v>
      </c>
      <c r="AM44" s="149">
        <v>3005</v>
      </c>
      <c r="AN44" s="149">
        <v>3028</v>
      </c>
      <c r="AO44" s="149"/>
    </row>
    <row r="45" spans="1:47" ht="25.5" x14ac:dyDescent="0.2">
      <c r="A45" s="148" t="s">
        <v>56</v>
      </c>
      <c r="B45" s="149">
        <f t="shared" ref="B45:Q45" si="45">B40+B42+B43+B44</f>
        <v>3307.357</v>
      </c>
      <c r="C45" s="149">
        <f t="shared" si="45"/>
        <v>3356.0450000000001</v>
      </c>
      <c r="D45" s="149">
        <f t="shared" si="45"/>
        <v>2940.3959999999997</v>
      </c>
      <c r="E45" s="149">
        <f t="shared" si="45"/>
        <v>2993.4450000000002</v>
      </c>
      <c r="F45" s="149">
        <f t="shared" si="45"/>
        <v>2991.1580000000004</v>
      </c>
      <c r="G45" s="149">
        <f t="shared" si="45"/>
        <v>3062.2719999999999</v>
      </c>
      <c r="H45" s="149">
        <f t="shared" si="45"/>
        <v>3323.942</v>
      </c>
      <c r="I45" s="149">
        <f t="shared" si="45"/>
        <v>3615.6909999999998</v>
      </c>
      <c r="J45" s="149">
        <f t="shared" si="45"/>
        <v>4689.9429999999993</v>
      </c>
      <c r="K45" s="149">
        <f t="shared" si="45"/>
        <v>5737.7420000000002</v>
      </c>
      <c r="L45" s="149">
        <f t="shared" si="45"/>
        <v>5621.1880000000001</v>
      </c>
      <c r="M45" s="149">
        <f t="shared" si="45"/>
        <v>5672.8389999999999</v>
      </c>
      <c r="N45" s="149">
        <f t="shared" si="45"/>
        <v>6115.7209999999995</v>
      </c>
      <c r="O45" s="149">
        <f t="shared" si="45"/>
        <v>5907.5890000000009</v>
      </c>
      <c r="P45" s="149">
        <f t="shared" si="45"/>
        <v>6127.6809999999996</v>
      </c>
      <c r="Q45" s="149">
        <f t="shared" si="45"/>
        <v>5736.9060000000009</v>
      </c>
      <c r="R45" s="149">
        <f t="shared" ref="R45:W45" si="46">R40+R42+R43+R44</f>
        <v>5934.7180000000008</v>
      </c>
      <c r="S45" s="149">
        <f t="shared" si="46"/>
        <v>6218.4410000000007</v>
      </c>
      <c r="T45" s="149">
        <f t="shared" si="46"/>
        <v>6218.4410000000007</v>
      </c>
      <c r="U45" s="149">
        <f t="shared" si="46"/>
        <v>6722.4760000000006</v>
      </c>
      <c r="V45" s="149">
        <f t="shared" si="46"/>
        <v>7149.2659999999996</v>
      </c>
      <c r="W45" s="149">
        <f t="shared" si="46"/>
        <v>7269.7029999999995</v>
      </c>
      <c r="X45" s="149">
        <f t="shared" ref="X45:AC45" si="47">X40+X42+X43+X44</f>
        <v>7283.098</v>
      </c>
      <c r="Y45" s="149">
        <f t="shared" si="47"/>
        <v>7455.018</v>
      </c>
      <c r="Z45" s="149">
        <f t="shared" si="47"/>
        <v>7557.7020000000002</v>
      </c>
      <c r="AA45" s="149">
        <f t="shared" si="47"/>
        <v>7652.1950000000006</v>
      </c>
      <c r="AB45" s="149">
        <f t="shared" si="47"/>
        <v>7746.7820000000002</v>
      </c>
      <c r="AC45" s="149">
        <f t="shared" si="47"/>
        <v>7665.4880000000003</v>
      </c>
      <c r="AD45" s="149">
        <f t="shared" ref="AD45:AJ45" si="48">AD40+AD42+AD43+AD44</f>
        <v>7755.5650000000005</v>
      </c>
      <c r="AE45" s="149">
        <f t="shared" si="48"/>
        <v>7798.8780000000006</v>
      </c>
      <c r="AF45" s="149">
        <f t="shared" si="48"/>
        <v>7973.4849999999997</v>
      </c>
      <c r="AG45" s="149">
        <f t="shared" si="48"/>
        <v>8344.3259999999991</v>
      </c>
      <c r="AH45" s="149">
        <f t="shared" si="48"/>
        <v>8436.1490000000013</v>
      </c>
      <c r="AI45" s="149">
        <f t="shared" si="48"/>
        <v>8421.9639999999999</v>
      </c>
      <c r="AJ45" s="149">
        <f t="shared" si="48"/>
        <v>8347.5879999999997</v>
      </c>
      <c r="AK45" s="149">
        <f>AK40+AK42+AK43+AK44</f>
        <v>8140.1190000000006</v>
      </c>
      <c r="AL45" s="149">
        <f>AL40+AL42+AL43+AL44</f>
        <v>8192</v>
      </c>
      <c r="AM45" s="149">
        <f>AM40+AM42+AM43+AM44</f>
        <v>8194</v>
      </c>
      <c r="AN45" s="149">
        <f>AN40+AN42+AN43+AN44</f>
        <v>9077</v>
      </c>
      <c r="AO45" s="149"/>
    </row>
    <row r="47" spans="1:47" x14ac:dyDescent="0.2">
      <c r="A47" s="49" t="s">
        <v>57</v>
      </c>
    </row>
    <row r="48" spans="1:47" x14ac:dyDescent="0.2">
      <c r="A48" s="49" t="s">
        <v>39</v>
      </c>
      <c r="B48" s="51">
        <f>B8</f>
        <v>488.95800000000003</v>
      </c>
      <c r="C48" s="51">
        <f>C8</f>
        <v>453.49299999999999</v>
      </c>
      <c r="D48" s="51">
        <f t="shared" ref="D48:O48" si="49">D8</f>
        <v>354.36599999999999</v>
      </c>
      <c r="E48" s="51">
        <f t="shared" si="49"/>
        <v>340.59699999999998</v>
      </c>
      <c r="F48" s="51">
        <f t="shared" si="49"/>
        <v>262.44299999999998</v>
      </c>
      <c r="G48" s="51">
        <f t="shared" si="49"/>
        <v>397.2</v>
      </c>
      <c r="H48" s="51">
        <f t="shared" si="49"/>
        <v>503.44600000000003</v>
      </c>
      <c r="I48" s="51">
        <f t="shared" si="49"/>
        <v>470.56900000000002</v>
      </c>
      <c r="J48" s="51">
        <f t="shared" si="49"/>
        <v>964.19399999999996</v>
      </c>
      <c r="K48" s="51">
        <f t="shared" si="49"/>
        <v>1054.3869999999999</v>
      </c>
      <c r="L48" s="51">
        <f t="shared" si="49"/>
        <v>964.55700000000002</v>
      </c>
      <c r="M48" s="51">
        <f t="shared" si="49"/>
        <v>761.553</v>
      </c>
      <c r="N48" s="51">
        <f t="shared" si="49"/>
        <v>915.44399999999996</v>
      </c>
      <c r="O48" s="51">
        <f t="shared" si="49"/>
        <v>969.62</v>
      </c>
      <c r="P48" s="51">
        <f t="shared" ref="P48:U48" si="50">P8</f>
        <v>1105.932</v>
      </c>
      <c r="Q48" s="51">
        <f t="shared" si="50"/>
        <v>987.40599999999995</v>
      </c>
      <c r="R48" s="51">
        <f t="shared" si="50"/>
        <v>969.36500000000001</v>
      </c>
      <c r="S48" s="51">
        <f t="shared" si="50"/>
        <v>949.69200000000001</v>
      </c>
      <c r="T48" s="51">
        <f t="shared" si="50"/>
        <v>949.69200000000001</v>
      </c>
      <c r="U48" s="51">
        <f t="shared" si="50"/>
        <v>1163.8810000000001</v>
      </c>
      <c r="V48" s="51">
        <f t="shared" ref="V48:AB48" si="51">V8</f>
        <v>1411.827</v>
      </c>
      <c r="W48" s="51">
        <f t="shared" si="51"/>
        <v>1350.471</v>
      </c>
      <c r="X48" s="51">
        <f t="shared" si="51"/>
        <v>1327.5129999999999</v>
      </c>
      <c r="Y48" s="51">
        <f t="shared" si="51"/>
        <v>1314.038</v>
      </c>
      <c r="Z48" s="51">
        <f t="shared" si="51"/>
        <v>1440.1869999999999</v>
      </c>
      <c r="AA48" s="51">
        <f t="shared" si="51"/>
        <v>1259.1030000000001</v>
      </c>
      <c r="AB48" s="51">
        <f t="shared" si="51"/>
        <v>1074.2070000000001</v>
      </c>
      <c r="AC48" s="51">
        <f t="shared" ref="AC48:AH48" si="52">AC8</f>
        <v>1261.1410000000001</v>
      </c>
      <c r="AD48" s="51">
        <f t="shared" si="52"/>
        <v>1237.634</v>
      </c>
      <c r="AE48" s="51">
        <f t="shared" si="52"/>
        <v>1031.53</v>
      </c>
      <c r="AF48" s="51">
        <f t="shared" si="52"/>
        <v>1057.028</v>
      </c>
      <c r="AG48" s="51">
        <f t="shared" si="52"/>
        <v>1262.491</v>
      </c>
      <c r="AH48" s="51">
        <f t="shared" si="52"/>
        <v>1274.0609999999999</v>
      </c>
      <c r="AI48" s="51">
        <f t="shared" ref="AI48:AN48" si="53">AI8</f>
        <v>1168.2919999999999</v>
      </c>
      <c r="AJ48" s="51">
        <f t="shared" si="53"/>
        <v>1039.146</v>
      </c>
      <c r="AK48" s="51">
        <f t="shared" si="53"/>
        <v>1110.336</v>
      </c>
      <c r="AL48" s="51">
        <f t="shared" si="53"/>
        <v>882</v>
      </c>
      <c r="AM48" s="51">
        <f t="shared" si="53"/>
        <v>883</v>
      </c>
      <c r="AN48" s="51">
        <f t="shared" si="53"/>
        <v>1082</v>
      </c>
      <c r="AO48" s="51" t="e">
        <f t="shared" ref="AO48:AU48" si="54">AO8</f>
        <v>#REF!</v>
      </c>
      <c r="AP48" s="51" t="e">
        <f t="shared" si="54"/>
        <v>#REF!</v>
      </c>
      <c r="AQ48" s="51" t="e">
        <f t="shared" si="54"/>
        <v>#REF!</v>
      </c>
      <c r="AR48" s="51" t="e">
        <f t="shared" si="54"/>
        <v>#REF!</v>
      </c>
      <c r="AS48" s="51" t="e">
        <f t="shared" si="54"/>
        <v>#REF!</v>
      </c>
      <c r="AT48" s="51" t="e">
        <f t="shared" si="54"/>
        <v>#REF!</v>
      </c>
      <c r="AU48" s="51" t="e">
        <f t="shared" si="54"/>
        <v>#REF!</v>
      </c>
    </row>
    <row r="49" spans="1:47" x14ac:dyDescent="0.2">
      <c r="A49" s="49" t="s">
        <v>58</v>
      </c>
      <c r="D49" s="51">
        <f t="shared" ref="D49:AC49" si="55">D48-C48</f>
        <v>-99.12700000000001</v>
      </c>
      <c r="E49" s="51">
        <f t="shared" si="55"/>
        <v>-13.769000000000005</v>
      </c>
      <c r="F49" s="51">
        <f t="shared" si="55"/>
        <v>-78.153999999999996</v>
      </c>
      <c r="G49" s="51">
        <f t="shared" si="55"/>
        <v>134.75700000000001</v>
      </c>
      <c r="H49" s="51">
        <f t="shared" si="55"/>
        <v>106.24600000000004</v>
      </c>
      <c r="I49" s="51">
        <f t="shared" si="55"/>
        <v>-32.87700000000001</v>
      </c>
      <c r="J49" s="51">
        <f t="shared" si="55"/>
        <v>493.62499999999994</v>
      </c>
      <c r="K49" s="51">
        <f t="shared" si="55"/>
        <v>90.192999999999984</v>
      </c>
      <c r="L49" s="51"/>
      <c r="M49" s="51"/>
      <c r="N49" s="51"/>
      <c r="O49" s="51">
        <f>O48-K48</f>
        <v>-84.766999999999939</v>
      </c>
      <c r="P49" s="51">
        <f t="shared" si="55"/>
        <v>136.31200000000001</v>
      </c>
      <c r="Q49" s="51">
        <f t="shared" si="55"/>
        <v>-118.52600000000007</v>
      </c>
      <c r="R49" s="51">
        <f t="shared" si="55"/>
        <v>-18.04099999999994</v>
      </c>
      <c r="S49" s="51">
        <f t="shared" si="55"/>
        <v>-19.673000000000002</v>
      </c>
      <c r="T49" s="51"/>
      <c r="U49" s="51">
        <f t="shared" si="55"/>
        <v>214.18900000000008</v>
      </c>
      <c r="V49" s="51">
        <f t="shared" si="55"/>
        <v>247.94599999999991</v>
      </c>
      <c r="W49" s="51">
        <f t="shared" si="55"/>
        <v>-61.355999999999995</v>
      </c>
      <c r="X49" s="51">
        <f t="shared" si="55"/>
        <v>-22.958000000000084</v>
      </c>
      <c r="Y49" s="51">
        <f t="shared" si="55"/>
        <v>-13.474999999999909</v>
      </c>
      <c r="Z49" s="51">
        <f t="shared" si="55"/>
        <v>126.14899999999989</v>
      </c>
      <c r="AA49" s="51">
        <f t="shared" si="55"/>
        <v>-181.08399999999983</v>
      </c>
      <c r="AB49" s="51">
        <f t="shared" si="55"/>
        <v>-184.89599999999996</v>
      </c>
      <c r="AC49" s="51">
        <f t="shared" si="55"/>
        <v>186.93399999999997</v>
      </c>
      <c r="AD49" s="51">
        <f t="shared" ref="AD49:AJ49" si="56">AD48-AC48</f>
        <v>-23.507000000000062</v>
      </c>
      <c r="AE49" s="51">
        <f t="shared" si="56"/>
        <v>-206.10400000000004</v>
      </c>
      <c r="AF49" s="51">
        <f t="shared" si="56"/>
        <v>25.498000000000047</v>
      </c>
      <c r="AG49" s="51">
        <f t="shared" si="56"/>
        <v>205.46299999999997</v>
      </c>
      <c r="AH49" s="51">
        <f t="shared" si="56"/>
        <v>11.569999999999936</v>
      </c>
      <c r="AI49" s="51">
        <f t="shared" si="56"/>
        <v>-105.76900000000001</v>
      </c>
      <c r="AJ49" s="51">
        <f t="shared" si="56"/>
        <v>-129.14599999999996</v>
      </c>
      <c r="AK49" s="51">
        <f>AK48-AJ48</f>
        <v>71.190000000000055</v>
      </c>
      <c r="AL49" s="51">
        <f>AL48-AK48</f>
        <v>-228.33600000000001</v>
      </c>
      <c r="AM49" s="51">
        <f>AM48-AL48</f>
        <v>1</v>
      </c>
      <c r="AN49" s="51">
        <f>AN48-AM48</f>
        <v>199</v>
      </c>
    </row>
    <row r="50" spans="1:47" x14ac:dyDescent="0.2">
      <c r="A50" s="49" t="s">
        <v>42</v>
      </c>
      <c r="B50" s="51">
        <f>B12</f>
        <v>505.02300000000002</v>
      </c>
      <c r="C50" s="51">
        <f>C12</f>
        <v>492.07100000000003</v>
      </c>
      <c r="D50" s="51">
        <f t="shared" ref="D50:O50" si="57">D12</f>
        <v>491.60500000000002</v>
      </c>
      <c r="E50" s="51">
        <f t="shared" si="57"/>
        <v>506.37</v>
      </c>
      <c r="F50" s="51">
        <f t="shared" si="57"/>
        <v>540.29300000000001</v>
      </c>
      <c r="G50" s="51">
        <f t="shared" si="57"/>
        <v>509.81099999999998</v>
      </c>
      <c r="H50" s="51">
        <f t="shared" si="57"/>
        <v>652.52099999999996</v>
      </c>
      <c r="I50" s="51">
        <f t="shared" si="57"/>
        <v>799.00699999999995</v>
      </c>
      <c r="J50" s="51">
        <f t="shared" si="57"/>
        <v>970.57</v>
      </c>
      <c r="K50" s="51">
        <f t="shared" si="57"/>
        <v>1278.0039999999999</v>
      </c>
      <c r="L50" s="51">
        <f t="shared" si="57"/>
        <v>1318.1659999999999</v>
      </c>
      <c r="M50" s="51">
        <f t="shared" si="57"/>
        <v>1277.5160000000001</v>
      </c>
      <c r="N50" s="51">
        <f t="shared" si="57"/>
        <v>1231.2149999999999</v>
      </c>
      <c r="O50" s="51">
        <f t="shared" si="57"/>
        <v>1233.25</v>
      </c>
      <c r="P50" s="51">
        <f>P12</f>
        <v>1133.6179999999999</v>
      </c>
      <c r="Q50" s="51">
        <f>Q12</f>
        <v>1058.279</v>
      </c>
      <c r="R50" s="51">
        <f>R12</f>
        <v>1053.662</v>
      </c>
      <c r="S50" s="51">
        <f>S12</f>
        <v>1114.134</v>
      </c>
      <c r="T50" s="51">
        <f>T12</f>
        <v>1114.134</v>
      </c>
      <c r="U50" s="51">
        <f t="shared" ref="U50:Z50" si="58">U12</f>
        <v>1171.5429999999999</v>
      </c>
      <c r="V50" s="51">
        <f t="shared" si="58"/>
        <v>1233.4059999999999</v>
      </c>
      <c r="W50" s="51">
        <f t="shared" si="58"/>
        <v>1268.973</v>
      </c>
      <c r="X50" s="51">
        <f t="shared" si="58"/>
        <v>1410.93</v>
      </c>
      <c r="Y50" s="51">
        <f t="shared" si="58"/>
        <v>1448.3109999999999</v>
      </c>
      <c r="Z50" s="51">
        <f t="shared" si="58"/>
        <v>1336.617</v>
      </c>
      <c r="AA50" s="51">
        <f t="shared" ref="AA50:AU50" si="59">AA12</f>
        <v>1320.723</v>
      </c>
      <c r="AB50" s="51">
        <f t="shared" si="59"/>
        <v>1480.0440000000001</v>
      </c>
      <c r="AC50" s="51">
        <f t="shared" si="59"/>
        <v>1407.82</v>
      </c>
      <c r="AD50" s="51">
        <f t="shared" si="59"/>
        <v>1369.415</v>
      </c>
      <c r="AE50" s="51">
        <f t="shared" si="59"/>
        <v>1370.203</v>
      </c>
      <c r="AF50" s="51">
        <f t="shared" si="59"/>
        <v>1408.297</v>
      </c>
      <c r="AG50" s="51">
        <f t="shared" si="59"/>
        <v>1333.8510000000001</v>
      </c>
      <c r="AH50" s="51">
        <f t="shared" si="59"/>
        <v>1350.528</v>
      </c>
      <c r="AI50" s="51">
        <f t="shared" ref="AI50:AN50" si="60">AI12</f>
        <v>1276.8869999999999</v>
      </c>
      <c r="AJ50" s="51">
        <f t="shared" si="60"/>
        <v>1335.098</v>
      </c>
      <c r="AK50" s="51">
        <f t="shared" si="60"/>
        <v>1235.69</v>
      </c>
      <c r="AL50" s="51">
        <f t="shared" si="60"/>
        <v>1201</v>
      </c>
      <c r="AM50" s="51">
        <f t="shared" si="60"/>
        <v>1184</v>
      </c>
      <c r="AN50" s="51">
        <f t="shared" si="60"/>
        <v>1364</v>
      </c>
      <c r="AO50" s="51" t="e">
        <f t="shared" si="59"/>
        <v>#REF!</v>
      </c>
      <c r="AP50" s="51" t="e">
        <f t="shared" si="59"/>
        <v>#REF!</v>
      </c>
      <c r="AQ50" s="51" t="e">
        <f t="shared" si="59"/>
        <v>#REF!</v>
      </c>
      <c r="AR50" s="51" t="e">
        <f t="shared" si="59"/>
        <v>#REF!</v>
      </c>
      <c r="AS50" s="51" t="e">
        <f t="shared" si="59"/>
        <v>#REF!</v>
      </c>
      <c r="AT50" s="51" t="e">
        <f t="shared" si="59"/>
        <v>#REF!</v>
      </c>
      <c r="AU50" s="51" t="e">
        <f t="shared" si="59"/>
        <v>#REF!</v>
      </c>
    </row>
    <row r="51" spans="1:47" x14ac:dyDescent="0.2">
      <c r="A51" s="49" t="s">
        <v>59</v>
      </c>
      <c r="D51" s="51">
        <f>D50-C50</f>
        <v>-0.46600000000000819</v>
      </c>
      <c r="E51" s="51">
        <f t="shared" ref="E51:AC51" si="61">E50-D50</f>
        <v>14.764999999999986</v>
      </c>
      <c r="F51" s="51">
        <f t="shared" si="61"/>
        <v>33.923000000000002</v>
      </c>
      <c r="G51" s="51">
        <f t="shared" si="61"/>
        <v>-30.482000000000028</v>
      </c>
      <c r="H51" s="51">
        <f t="shared" si="61"/>
        <v>142.70999999999998</v>
      </c>
      <c r="I51" s="51">
        <f t="shared" si="61"/>
        <v>146.48599999999999</v>
      </c>
      <c r="J51" s="51">
        <f t="shared" si="61"/>
        <v>171.5630000000001</v>
      </c>
      <c r="K51" s="51">
        <f t="shared" si="61"/>
        <v>307.43399999999986</v>
      </c>
      <c r="L51" s="51"/>
      <c r="M51" s="51"/>
      <c r="N51" s="51"/>
      <c r="O51" s="51">
        <f>O50-K50</f>
        <v>-44.753999999999905</v>
      </c>
      <c r="P51" s="51">
        <f t="shared" si="61"/>
        <v>-99.632000000000062</v>
      </c>
      <c r="Q51" s="51">
        <f t="shared" si="61"/>
        <v>-75.338999999999942</v>
      </c>
      <c r="R51" s="51">
        <f t="shared" si="61"/>
        <v>-4.6169999999999618</v>
      </c>
      <c r="S51" s="51">
        <f t="shared" si="61"/>
        <v>60.47199999999998</v>
      </c>
      <c r="T51" s="51"/>
      <c r="U51" s="51">
        <f t="shared" si="61"/>
        <v>57.408999999999878</v>
      </c>
      <c r="V51" s="51">
        <f t="shared" si="61"/>
        <v>61.863000000000056</v>
      </c>
      <c r="W51" s="51">
        <f t="shared" si="61"/>
        <v>35.567000000000007</v>
      </c>
      <c r="X51" s="51">
        <f t="shared" si="61"/>
        <v>141.95700000000011</v>
      </c>
      <c r="Y51" s="51">
        <f t="shared" si="61"/>
        <v>37.380999999999858</v>
      </c>
      <c r="Z51" s="51">
        <f t="shared" si="61"/>
        <v>-111.69399999999996</v>
      </c>
      <c r="AA51" s="51">
        <f t="shared" si="61"/>
        <v>-15.894000000000005</v>
      </c>
      <c r="AB51" s="51">
        <f t="shared" si="61"/>
        <v>159.32100000000014</v>
      </c>
      <c r="AC51" s="51">
        <f t="shared" si="61"/>
        <v>-72.22400000000016</v>
      </c>
      <c r="AD51" s="51">
        <f t="shared" ref="AD51:AJ51" si="62">AD50-AC50</f>
        <v>-38.404999999999973</v>
      </c>
      <c r="AE51" s="51">
        <f t="shared" si="62"/>
        <v>0.78800000000001091</v>
      </c>
      <c r="AF51" s="51">
        <f t="shared" si="62"/>
        <v>38.094000000000051</v>
      </c>
      <c r="AG51" s="51">
        <f t="shared" si="62"/>
        <v>-74.445999999999913</v>
      </c>
      <c r="AH51" s="51">
        <f t="shared" si="62"/>
        <v>16.676999999999907</v>
      </c>
      <c r="AI51" s="51">
        <f t="shared" si="62"/>
        <v>-73.641000000000076</v>
      </c>
      <c r="AJ51" s="51">
        <f t="shared" si="62"/>
        <v>58.211000000000013</v>
      </c>
      <c r="AK51" s="51">
        <f>AK50-AJ50</f>
        <v>-99.407999999999902</v>
      </c>
      <c r="AL51" s="51">
        <f>AL50-AK50</f>
        <v>-34.690000000000055</v>
      </c>
      <c r="AM51" s="51">
        <f>AM50-AL50</f>
        <v>-17</v>
      </c>
      <c r="AN51" s="51">
        <f>AN50-AM50</f>
        <v>180</v>
      </c>
    </row>
    <row r="52" spans="1:47" x14ac:dyDescent="0.2">
      <c r="A52" s="49" t="s">
        <v>48</v>
      </c>
      <c r="B52" s="51">
        <f>B28</f>
        <v>215.316</v>
      </c>
      <c r="C52" s="51">
        <f>C28</f>
        <v>208.61500000000001</v>
      </c>
      <c r="D52" s="51">
        <f t="shared" ref="D52:O52" si="63">D28</f>
        <v>176.90199999999999</v>
      </c>
      <c r="E52" s="51">
        <f t="shared" si="63"/>
        <v>220.023</v>
      </c>
      <c r="F52" s="51">
        <f t="shared" si="63"/>
        <v>244.05</v>
      </c>
      <c r="G52" s="51">
        <f t="shared" si="63"/>
        <v>267.49200000000002</v>
      </c>
      <c r="H52" s="51">
        <f t="shared" si="63"/>
        <v>288.77199999999999</v>
      </c>
      <c r="I52" s="51">
        <f t="shared" si="63"/>
        <v>315.94499999999999</v>
      </c>
      <c r="J52" s="51">
        <f t="shared" si="63"/>
        <v>428.26600000000002</v>
      </c>
      <c r="K52" s="51">
        <f t="shared" si="63"/>
        <v>448.154</v>
      </c>
      <c r="L52" s="51">
        <f t="shared" si="63"/>
        <v>372.53</v>
      </c>
      <c r="M52" s="51">
        <f t="shared" si="63"/>
        <v>420.52199999999999</v>
      </c>
      <c r="N52" s="51">
        <f t="shared" si="63"/>
        <v>430.24700000000001</v>
      </c>
      <c r="O52" s="51">
        <f t="shared" si="63"/>
        <v>469.798</v>
      </c>
      <c r="P52" s="51">
        <f t="shared" ref="P52:U52" si="64">P28</f>
        <v>453.35199999999998</v>
      </c>
      <c r="Q52" s="51">
        <f t="shared" si="64"/>
        <v>499.54599999999999</v>
      </c>
      <c r="R52" s="51">
        <f t="shared" si="64"/>
        <v>502.01100000000002</v>
      </c>
      <c r="S52" s="51">
        <f t="shared" si="64"/>
        <v>521.25800000000004</v>
      </c>
      <c r="T52" s="51">
        <f t="shared" si="64"/>
        <v>521.25800000000004</v>
      </c>
      <c r="U52" s="51">
        <f t="shared" si="64"/>
        <v>571.15899999999999</v>
      </c>
      <c r="V52" s="51">
        <f t="shared" ref="V52:AB52" si="65">V28</f>
        <v>722.62099999999998</v>
      </c>
      <c r="W52" s="51">
        <f t="shared" si="65"/>
        <v>671.56700000000001</v>
      </c>
      <c r="X52" s="51">
        <f t="shared" si="65"/>
        <v>665.02800000000002</v>
      </c>
      <c r="Y52" s="51">
        <f t="shared" si="65"/>
        <v>628.78899999999999</v>
      </c>
      <c r="Z52" s="51">
        <f t="shared" si="65"/>
        <v>641.48099999999999</v>
      </c>
      <c r="AA52" s="51">
        <f t="shared" si="65"/>
        <v>588.83799999999997</v>
      </c>
      <c r="AB52" s="51">
        <f t="shared" si="65"/>
        <v>653.75699999999995</v>
      </c>
      <c r="AC52" s="51">
        <f t="shared" ref="AC52:AH52" si="66">AC28</f>
        <v>664.94</v>
      </c>
      <c r="AD52" s="51">
        <f t="shared" si="66"/>
        <v>707.13300000000004</v>
      </c>
      <c r="AE52" s="51">
        <f t="shared" si="66"/>
        <v>653.70000000000005</v>
      </c>
      <c r="AF52" s="51">
        <f t="shared" si="66"/>
        <v>669.10199999999998</v>
      </c>
      <c r="AG52" s="51">
        <f t="shared" si="66"/>
        <v>659.98599999999999</v>
      </c>
      <c r="AH52" s="51">
        <f t="shared" si="66"/>
        <v>639.149</v>
      </c>
      <c r="AI52" s="51">
        <f t="shared" ref="AI52:AN52" si="67">AI28</f>
        <v>563.43100000000004</v>
      </c>
      <c r="AJ52" s="51">
        <f t="shared" si="67"/>
        <v>584.90899999999999</v>
      </c>
      <c r="AK52" s="51">
        <f t="shared" si="67"/>
        <v>559.471</v>
      </c>
      <c r="AL52" s="51">
        <f t="shared" si="67"/>
        <v>572</v>
      </c>
      <c r="AM52" s="51">
        <f t="shared" si="67"/>
        <v>544</v>
      </c>
      <c r="AN52" s="51">
        <f t="shared" si="67"/>
        <v>716</v>
      </c>
      <c r="AO52" s="51" t="e">
        <f>#REF!</f>
        <v>#REF!</v>
      </c>
      <c r="AP52" s="51" t="e">
        <f>#REF!</f>
        <v>#REF!</v>
      </c>
      <c r="AQ52" s="51" t="e">
        <f>#REF!</f>
        <v>#REF!</v>
      </c>
      <c r="AR52" s="51" t="e">
        <f>#REF!</f>
        <v>#REF!</v>
      </c>
      <c r="AS52" s="51" t="e">
        <f>#REF!</f>
        <v>#REF!</v>
      </c>
      <c r="AT52" s="51" t="e">
        <f>#REF!</f>
        <v>#REF!</v>
      </c>
      <c r="AU52" s="51" t="e">
        <f>#REF!</f>
        <v>#REF!</v>
      </c>
    </row>
    <row r="53" spans="1:47" x14ac:dyDescent="0.2">
      <c r="A53" s="49" t="s">
        <v>60</v>
      </c>
      <c r="D53" s="51">
        <f t="shared" ref="D53:AC53" si="68">D52-C52</f>
        <v>-31.713000000000022</v>
      </c>
      <c r="E53" s="51">
        <f t="shared" si="68"/>
        <v>43.121000000000009</v>
      </c>
      <c r="F53" s="51">
        <f t="shared" si="68"/>
        <v>24.027000000000015</v>
      </c>
      <c r="G53" s="51">
        <f t="shared" si="68"/>
        <v>23.442000000000007</v>
      </c>
      <c r="H53" s="51">
        <f t="shared" si="68"/>
        <v>21.279999999999973</v>
      </c>
      <c r="I53" s="51">
        <f t="shared" si="68"/>
        <v>27.173000000000002</v>
      </c>
      <c r="J53" s="51">
        <f t="shared" si="68"/>
        <v>112.32100000000003</v>
      </c>
      <c r="K53" s="51">
        <f t="shared" si="68"/>
        <v>19.887999999999977</v>
      </c>
      <c r="L53" s="51"/>
      <c r="M53" s="51"/>
      <c r="N53" s="51"/>
      <c r="O53" s="51">
        <f>O52-K52</f>
        <v>21.644000000000005</v>
      </c>
      <c r="P53" s="51">
        <f t="shared" si="68"/>
        <v>-16.446000000000026</v>
      </c>
      <c r="Q53" s="51">
        <f t="shared" si="68"/>
        <v>46.194000000000017</v>
      </c>
      <c r="R53" s="51">
        <f t="shared" si="68"/>
        <v>2.4650000000000318</v>
      </c>
      <c r="S53" s="51">
        <f t="shared" si="68"/>
        <v>19.247000000000014</v>
      </c>
      <c r="T53" s="51"/>
      <c r="U53" s="51">
        <f t="shared" si="68"/>
        <v>49.900999999999954</v>
      </c>
      <c r="V53" s="51">
        <f t="shared" si="68"/>
        <v>151.46199999999999</v>
      </c>
      <c r="W53" s="51">
        <f t="shared" si="68"/>
        <v>-51.053999999999974</v>
      </c>
      <c r="X53" s="51">
        <f t="shared" si="68"/>
        <v>-6.5389999999999873</v>
      </c>
      <c r="Y53" s="51">
        <f t="shared" si="68"/>
        <v>-36.239000000000033</v>
      </c>
      <c r="Z53" s="51">
        <f t="shared" si="68"/>
        <v>12.692000000000007</v>
      </c>
      <c r="AA53" s="51">
        <f t="shared" si="68"/>
        <v>-52.643000000000029</v>
      </c>
      <c r="AB53" s="51">
        <f t="shared" si="68"/>
        <v>64.918999999999983</v>
      </c>
      <c r="AC53" s="51">
        <f t="shared" si="68"/>
        <v>11.183000000000106</v>
      </c>
      <c r="AD53" s="51">
        <f t="shared" ref="AD53:AJ53" si="69">AD52-AC52</f>
        <v>42.192999999999984</v>
      </c>
      <c r="AE53" s="51">
        <f t="shared" si="69"/>
        <v>-53.432999999999993</v>
      </c>
      <c r="AF53" s="51">
        <f t="shared" si="69"/>
        <v>15.40199999999993</v>
      </c>
      <c r="AG53" s="51">
        <f t="shared" si="69"/>
        <v>-9.1159999999999854</v>
      </c>
      <c r="AH53" s="51">
        <f t="shared" si="69"/>
        <v>-20.836999999999989</v>
      </c>
      <c r="AI53" s="51">
        <f t="shared" si="69"/>
        <v>-75.717999999999961</v>
      </c>
      <c r="AJ53" s="51">
        <f t="shared" si="69"/>
        <v>21.477999999999952</v>
      </c>
      <c r="AK53" s="51">
        <f>AK52-AJ52</f>
        <v>-25.437999999999988</v>
      </c>
      <c r="AL53" s="51">
        <f>AL52-AK52</f>
        <v>12.528999999999996</v>
      </c>
      <c r="AM53" s="51">
        <f>AM52-AL52</f>
        <v>-28</v>
      </c>
      <c r="AN53" s="51">
        <f>AN52-AM52</f>
        <v>172</v>
      </c>
    </row>
    <row r="54" spans="1:47" s="49" customFormat="1" x14ac:dyDescent="0.2">
      <c r="A54" s="49" t="s">
        <v>57</v>
      </c>
      <c r="B54" s="58">
        <f>B48+B50-B52</f>
        <v>778.66499999999996</v>
      </c>
      <c r="C54" s="58">
        <f>C48+C50-C52</f>
        <v>736.94900000000007</v>
      </c>
      <c r="D54" s="58">
        <f t="shared" ref="D54:O54" si="70">D48+D50-D52</f>
        <v>669.06899999999996</v>
      </c>
      <c r="E54" s="58">
        <f t="shared" si="70"/>
        <v>626.94399999999996</v>
      </c>
      <c r="F54" s="58">
        <f t="shared" si="70"/>
        <v>558.68599999999992</v>
      </c>
      <c r="G54" s="58">
        <f t="shared" si="70"/>
        <v>639.51900000000001</v>
      </c>
      <c r="H54" s="58">
        <f t="shared" si="70"/>
        <v>867.19500000000016</v>
      </c>
      <c r="I54" s="58">
        <f t="shared" si="70"/>
        <v>953.63100000000009</v>
      </c>
      <c r="J54" s="58">
        <f t="shared" si="70"/>
        <v>1506.498</v>
      </c>
      <c r="K54" s="58">
        <f t="shared" si="70"/>
        <v>1884.2369999999996</v>
      </c>
      <c r="L54" s="58">
        <f t="shared" si="70"/>
        <v>1910.193</v>
      </c>
      <c r="M54" s="58">
        <f t="shared" si="70"/>
        <v>1618.547</v>
      </c>
      <c r="N54" s="58">
        <f t="shared" si="70"/>
        <v>1716.4119999999996</v>
      </c>
      <c r="O54" s="58">
        <f t="shared" si="70"/>
        <v>1733.0719999999999</v>
      </c>
      <c r="P54" s="58">
        <f t="shared" ref="P54:W54" si="71">P48+P50-P52</f>
        <v>1786.1980000000003</v>
      </c>
      <c r="Q54" s="58">
        <f t="shared" si="71"/>
        <v>1546.1389999999999</v>
      </c>
      <c r="R54" s="58">
        <f t="shared" si="71"/>
        <v>1521.0160000000001</v>
      </c>
      <c r="S54" s="58">
        <f t="shared" si="71"/>
        <v>1542.568</v>
      </c>
      <c r="T54" s="58">
        <f t="shared" si="71"/>
        <v>1542.568</v>
      </c>
      <c r="U54" s="58">
        <f t="shared" si="71"/>
        <v>1764.2649999999999</v>
      </c>
      <c r="V54" s="58">
        <f t="shared" si="71"/>
        <v>1922.6120000000001</v>
      </c>
      <c r="W54" s="58">
        <f t="shared" si="71"/>
        <v>1947.877</v>
      </c>
      <c r="X54" s="58">
        <f t="shared" ref="X54:AC54" si="72">X48+X50-X52</f>
        <v>2073.415</v>
      </c>
      <c r="Y54" s="58">
        <f t="shared" si="72"/>
        <v>2133.5600000000004</v>
      </c>
      <c r="Z54" s="58">
        <f t="shared" si="72"/>
        <v>2135.3230000000003</v>
      </c>
      <c r="AA54" s="58">
        <f t="shared" si="72"/>
        <v>1990.9880000000001</v>
      </c>
      <c r="AB54" s="58">
        <f t="shared" si="72"/>
        <v>1900.4940000000001</v>
      </c>
      <c r="AC54" s="58">
        <f t="shared" si="72"/>
        <v>2004.0210000000002</v>
      </c>
      <c r="AD54" s="58">
        <f t="shared" ref="AD54:AJ54" si="73">AD48+AD50-AD52</f>
        <v>1899.9159999999999</v>
      </c>
      <c r="AE54" s="58">
        <f t="shared" si="73"/>
        <v>1748.0330000000001</v>
      </c>
      <c r="AF54" s="58">
        <f t="shared" si="73"/>
        <v>1796.223</v>
      </c>
      <c r="AG54" s="58">
        <f t="shared" si="73"/>
        <v>1936.3560000000002</v>
      </c>
      <c r="AH54" s="58">
        <f t="shared" si="73"/>
        <v>1985.44</v>
      </c>
      <c r="AI54" s="58">
        <f t="shared" si="73"/>
        <v>1881.748</v>
      </c>
      <c r="AJ54" s="58">
        <f t="shared" si="73"/>
        <v>1789.3349999999996</v>
      </c>
      <c r="AK54" s="58">
        <f>AK48+AK50-AK52</f>
        <v>1786.5549999999998</v>
      </c>
      <c r="AL54" s="58">
        <f>AL48+AL50-AL52</f>
        <v>1511</v>
      </c>
      <c r="AM54" s="58">
        <f>AM48+AM50-AM52</f>
        <v>1523</v>
      </c>
      <c r="AN54" s="58">
        <f>AN48+AN50-AN52</f>
        <v>1730</v>
      </c>
      <c r="AO54" s="58" t="e">
        <f t="shared" ref="AO54:AU54" si="74">AO48+AO50-AO52</f>
        <v>#REF!</v>
      </c>
      <c r="AP54" s="58" t="e">
        <f t="shared" si="74"/>
        <v>#REF!</v>
      </c>
      <c r="AQ54" s="58" t="e">
        <f t="shared" si="74"/>
        <v>#REF!</v>
      </c>
      <c r="AR54" s="58" t="e">
        <f t="shared" si="74"/>
        <v>#REF!</v>
      </c>
      <c r="AS54" s="58" t="e">
        <f t="shared" si="74"/>
        <v>#REF!</v>
      </c>
      <c r="AT54" s="58" t="e">
        <f t="shared" si="74"/>
        <v>#REF!</v>
      </c>
      <c r="AU54" s="58" t="e">
        <f t="shared" si="74"/>
        <v>#REF!</v>
      </c>
    </row>
    <row r="55" spans="1:47" x14ac:dyDescent="0.2">
      <c r="A55" s="49" t="s">
        <v>62</v>
      </c>
      <c r="B55" s="150" t="e">
        <f t="shared" ref="B55:K55" si="75">B54/B2</f>
        <v>#REF!</v>
      </c>
      <c r="C55" s="150" t="e">
        <f t="shared" si="75"/>
        <v>#REF!</v>
      </c>
      <c r="D55" s="150" t="e">
        <f t="shared" si="75"/>
        <v>#REF!</v>
      </c>
      <c r="E55" s="150" t="e">
        <f t="shared" si="75"/>
        <v>#REF!</v>
      </c>
      <c r="F55" s="150" t="e">
        <f t="shared" si="75"/>
        <v>#REF!</v>
      </c>
      <c r="G55" s="150" t="e">
        <f t="shared" si="75"/>
        <v>#REF!</v>
      </c>
      <c r="H55" s="150" t="e">
        <f t="shared" si="75"/>
        <v>#REF!</v>
      </c>
      <c r="I55" s="150" t="e">
        <f t="shared" si="75"/>
        <v>#REF!</v>
      </c>
      <c r="J55" s="150" t="e">
        <f t="shared" si="75"/>
        <v>#REF!</v>
      </c>
      <c r="K55" s="150" t="e">
        <f t="shared" si="75"/>
        <v>#REF!</v>
      </c>
      <c r="L55" s="150" t="e">
        <f>L54/(L2*4)</f>
        <v>#REF!</v>
      </c>
      <c r="M55" s="150" t="e">
        <f>M54/(M2*4)</f>
        <v>#REF!</v>
      </c>
      <c r="N55" s="150" t="e">
        <f>N54/(N2*4)</f>
        <v>#REF!</v>
      </c>
      <c r="O55" s="150" t="e">
        <f>O54/O2</f>
        <v>#REF!</v>
      </c>
      <c r="P55" s="150" t="e">
        <f>P54/(P2*4)</f>
        <v>#REF!</v>
      </c>
      <c r="Q55" s="150" t="e">
        <f>Q54/(Q2*4)</f>
        <v>#REF!</v>
      </c>
      <c r="R55" s="150" t="e">
        <f>R54/(R2*4)</f>
        <v>#REF!</v>
      </c>
      <c r="S55" s="150" t="e">
        <f>S54/(S2*4)</f>
        <v>#REF!</v>
      </c>
      <c r="T55" s="150" t="e">
        <f>T54/T2</f>
        <v>#REF!</v>
      </c>
      <c r="U55" s="150" t="e">
        <f t="shared" ref="U55:Z55" si="76">U54/(U2*4)</f>
        <v>#REF!</v>
      </c>
      <c r="V55" s="150" t="e">
        <f t="shared" si="76"/>
        <v>#REF!</v>
      </c>
      <c r="W55" s="150" t="e">
        <f t="shared" si="76"/>
        <v>#REF!</v>
      </c>
      <c r="X55" s="150" t="e">
        <f t="shared" si="76"/>
        <v>#REF!</v>
      </c>
      <c r="Y55" s="150" t="e">
        <f t="shared" si="76"/>
        <v>#REF!</v>
      </c>
      <c r="Z55" s="150" t="e">
        <f t="shared" si="76"/>
        <v>#REF!</v>
      </c>
      <c r="AA55" s="150" t="e">
        <f t="shared" ref="AA55:AH55" si="77">AA54/(AA2*4)</f>
        <v>#REF!</v>
      </c>
      <c r="AB55" s="150" t="e">
        <f t="shared" si="77"/>
        <v>#REF!</v>
      </c>
      <c r="AC55" s="150" t="e">
        <f t="shared" si="77"/>
        <v>#REF!</v>
      </c>
      <c r="AD55" s="150" t="e">
        <f t="shared" si="77"/>
        <v>#REF!</v>
      </c>
      <c r="AE55" s="150" t="e">
        <f t="shared" si="77"/>
        <v>#REF!</v>
      </c>
      <c r="AF55" s="150" t="e">
        <f t="shared" si="77"/>
        <v>#REF!</v>
      </c>
      <c r="AG55" s="150" t="e">
        <f t="shared" si="77"/>
        <v>#REF!</v>
      </c>
      <c r="AH55" s="150" t="e">
        <f t="shared" si="77"/>
        <v>#REF!</v>
      </c>
      <c r="AI55" s="150" t="e">
        <f t="shared" ref="AI55:AN55" si="78">AI54/(AI2*4)</f>
        <v>#REF!</v>
      </c>
      <c r="AJ55" s="150" t="e">
        <f t="shared" si="78"/>
        <v>#REF!</v>
      </c>
      <c r="AK55" s="150" t="e">
        <f t="shared" si="78"/>
        <v>#REF!</v>
      </c>
      <c r="AL55" s="150" t="e">
        <f t="shared" si="78"/>
        <v>#REF!</v>
      </c>
      <c r="AM55" s="150" t="e">
        <f t="shared" si="78"/>
        <v>#REF!</v>
      </c>
      <c r="AN55" s="150" t="e">
        <f t="shared" si="78"/>
        <v>#REF!</v>
      </c>
    </row>
    <row r="56" spans="1:47" x14ac:dyDescent="0.2">
      <c r="A56" s="49" t="s">
        <v>61</v>
      </c>
      <c r="D56" s="51">
        <f t="shared" ref="D56:K56" si="79">D54-C54</f>
        <v>-67.880000000000109</v>
      </c>
      <c r="E56" s="51">
        <f t="shared" si="79"/>
        <v>-42.125</v>
      </c>
      <c r="F56" s="51">
        <f t="shared" si="79"/>
        <v>-68.258000000000038</v>
      </c>
      <c r="G56" s="51">
        <f t="shared" si="79"/>
        <v>80.833000000000084</v>
      </c>
      <c r="H56" s="51">
        <f t="shared" si="79"/>
        <v>227.67600000000016</v>
      </c>
      <c r="I56" s="51">
        <f t="shared" si="79"/>
        <v>86.435999999999922</v>
      </c>
      <c r="J56" s="51">
        <f t="shared" si="79"/>
        <v>552.86699999999996</v>
      </c>
      <c r="K56" s="51">
        <f t="shared" si="79"/>
        <v>377.73899999999958</v>
      </c>
      <c r="L56" s="51"/>
      <c r="M56" s="51"/>
      <c r="N56" s="51"/>
      <c r="O56" s="51">
        <f>O54-K54</f>
        <v>-151.16499999999974</v>
      </c>
      <c r="P56" s="51">
        <f>P54-L54</f>
        <v>-123.99499999999966</v>
      </c>
      <c r="Q56" s="51">
        <f>Q54-M54</f>
        <v>-72.408000000000129</v>
      </c>
      <c r="R56" s="51">
        <f>R54-N54</f>
        <v>-195.3959999999995</v>
      </c>
      <c r="S56" s="51">
        <f>S54-O54</f>
        <v>-190.50399999999991</v>
      </c>
      <c r="T56" s="51">
        <f>T54-O54</f>
        <v>-190.50399999999991</v>
      </c>
      <c r="U56" s="51">
        <f t="shared" ref="U56:AC56" si="80">U54-Q54</f>
        <v>218.12599999999998</v>
      </c>
      <c r="V56" s="51">
        <f t="shared" si="80"/>
        <v>401.596</v>
      </c>
      <c r="W56" s="51">
        <f t="shared" si="80"/>
        <v>405.30899999999997</v>
      </c>
      <c r="X56" s="51">
        <f t="shared" si="80"/>
        <v>530.84699999999998</v>
      </c>
      <c r="Y56" s="51">
        <f t="shared" si="80"/>
        <v>369.29500000000053</v>
      </c>
      <c r="Z56" s="51">
        <f t="shared" si="80"/>
        <v>212.71100000000024</v>
      </c>
      <c r="AA56" s="51">
        <f t="shared" si="80"/>
        <v>43.111000000000104</v>
      </c>
      <c r="AB56" s="51">
        <f t="shared" si="80"/>
        <v>-172.92099999999982</v>
      </c>
      <c r="AC56" s="51">
        <f t="shared" si="80"/>
        <v>-129.53900000000021</v>
      </c>
      <c r="AD56" s="51">
        <f t="shared" ref="AD56:AJ56" si="81">AD54-Z54</f>
        <v>-235.40700000000038</v>
      </c>
      <c r="AE56" s="51">
        <f t="shared" si="81"/>
        <v>-242.95499999999993</v>
      </c>
      <c r="AF56" s="51">
        <f t="shared" si="81"/>
        <v>-104.27100000000019</v>
      </c>
      <c r="AG56" s="51">
        <f t="shared" si="81"/>
        <v>-67.664999999999964</v>
      </c>
      <c r="AH56" s="51">
        <f t="shared" si="81"/>
        <v>85.524000000000115</v>
      </c>
      <c r="AI56" s="51">
        <f t="shared" si="81"/>
        <v>133.71499999999992</v>
      </c>
      <c r="AJ56" s="51">
        <f t="shared" si="81"/>
        <v>-6.8880000000003747</v>
      </c>
      <c r="AK56" s="51">
        <f>AK54-AG54</f>
        <v>-149.80100000000039</v>
      </c>
      <c r="AL56" s="51">
        <f>AL54-AH54</f>
        <v>-474.44000000000005</v>
      </c>
      <c r="AM56" s="51">
        <f>AM54-AI54</f>
        <v>-358.74800000000005</v>
      </c>
      <c r="AN56" s="51">
        <f>AN54-AJ54</f>
        <v>-59.334999999999582</v>
      </c>
      <c r="AO56" s="58" t="e">
        <f>AO54-T54</f>
        <v>#REF!</v>
      </c>
      <c r="AP56" s="58" t="e">
        <f t="shared" ref="AP56:AU56" si="82">AP54-AO54</f>
        <v>#REF!</v>
      </c>
      <c r="AQ56" s="58" t="e">
        <f t="shared" si="82"/>
        <v>#REF!</v>
      </c>
      <c r="AR56" s="58" t="e">
        <f t="shared" si="82"/>
        <v>#REF!</v>
      </c>
      <c r="AS56" s="58" t="e">
        <f t="shared" si="82"/>
        <v>#REF!</v>
      </c>
      <c r="AT56" s="58" t="e">
        <f t="shared" si="82"/>
        <v>#REF!</v>
      </c>
      <c r="AU56" s="58" t="e">
        <f t="shared" si="82"/>
        <v>#REF!</v>
      </c>
    </row>
    <row r="57" spans="1:47" x14ac:dyDescent="0.2">
      <c r="A57" s="49"/>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row>
    <row r="58" spans="1:47" ht="15" x14ac:dyDescent="0.25">
      <c r="A58" s="1125" t="s">
        <v>73</v>
      </c>
      <c r="B58" s="1125"/>
      <c r="C58" s="1125"/>
      <c r="D58" s="1125"/>
      <c r="E58" s="1125"/>
      <c r="F58" s="1125"/>
      <c r="G58" s="1125"/>
      <c r="H58" s="1125"/>
      <c r="I58" s="1125"/>
      <c r="J58" s="1125"/>
      <c r="K58" s="1125"/>
      <c r="L58" s="1125"/>
      <c r="M58" s="1125"/>
      <c r="N58" s="1125"/>
      <c r="O58" s="1125"/>
      <c r="P58" s="1125"/>
      <c r="Q58" s="1125"/>
      <c r="R58" s="187"/>
      <c r="S58" s="187"/>
      <c r="T58" s="187"/>
      <c r="U58" s="187"/>
      <c r="V58" s="187"/>
      <c r="W58" s="187"/>
      <c r="X58" s="187"/>
      <c r="Y58" s="187"/>
      <c r="Z58" s="187"/>
      <c r="AA58" s="187"/>
      <c r="AB58" s="187"/>
      <c r="AC58" s="187"/>
      <c r="AD58" s="187"/>
      <c r="AE58" s="187"/>
      <c r="AF58" s="187"/>
      <c r="AG58" s="187"/>
      <c r="AH58" s="187"/>
      <c r="AI58" s="187"/>
      <c r="AJ58" s="187"/>
      <c r="AK58" s="187"/>
      <c r="AL58" s="187"/>
      <c r="AM58" s="187"/>
      <c r="AN58" s="187"/>
    </row>
    <row r="59" spans="1:47" outlineLevel="1" x14ac:dyDescent="0.2">
      <c r="A59" s="49" t="s">
        <v>0</v>
      </c>
      <c r="B59" s="51" t="e">
        <f>#REF!</f>
        <v>#REF!</v>
      </c>
      <c r="C59" s="51" t="e">
        <f>#REF!</f>
        <v>#REF!</v>
      </c>
      <c r="D59" s="51" t="e">
        <f t="shared" ref="D59:Q59" si="83">D2</f>
        <v>#REF!</v>
      </c>
      <c r="E59" s="51" t="e">
        <f t="shared" si="83"/>
        <v>#REF!</v>
      </c>
      <c r="F59" s="51" t="e">
        <f t="shared" si="83"/>
        <v>#REF!</v>
      </c>
      <c r="G59" s="51" t="e">
        <f t="shared" si="83"/>
        <v>#REF!</v>
      </c>
      <c r="H59" s="51" t="e">
        <f t="shared" si="83"/>
        <v>#REF!</v>
      </c>
      <c r="I59" s="51" t="e">
        <f t="shared" si="83"/>
        <v>#REF!</v>
      </c>
      <c r="J59" s="51" t="e">
        <f t="shared" si="83"/>
        <v>#REF!</v>
      </c>
      <c r="K59" s="51" t="e">
        <f t="shared" si="83"/>
        <v>#REF!</v>
      </c>
      <c r="L59" s="51" t="e">
        <f t="shared" si="83"/>
        <v>#REF!</v>
      </c>
      <c r="M59" s="51" t="e">
        <f t="shared" si="83"/>
        <v>#REF!</v>
      </c>
      <c r="N59" s="51" t="e">
        <f t="shared" si="83"/>
        <v>#REF!</v>
      </c>
      <c r="O59" s="51" t="e">
        <f t="shared" si="83"/>
        <v>#REF!</v>
      </c>
      <c r="P59" s="51" t="e">
        <f t="shared" si="83"/>
        <v>#REF!</v>
      </c>
      <c r="Q59" s="51" t="e">
        <f t="shared" si="83"/>
        <v>#REF!</v>
      </c>
      <c r="R59" s="51" t="e">
        <f>R2</f>
        <v>#REF!</v>
      </c>
      <c r="S59" s="51" t="e">
        <f>S2</f>
        <v>#REF!</v>
      </c>
      <c r="T59" s="51">
        <f>T5</f>
        <v>3130.1190000000001</v>
      </c>
      <c r="U59" s="51" t="e">
        <f t="shared" ref="U59:Z59" si="84">U2</f>
        <v>#REF!</v>
      </c>
      <c r="V59" s="51" t="e">
        <f t="shared" si="84"/>
        <v>#REF!</v>
      </c>
      <c r="W59" s="51" t="e">
        <f t="shared" si="84"/>
        <v>#REF!</v>
      </c>
      <c r="X59" s="51" t="e">
        <f t="shared" si="84"/>
        <v>#REF!</v>
      </c>
      <c r="Y59" s="51" t="e">
        <f t="shared" si="84"/>
        <v>#REF!</v>
      </c>
      <c r="Z59" s="51" t="e">
        <f t="shared" si="84"/>
        <v>#REF!</v>
      </c>
      <c r="AA59" s="51" t="e">
        <f t="shared" ref="AA59:AH59" si="85">AA2</f>
        <v>#REF!</v>
      </c>
      <c r="AB59" s="51" t="e">
        <f t="shared" si="85"/>
        <v>#REF!</v>
      </c>
      <c r="AC59" s="51" t="e">
        <f t="shared" si="85"/>
        <v>#REF!</v>
      </c>
      <c r="AD59" s="51" t="e">
        <f t="shared" si="85"/>
        <v>#REF!</v>
      </c>
      <c r="AE59" s="51" t="e">
        <f t="shared" si="85"/>
        <v>#REF!</v>
      </c>
      <c r="AF59" s="51" t="e">
        <f t="shared" si="85"/>
        <v>#REF!</v>
      </c>
      <c r="AG59" s="51" t="e">
        <f t="shared" si="85"/>
        <v>#REF!</v>
      </c>
      <c r="AH59" s="51" t="e">
        <f t="shared" si="85"/>
        <v>#REF!</v>
      </c>
      <c r="AI59" s="51" t="e">
        <f t="shared" ref="AI59:AN59" si="86">AI2</f>
        <v>#REF!</v>
      </c>
      <c r="AJ59" s="51" t="e">
        <f t="shared" si="86"/>
        <v>#REF!</v>
      </c>
      <c r="AK59" s="51" t="e">
        <f t="shared" si="86"/>
        <v>#REF!</v>
      </c>
      <c r="AL59" s="51" t="e">
        <f t="shared" si="86"/>
        <v>#REF!</v>
      </c>
      <c r="AM59" s="51" t="e">
        <f t="shared" si="86"/>
        <v>#REF!</v>
      </c>
      <c r="AN59" s="51" t="e">
        <f t="shared" si="86"/>
        <v>#REF!</v>
      </c>
      <c r="AO59" s="59" t="e">
        <f>AO5</f>
        <v>#REF!</v>
      </c>
      <c r="AP59" s="59" t="e">
        <f>AP5</f>
        <v>#REF!</v>
      </c>
      <c r="AQ59" s="51"/>
      <c r="AR59" s="51"/>
    </row>
    <row r="60" spans="1:47" outlineLevel="1" x14ac:dyDescent="0.2">
      <c r="A60" s="49" t="s">
        <v>39</v>
      </c>
      <c r="C60" s="51">
        <f>C8</f>
        <v>453.49299999999999</v>
      </c>
      <c r="D60" s="51">
        <f t="shared" ref="D60:Q60" si="87">D8</f>
        <v>354.36599999999999</v>
      </c>
      <c r="E60" s="51">
        <f t="shared" si="87"/>
        <v>340.59699999999998</v>
      </c>
      <c r="F60" s="51">
        <f t="shared" si="87"/>
        <v>262.44299999999998</v>
      </c>
      <c r="G60" s="51">
        <f t="shared" si="87"/>
        <v>397.2</v>
      </c>
      <c r="H60" s="51">
        <f t="shared" si="87"/>
        <v>503.44600000000003</v>
      </c>
      <c r="I60" s="51">
        <f t="shared" si="87"/>
        <v>470.56900000000002</v>
      </c>
      <c r="J60" s="51">
        <f t="shared" si="87"/>
        <v>964.19399999999996</v>
      </c>
      <c r="K60" s="51">
        <f>K8</f>
        <v>1054.3869999999999</v>
      </c>
      <c r="L60" s="51">
        <f t="shared" si="87"/>
        <v>964.55700000000002</v>
      </c>
      <c r="M60" s="51">
        <f t="shared" si="87"/>
        <v>761.553</v>
      </c>
      <c r="N60" s="51">
        <f t="shared" si="87"/>
        <v>915.44399999999996</v>
      </c>
      <c r="O60" s="51">
        <f t="shared" si="87"/>
        <v>969.62</v>
      </c>
      <c r="P60" s="51">
        <f t="shared" si="87"/>
        <v>1105.932</v>
      </c>
      <c r="Q60" s="51">
        <f t="shared" si="87"/>
        <v>987.40599999999995</v>
      </c>
      <c r="R60" s="51">
        <f>R8</f>
        <v>969.36500000000001</v>
      </c>
      <c r="S60" s="51">
        <f>S8</f>
        <v>949.69200000000001</v>
      </c>
      <c r="T60" s="51" t="e">
        <f>T61/365*2*T59-O60</f>
        <v>#REF!</v>
      </c>
      <c r="U60" s="51">
        <f t="shared" ref="U60:Z60" si="88">U8</f>
        <v>1163.8810000000001</v>
      </c>
      <c r="V60" s="51">
        <f t="shared" si="88"/>
        <v>1411.827</v>
      </c>
      <c r="W60" s="51">
        <f t="shared" si="88"/>
        <v>1350.471</v>
      </c>
      <c r="X60" s="51">
        <f t="shared" si="88"/>
        <v>1327.5129999999999</v>
      </c>
      <c r="Y60" s="51">
        <f t="shared" si="88"/>
        <v>1314.038</v>
      </c>
      <c r="Z60" s="51">
        <f t="shared" si="88"/>
        <v>1440.1869999999999</v>
      </c>
      <c r="AA60" s="51">
        <f t="shared" ref="AA60:AH60" si="89">AA8</f>
        <v>1259.1030000000001</v>
      </c>
      <c r="AB60" s="51">
        <f t="shared" si="89"/>
        <v>1074.2070000000001</v>
      </c>
      <c r="AC60" s="51">
        <f t="shared" si="89"/>
        <v>1261.1410000000001</v>
      </c>
      <c r="AD60" s="51">
        <f t="shared" si="89"/>
        <v>1237.634</v>
      </c>
      <c r="AE60" s="51">
        <f t="shared" si="89"/>
        <v>1031.53</v>
      </c>
      <c r="AF60" s="51">
        <f t="shared" si="89"/>
        <v>1057.028</v>
      </c>
      <c r="AG60" s="51">
        <f t="shared" si="89"/>
        <v>1262.491</v>
      </c>
      <c r="AH60" s="51">
        <f t="shared" si="89"/>
        <v>1274.0609999999999</v>
      </c>
      <c r="AI60" s="51">
        <f t="shared" ref="AI60:AN60" si="90">AI8</f>
        <v>1168.2919999999999</v>
      </c>
      <c r="AJ60" s="51">
        <f t="shared" si="90"/>
        <v>1039.146</v>
      </c>
      <c r="AK60" s="51">
        <f t="shared" si="90"/>
        <v>1110.336</v>
      </c>
      <c r="AL60" s="51">
        <f t="shared" si="90"/>
        <v>882</v>
      </c>
      <c r="AM60" s="51">
        <f t="shared" si="90"/>
        <v>883</v>
      </c>
      <c r="AN60" s="51">
        <f t="shared" si="90"/>
        <v>1082</v>
      </c>
      <c r="AO60" s="51" t="e">
        <f>AO61/365*2*AO59-P60</f>
        <v>#REF!</v>
      </c>
      <c r="AP60" s="51" t="e">
        <f>AP61/365*2*AP59-Q60</f>
        <v>#REF!</v>
      </c>
      <c r="AQ60" s="51"/>
      <c r="AR60" s="51"/>
    </row>
    <row r="61" spans="1:47" outlineLevel="1" x14ac:dyDescent="0.2">
      <c r="A61" s="49" t="s">
        <v>69</v>
      </c>
      <c r="C61" s="55" t="e">
        <f t="shared" ref="C61:K61" si="91">((C60+B60)/2)/(C59)*365</f>
        <v>#REF!</v>
      </c>
      <c r="D61" s="55" t="e">
        <f t="shared" si="91"/>
        <v>#REF!</v>
      </c>
      <c r="E61" s="55" t="e">
        <f t="shared" si="91"/>
        <v>#REF!</v>
      </c>
      <c r="F61" s="55" t="e">
        <f t="shared" si="91"/>
        <v>#REF!</v>
      </c>
      <c r="G61" s="55" t="e">
        <f t="shared" si="91"/>
        <v>#REF!</v>
      </c>
      <c r="H61" s="55" t="e">
        <f t="shared" si="91"/>
        <v>#REF!</v>
      </c>
      <c r="I61" s="55" t="e">
        <f t="shared" si="91"/>
        <v>#REF!</v>
      </c>
      <c r="J61" s="55" t="e">
        <f t="shared" si="91"/>
        <v>#REF!</v>
      </c>
      <c r="K61" s="55" t="e">
        <f t="shared" si="91"/>
        <v>#REF!</v>
      </c>
      <c r="L61" s="55" t="e">
        <f t="shared" ref="L61:AC61" si="92">((L60+K60)/2)/(L59*4)*365</f>
        <v>#REF!</v>
      </c>
      <c r="M61" s="55" t="e">
        <f t="shared" si="92"/>
        <v>#REF!</v>
      </c>
      <c r="N61" s="55" t="e">
        <f t="shared" si="92"/>
        <v>#REF!</v>
      </c>
      <c r="O61" s="55" t="e">
        <f>((O60+K60)/2)/(O59)*365</f>
        <v>#REF!</v>
      </c>
      <c r="P61" s="55" t="e">
        <f t="shared" si="92"/>
        <v>#REF!</v>
      </c>
      <c r="Q61" s="55" t="e">
        <f t="shared" si="92"/>
        <v>#REF!</v>
      </c>
      <c r="R61" s="55" t="e">
        <f t="shared" si="92"/>
        <v>#REF!</v>
      </c>
      <c r="S61" s="55" t="e">
        <f t="shared" si="92"/>
        <v>#REF!</v>
      </c>
      <c r="T61" s="55" t="e">
        <f>AVERAGE(Q61,P61,O61,K61,J61,I61,H61)</f>
        <v>#REF!</v>
      </c>
      <c r="U61" s="55" t="e">
        <f t="shared" si="92"/>
        <v>#REF!</v>
      </c>
      <c r="V61" s="55" t="e">
        <f t="shared" si="92"/>
        <v>#REF!</v>
      </c>
      <c r="W61" s="55" t="e">
        <f t="shared" si="92"/>
        <v>#REF!</v>
      </c>
      <c r="X61" s="55" t="e">
        <f t="shared" si="92"/>
        <v>#REF!</v>
      </c>
      <c r="Y61" s="55" t="e">
        <f t="shared" si="92"/>
        <v>#REF!</v>
      </c>
      <c r="Z61" s="55" t="e">
        <f t="shared" si="92"/>
        <v>#REF!</v>
      </c>
      <c r="AA61" s="55" t="e">
        <f t="shared" si="92"/>
        <v>#REF!</v>
      </c>
      <c r="AB61" s="55" t="e">
        <f t="shared" si="92"/>
        <v>#REF!</v>
      </c>
      <c r="AC61" s="55" t="e">
        <f t="shared" si="92"/>
        <v>#REF!</v>
      </c>
      <c r="AD61" s="55" t="e">
        <f t="shared" ref="AD61:AJ61" si="93">((AD60+AC60)/2)/(AD59*4)*365</f>
        <v>#REF!</v>
      </c>
      <c r="AE61" s="55" t="e">
        <f t="shared" si="93"/>
        <v>#REF!</v>
      </c>
      <c r="AF61" s="55" t="e">
        <f t="shared" si="93"/>
        <v>#REF!</v>
      </c>
      <c r="AG61" s="55" t="e">
        <f t="shared" si="93"/>
        <v>#REF!</v>
      </c>
      <c r="AH61" s="55" t="e">
        <f t="shared" si="93"/>
        <v>#REF!</v>
      </c>
      <c r="AI61" s="55" t="e">
        <f t="shared" si="93"/>
        <v>#REF!</v>
      </c>
      <c r="AJ61" s="55" t="e">
        <f t="shared" si="93"/>
        <v>#REF!</v>
      </c>
      <c r="AK61" s="55" t="e">
        <f>((AK60+AJ60)/2)/(AK59*4)*365</f>
        <v>#REF!</v>
      </c>
      <c r="AL61" s="55" t="e">
        <f>((AL60+AK60)/2)/(AL59*4)*365</f>
        <v>#REF!</v>
      </c>
      <c r="AM61" s="55" t="e">
        <f>((AM60+AL60)/2)/(AM59*4)*365</f>
        <v>#REF!</v>
      </c>
      <c r="AN61" s="55" t="e">
        <f>((AN60+AM60)/2)/(AN59*4)*365</f>
        <v>#REF!</v>
      </c>
      <c r="AO61" s="55">
        <f>90</f>
        <v>90</v>
      </c>
      <c r="AP61" s="55">
        <v>90</v>
      </c>
      <c r="AQ61" s="55"/>
      <c r="AR61" s="55"/>
    </row>
    <row r="62" spans="1:47" outlineLevel="1" x14ac:dyDescent="0.2">
      <c r="A62" s="49" t="s">
        <v>87</v>
      </c>
      <c r="C62" s="151" t="e">
        <f>C60/C59</f>
        <v>#REF!</v>
      </c>
      <c r="D62" s="151" t="e">
        <f t="shared" ref="D62:K62" si="94">D60/D59</f>
        <v>#REF!</v>
      </c>
      <c r="E62" s="151" t="e">
        <f t="shared" si="94"/>
        <v>#REF!</v>
      </c>
      <c r="F62" s="151" t="e">
        <f t="shared" si="94"/>
        <v>#REF!</v>
      </c>
      <c r="G62" s="151" t="e">
        <f t="shared" si="94"/>
        <v>#REF!</v>
      </c>
      <c r="H62" s="151" t="e">
        <f t="shared" si="94"/>
        <v>#REF!</v>
      </c>
      <c r="I62" s="151" t="e">
        <f t="shared" si="94"/>
        <v>#REF!</v>
      </c>
      <c r="J62" s="151" t="e">
        <f t="shared" si="94"/>
        <v>#REF!</v>
      </c>
      <c r="K62" s="151" t="e">
        <f t="shared" si="94"/>
        <v>#REF!</v>
      </c>
      <c r="L62" s="151" t="e">
        <f>L60/L59/4</f>
        <v>#REF!</v>
      </c>
      <c r="M62" s="151" t="e">
        <f>M60/M59/4</f>
        <v>#REF!</v>
      </c>
      <c r="N62" s="151" t="e">
        <f>N60/N59/4</f>
        <v>#REF!</v>
      </c>
      <c r="O62" s="151" t="e">
        <f>O60/O59</f>
        <v>#REF!</v>
      </c>
      <c r="P62" s="151" t="e">
        <f>P60/P59/4</f>
        <v>#REF!</v>
      </c>
      <c r="Q62" s="151" t="e">
        <f>Q60/Q59/4</f>
        <v>#REF!</v>
      </c>
      <c r="R62" s="151" t="e">
        <f>R60/R59/4</f>
        <v>#REF!</v>
      </c>
      <c r="S62" s="151" t="e">
        <f>S60/S59/4</f>
        <v>#REF!</v>
      </c>
      <c r="T62" s="151">
        <v>0.27</v>
      </c>
      <c r="U62" s="151" t="e">
        <f t="shared" ref="U62:Z62" si="95">U60/U59/4</f>
        <v>#REF!</v>
      </c>
      <c r="V62" s="151" t="e">
        <f t="shared" si="95"/>
        <v>#REF!</v>
      </c>
      <c r="W62" s="151" t="e">
        <f t="shared" si="95"/>
        <v>#REF!</v>
      </c>
      <c r="X62" s="151" t="e">
        <f t="shared" si="95"/>
        <v>#REF!</v>
      </c>
      <c r="Y62" s="151" t="e">
        <f t="shared" si="95"/>
        <v>#REF!</v>
      </c>
      <c r="Z62" s="151" t="e">
        <f t="shared" si="95"/>
        <v>#REF!</v>
      </c>
      <c r="AA62" s="151" t="e">
        <f t="shared" ref="AA62:AH62" si="96">AA60/AA59/4</f>
        <v>#REF!</v>
      </c>
      <c r="AB62" s="151" t="e">
        <f t="shared" si="96"/>
        <v>#REF!</v>
      </c>
      <c r="AC62" s="151" t="e">
        <f t="shared" si="96"/>
        <v>#REF!</v>
      </c>
      <c r="AD62" s="151" t="e">
        <f t="shared" si="96"/>
        <v>#REF!</v>
      </c>
      <c r="AE62" s="151" t="e">
        <f t="shared" si="96"/>
        <v>#REF!</v>
      </c>
      <c r="AF62" s="151" t="e">
        <f t="shared" si="96"/>
        <v>#REF!</v>
      </c>
      <c r="AG62" s="151" t="e">
        <f t="shared" si="96"/>
        <v>#REF!</v>
      </c>
      <c r="AH62" s="151" t="e">
        <f t="shared" si="96"/>
        <v>#REF!</v>
      </c>
      <c r="AI62" s="151" t="e">
        <f t="shared" ref="AI62:AN62" si="97">AI60/AI59/4</f>
        <v>#REF!</v>
      </c>
      <c r="AJ62" s="151" t="e">
        <f t="shared" si="97"/>
        <v>#REF!</v>
      </c>
      <c r="AK62" s="151" t="e">
        <f t="shared" si="97"/>
        <v>#REF!</v>
      </c>
      <c r="AL62" s="151" t="e">
        <f t="shared" si="97"/>
        <v>#REF!</v>
      </c>
      <c r="AM62" s="151" t="e">
        <f t="shared" si="97"/>
        <v>#REF!</v>
      </c>
      <c r="AN62" s="151" t="e">
        <f t="shared" si="97"/>
        <v>#REF!</v>
      </c>
      <c r="AO62" s="50">
        <v>0.26750000000000002</v>
      </c>
      <c r="AP62" s="50">
        <v>0.26750000000000002</v>
      </c>
      <c r="AQ62" s="50"/>
      <c r="AR62" s="50"/>
    </row>
    <row r="63" spans="1:47" outlineLevel="1" x14ac:dyDescent="0.2">
      <c r="A63" s="49" t="s">
        <v>88</v>
      </c>
      <c r="C63" s="51">
        <f>C60</f>
        <v>453.49299999999999</v>
      </c>
      <c r="D63" s="51">
        <f t="shared" ref="D63:Q63" si="98">D60</f>
        <v>354.36599999999999</v>
      </c>
      <c r="E63" s="51">
        <f t="shared" si="98"/>
        <v>340.59699999999998</v>
      </c>
      <c r="F63" s="51">
        <f t="shared" si="98"/>
        <v>262.44299999999998</v>
      </c>
      <c r="G63" s="51">
        <f t="shared" si="98"/>
        <v>397.2</v>
      </c>
      <c r="H63" s="51">
        <f t="shared" si="98"/>
        <v>503.44600000000003</v>
      </c>
      <c r="I63" s="51">
        <f t="shared" si="98"/>
        <v>470.56900000000002</v>
      </c>
      <c r="J63" s="51">
        <f t="shared" si="98"/>
        <v>964.19399999999996</v>
      </c>
      <c r="K63" s="51">
        <f t="shared" si="98"/>
        <v>1054.3869999999999</v>
      </c>
      <c r="L63" s="51">
        <f t="shared" si="98"/>
        <v>964.55700000000002</v>
      </c>
      <c r="M63" s="51">
        <f t="shared" si="98"/>
        <v>761.553</v>
      </c>
      <c r="N63" s="51">
        <f t="shared" si="98"/>
        <v>915.44399999999996</v>
      </c>
      <c r="O63" s="51">
        <f t="shared" si="98"/>
        <v>969.62</v>
      </c>
      <c r="P63" s="51">
        <f t="shared" si="98"/>
        <v>1105.932</v>
      </c>
      <c r="Q63" s="51">
        <f t="shared" si="98"/>
        <v>987.40599999999995</v>
      </c>
      <c r="R63" s="51">
        <f>R60</f>
        <v>969.36500000000001</v>
      </c>
      <c r="S63" s="51">
        <f>S60</f>
        <v>949.69200000000001</v>
      </c>
      <c r="T63" s="51">
        <f>T62*T59</f>
        <v>845.13213000000007</v>
      </c>
      <c r="U63" s="51">
        <f t="shared" ref="U63:Z63" si="99">U60</f>
        <v>1163.8810000000001</v>
      </c>
      <c r="V63" s="51">
        <f t="shared" si="99"/>
        <v>1411.827</v>
      </c>
      <c r="W63" s="51">
        <f t="shared" si="99"/>
        <v>1350.471</v>
      </c>
      <c r="X63" s="51">
        <f t="shared" si="99"/>
        <v>1327.5129999999999</v>
      </c>
      <c r="Y63" s="51">
        <f t="shared" si="99"/>
        <v>1314.038</v>
      </c>
      <c r="Z63" s="51">
        <f t="shared" si="99"/>
        <v>1440.1869999999999</v>
      </c>
      <c r="AA63" s="51">
        <f t="shared" ref="AA63:AH63" si="100">AA60</f>
        <v>1259.1030000000001</v>
      </c>
      <c r="AB63" s="51">
        <f t="shared" si="100"/>
        <v>1074.2070000000001</v>
      </c>
      <c r="AC63" s="51">
        <f t="shared" si="100"/>
        <v>1261.1410000000001</v>
      </c>
      <c r="AD63" s="51">
        <f t="shared" si="100"/>
        <v>1237.634</v>
      </c>
      <c r="AE63" s="51">
        <f t="shared" si="100"/>
        <v>1031.53</v>
      </c>
      <c r="AF63" s="51">
        <f t="shared" si="100"/>
        <v>1057.028</v>
      </c>
      <c r="AG63" s="51">
        <f t="shared" si="100"/>
        <v>1262.491</v>
      </c>
      <c r="AH63" s="51">
        <f t="shared" si="100"/>
        <v>1274.0609999999999</v>
      </c>
      <c r="AI63" s="51">
        <f t="shared" ref="AI63:AN63" si="101">AI60</f>
        <v>1168.2919999999999</v>
      </c>
      <c r="AJ63" s="51">
        <f t="shared" si="101"/>
        <v>1039.146</v>
      </c>
      <c r="AK63" s="51">
        <f t="shared" si="101"/>
        <v>1110.336</v>
      </c>
      <c r="AL63" s="51">
        <f t="shared" si="101"/>
        <v>882</v>
      </c>
      <c r="AM63" s="51">
        <f t="shared" si="101"/>
        <v>883</v>
      </c>
      <c r="AN63" s="51">
        <f t="shared" si="101"/>
        <v>1082</v>
      </c>
      <c r="AO63" s="51" t="e">
        <f>AO62*AO59</f>
        <v>#REF!</v>
      </c>
      <c r="AP63" s="51" t="e">
        <f>AP62*AP59</f>
        <v>#REF!</v>
      </c>
      <c r="AQ63" s="51"/>
      <c r="AR63" s="51"/>
    </row>
    <row r="64" spans="1:47" ht="15" outlineLevel="1" x14ac:dyDescent="0.25">
      <c r="A64" s="1125" t="s">
        <v>74</v>
      </c>
      <c r="B64" s="1125"/>
      <c r="C64" s="1125"/>
      <c r="D64" s="1125"/>
      <c r="E64" s="1125"/>
      <c r="F64" s="1125"/>
      <c r="G64" s="1125"/>
      <c r="H64" s="1125"/>
      <c r="I64" s="1125"/>
      <c r="J64" s="1125"/>
      <c r="K64" s="1125"/>
      <c r="L64" s="1125"/>
      <c r="M64" s="1125"/>
      <c r="N64" s="1125"/>
      <c r="O64" s="1125"/>
      <c r="P64" s="1125"/>
      <c r="Q64" s="1125"/>
      <c r="R64" s="187"/>
      <c r="S64" s="187"/>
      <c r="T64" s="187"/>
      <c r="U64" s="187"/>
      <c r="V64" s="187"/>
      <c r="W64" s="187"/>
      <c r="X64" s="187"/>
      <c r="Y64" s="187"/>
      <c r="Z64" s="187"/>
      <c r="AA64" s="187"/>
      <c r="AB64" s="187"/>
      <c r="AC64" s="187"/>
      <c r="AD64" s="187"/>
      <c r="AE64" s="187"/>
      <c r="AF64" s="187"/>
      <c r="AG64" s="187"/>
      <c r="AH64" s="187"/>
      <c r="AI64" s="187"/>
      <c r="AJ64" s="187"/>
      <c r="AK64" s="187"/>
      <c r="AL64" s="187"/>
      <c r="AM64" s="187"/>
      <c r="AN64" s="187"/>
    </row>
    <row r="65" spans="1:44" outlineLevel="1" x14ac:dyDescent="0.2">
      <c r="A65" s="49" t="s">
        <v>70</v>
      </c>
      <c r="B65" s="51" t="e">
        <f>#REF!</f>
        <v>#REF!</v>
      </c>
      <c r="C65" s="51" t="e">
        <f>#REF!</f>
        <v>#REF!</v>
      </c>
      <c r="D65" s="51" t="e">
        <f>#REF!</f>
        <v>#REF!</v>
      </c>
      <c r="E65" s="51" t="e">
        <f>#REF!</f>
        <v>#REF!</v>
      </c>
      <c r="F65" s="51" t="e">
        <f>#REF!</f>
        <v>#REF!</v>
      </c>
      <c r="G65" s="51" t="e">
        <f>#REF!</f>
        <v>#REF!</v>
      </c>
      <c r="H65" s="51" t="e">
        <f>#REF!</f>
        <v>#REF!</v>
      </c>
      <c r="I65" s="51" t="e">
        <f>#REF!</f>
        <v>#REF!</v>
      </c>
      <c r="J65" s="51" t="e">
        <f>#REF!</f>
        <v>#REF!</v>
      </c>
      <c r="K65" s="51" t="e">
        <f>#REF!</f>
        <v>#REF!</v>
      </c>
      <c r="L65" s="51" t="e">
        <f>#REF!</f>
        <v>#REF!</v>
      </c>
      <c r="M65" s="51" t="e">
        <f>#REF!</f>
        <v>#REF!</v>
      </c>
      <c r="N65" s="51" t="e">
        <f>#REF!</f>
        <v>#REF!</v>
      </c>
      <c r="O65" s="51" t="e">
        <f>#REF!</f>
        <v>#REF!</v>
      </c>
      <c r="P65" s="51" t="e">
        <f>#REF!</f>
        <v>#REF!</v>
      </c>
      <c r="Q65" s="51" t="e">
        <f>#REF!</f>
        <v>#REF!</v>
      </c>
      <c r="R65" s="51" t="e">
        <f>#REF!</f>
        <v>#REF!</v>
      </c>
      <c r="S65" s="51" t="e">
        <f>#REF!</f>
        <v>#REF!</v>
      </c>
      <c r="T65" s="51"/>
      <c r="U65" s="51" t="e">
        <f>#REF!</f>
        <v>#REF!</v>
      </c>
      <c r="V65" s="51" t="e">
        <f>#REF!</f>
        <v>#REF!</v>
      </c>
      <c r="W65" s="51" t="e">
        <f>#REF!</f>
        <v>#REF!</v>
      </c>
      <c r="X65" s="51" t="e">
        <f>#REF!</f>
        <v>#REF!</v>
      </c>
      <c r="Y65" s="51" t="e">
        <f>#REF!</f>
        <v>#REF!</v>
      </c>
      <c r="Z65" s="51" t="e">
        <f>#REF!</f>
        <v>#REF!</v>
      </c>
      <c r="AA65" s="51" t="e">
        <f>#REF!</f>
        <v>#REF!</v>
      </c>
      <c r="AB65" s="51" t="e">
        <f>#REF!</f>
        <v>#REF!</v>
      </c>
      <c r="AC65" s="51" t="e">
        <f>#REF!</f>
        <v>#REF!</v>
      </c>
      <c r="AD65" s="51" t="e">
        <f>#REF!</f>
        <v>#REF!</v>
      </c>
      <c r="AE65" s="51" t="e">
        <f>#REF!</f>
        <v>#REF!</v>
      </c>
      <c r="AF65" s="51" t="e">
        <f>#REF!</f>
        <v>#REF!</v>
      </c>
      <c r="AG65" s="51" t="e">
        <f>#REF!</f>
        <v>#REF!</v>
      </c>
      <c r="AH65" s="51" t="e">
        <f>#REF!</f>
        <v>#REF!</v>
      </c>
      <c r="AI65" s="51" t="e">
        <f>#REF!</f>
        <v>#REF!</v>
      </c>
      <c r="AJ65" s="51" t="e">
        <f>#REF!</f>
        <v>#REF!</v>
      </c>
      <c r="AK65" s="51" t="e">
        <f>#REF!</f>
        <v>#REF!</v>
      </c>
      <c r="AL65" s="51" t="e">
        <f>#REF!</f>
        <v>#REF!</v>
      </c>
      <c r="AM65" s="51" t="e">
        <f>#REF!</f>
        <v>#REF!</v>
      </c>
      <c r="AN65" s="51" t="e">
        <f>#REF!</f>
        <v>#REF!</v>
      </c>
    </row>
    <row r="66" spans="1:44" outlineLevel="1" x14ac:dyDescent="0.2">
      <c r="A66" s="49" t="s">
        <v>42</v>
      </c>
      <c r="C66" s="51">
        <f>C12</f>
        <v>492.07100000000003</v>
      </c>
      <c r="D66" s="51">
        <f t="shared" ref="D66:Q66" si="102">D12</f>
        <v>491.60500000000002</v>
      </c>
      <c r="E66" s="51">
        <f t="shared" si="102"/>
        <v>506.37</v>
      </c>
      <c r="F66" s="51">
        <f t="shared" si="102"/>
        <v>540.29300000000001</v>
      </c>
      <c r="G66" s="51">
        <f t="shared" si="102"/>
        <v>509.81099999999998</v>
      </c>
      <c r="H66" s="51">
        <f t="shared" si="102"/>
        <v>652.52099999999996</v>
      </c>
      <c r="I66" s="51">
        <f t="shared" si="102"/>
        <v>799.00699999999995</v>
      </c>
      <c r="J66" s="51">
        <f t="shared" si="102"/>
        <v>970.57</v>
      </c>
      <c r="K66" s="51">
        <f t="shared" si="102"/>
        <v>1278.0039999999999</v>
      </c>
      <c r="L66" s="51">
        <f t="shared" si="102"/>
        <v>1318.1659999999999</v>
      </c>
      <c r="M66" s="51">
        <f t="shared" si="102"/>
        <v>1277.5160000000001</v>
      </c>
      <c r="N66" s="51">
        <f t="shared" si="102"/>
        <v>1231.2149999999999</v>
      </c>
      <c r="O66" s="51">
        <f t="shared" si="102"/>
        <v>1233.25</v>
      </c>
      <c r="P66" s="51">
        <f t="shared" si="102"/>
        <v>1133.6179999999999</v>
      </c>
      <c r="Q66" s="51">
        <f t="shared" si="102"/>
        <v>1058.279</v>
      </c>
      <c r="R66" s="51">
        <f>R12</f>
        <v>1053.662</v>
      </c>
      <c r="S66" s="51">
        <f>S12</f>
        <v>1114.134</v>
      </c>
      <c r="T66" s="51"/>
      <c r="U66" s="51">
        <f t="shared" ref="U66:Z66" si="103">U12</f>
        <v>1171.5429999999999</v>
      </c>
      <c r="V66" s="51">
        <f t="shared" si="103"/>
        <v>1233.4059999999999</v>
      </c>
      <c r="W66" s="51">
        <f t="shared" si="103"/>
        <v>1268.973</v>
      </c>
      <c r="X66" s="51">
        <f t="shared" si="103"/>
        <v>1410.93</v>
      </c>
      <c r="Y66" s="51">
        <f t="shared" si="103"/>
        <v>1448.3109999999999</v>
      </c>
      <c r="Z66" s="51">
        <f t="shared" si="103"/>
        <v>1336.617</v>
      </c>
      <c r="AA66" s="51">
        <f t="shared" ref="AA66:AH66" si="104">AA12</f>
        <v>1320.723</v>
      </c>
      <c r="AB66" s="51">
        <f t="shared" si="104"/>
        <v>1480.0440000000001</v>
      </c>
      <c r="AC66" s="51">
        <f t="shared" si="104"/>
        <v>1407.82</v>
      </c>
      <c r="AD66" s="51">
        <f t="shared" si="104"/>
        <v>1369.415</v>
      </c>
      <c r="AE66" s="51">
        <f t="shared" si="104"/>
        <v>1370.203</v>
      </c>
      <c r="AF66" s="51">
        <f t="shared" si="104"/>
        <v>1408.297</v>
      </c>
      <c r="AG66" s="51">
        <f t="shared" si="104"/>
        <v>1333.8510000000001</v>
      </c>
      <c r="AH66" s="51">
        <f t="shared" si="104"/>
        <v>1350.528</v>
      </c>
      <c r="AI66" s="51">
        <f t="shared" ref="AI66:AN66" si="105">AI12</f>
        <v>1276.8869999999999</v>
      </c>
      <c r="AJ66" s="51">
        <f t="shared" si="105"/>
        <v>1335.098</v>
      </c>
      <c r="AK66" s="51">
        <f t="shared" si="105"/>
        <v>1235.69</v>
      </c>
      <c r="AL66" s="51">
        <f t="shared" si="105"/>
        <v>1201</v>
      </c>
      <c r="AM66" s="51">
        <f t="shared" si="105"/>
        <v>1184</v>
      </c>
      <c r="AN66" s="51">
        <f t="shared" si="105"/>
        <v>1364</v>
      </c>
    </row>
    <row r="67" spans="1:44" outlineLevel="1" x14ac:dyDescent="0.2">
      <c r="A67" s="49" t="s">
        <v>71</v>
      </c>
      <c r="C67" s="55" t="e">
        <f t="shared" ref="C67:K67" si="106">((C66+B66)/2)/(C65)*365</f>
        <v>#REF!</v>
      </c>
      <c r="D67" s="55" t="e">
        <f t="shared" si="106"/>
        <v>#REF!</v>
      </c>
      <c r="E67" s="55" t="e">
        <f t="shared" si="106"/>
        <v>#REF!</v>
      </c>
      <c r="F67" s="55" t="e">
        <f t="shared" si="106"/>
        <v>#REF!</v>
      </c>
      <c r="G67" s="55" t="e">
        <f t="shared" si="106"/>
        <v>#REF!</v>
      </c>
      <c r="H67" s="55" t="e">
        <f t="shared" si="106"/>
        <v>#REF!</v>
      </c>
      <c r="I67" s="55" t="e">
        <f t="shared" si="106"/>
        <v>#REF!</v>
      </c>
      <c r="J67" s="55" t="e">
        <f t="shared" si="106"/>
        <v>#REF!</v>
      </c>
      <c r="K67" s="55" t="e">
        <f t="shared" si="106"/>
        <v>#REF!</v>
      </c>
      <c r="L67" s="55" t="e">
        <f t="shared" ref="L67:AC67" si="107">((L66+K66)/2)/(L65*4)*365</f>
        <v>#REF!</v>
      </c>
      <c r="M67" s="55" t="e">
        <f t="shared" si="107"/>
        <v>#REF!</v>
      </c>
      <c r="N67" s="55" t="e">
        <f t="shared" si="107"/>
        <v>#REF!</v>
      </c>
      <c r="O67" s="55" t="e">
        <f t="shared" si="107"/>
        <v>#REF!</v>
      </c>
      <c r="P67" s="55" t="e">
        <f t="shared" si="107"/>
        <v>#REF!</v>
      </c>
      <c r="Q67" s="55" t="e">
        <f t="shared" si="107"/>
        <v>#REF!</v>
      </c>
      <c r="R67" s="55" t="e">
        <f t="shared" si="107"/>
        <v>#REF!</v>
      </c>
      <c r="S67" s="55" t="e">
        <f t="shared" si="107"/>
        <v>#REF!</v>
      </c>
      <c r="T67" s="55"/>
      <c r="U67" s="55" t="e">
        <f t="shared" si="107"/>
        <v>#REF!</v>
      </c>
      <c r="V67" s="55" t="e">
        <f t="shared" si="107"/>
        <v>#REF!</v>
      </c>
      <c r="W67" s="55" t="e">
        <f t="shared" si="107"/>
        <v>#REF!</v>
      </c>
      <c r="X67" s="55" t="e">
        <f t="shared" si="107"/>
        <v>#REF!</v>
      </c>
      <c r="Y67" s="55" t="e">
        <f t="shared" si="107"/>
        <v>#REF!</v>
      </c>
      <c r="Z67" s="55" t="e">
        <f t="shared" si="107"/>
        <v>#REF!</v>
      </c>
      <c r="AA67" s="55" t="e">
        <f t="shared" si="107"/>
        <v>#REF!</v>
      </c>
      <c r="AB67" s="55" t="e">
        <f t="shared" si="107"/>
        <v>#REF!</v>
      </c>
      <c r="AC67" s="55" t="e">
        <f t="shared" si="107"/>
        <v>#REF!</v>
      </c>
      <c r="AD67" s="55" t="e">
        <f t="shared" ref="AD67:AJ67" si="108">((AD66+AC66)/2)/(AD65*4)*365</f>
        <v>#REF!</v>
      </c>
      <c r="AE67" s="55" t="e">
        <f t="shared" si="108"/>
        <v>#REF!</v>
      </c>
      <c r="AF67" s="55" t="e">
        <f t="shared" si="108"/>
        <v>#REF!</v>
      </c>
      <c r="AG67" s="55" t="e">
        <f t="shared" si="108"/>
        <v>#REF!</v>
      </c>
      <c r="AH67" s="55" t="e">
        <f t="shared" si="108"/>
        <v>#REF!</v>
      </c>
      <c r="AI67" s="55" t="e">
        <f t="shared" si="108"/>
        <v>#REF!</v>
      </c>
      <c r="AJ67" s="55" t="e">
        <f t="shared" si="108"/>
        <v>#REF!</v>
      </c>
      <c r="AK67" s="55" t="e">
        <f>((AK66+AJ66)/2)/(AK65*4)*365</f>
        <v>#REF!</v>
      </c>
      <c r="AL67" s="55" t="e">
        <f>((AL66+AK66)/2)/(AL65*4)*365</f>
        <v>#REF!</v>
      </c>
      <c r="AM67" s="55" t="e">
        <f>((AM66+AL66)/2)/(AM65*4)*365</f>
        <v>#REF!</v>
      </c>
      <c r="AN67" s="55" t="e">
        <f>((AN66+AM66)/2)/(AN65*4)*365</f>
        <v>#REF!</v>
      </c>
    </row>
    <row r="68" spans="1:44" outlineLevel="1" x14ac:dyDescent="0.2">
      <c r="A68" s="49" t="s">
        <v>87</v>
      </c>
      <c r="C68" s="151" t="e">
        <f t="shared" ref="C68:K68" si="109">C66/C59</f>
        <v>#REF!</v>
      </c>
      <c r="D68" s="151" t="e">
        <f t="shared" si="109"/>
        <v>#REF!</v>
      </c>
      <c r="E68" s="151" t="e">
        <f t="shared" si="109"/>
        <v>#REF!</v>
      </c>
      <c r="F68" s="151" t="e">
        <f t="shared" si="109"/>
        <v>#REF!</v>
      </c>
      <c r="G68" s="151" t="e">
        <f t="shared" si="109"/>
        <v>#REF!</v>
      </c>
      <c r="H68" s="151" t="e">
        <f t="shared" si="109"/>
        <v>#REF!</v>
      </c>
      <c r="I68" s="151" t="e">
        <f t="shared" si="109"/>
        <v>#REF!</v>
      </c>
      <c r="J68" s="151" t="e">
        <f t="shared" si="109"/>
        <v>#REF!</v>
      </c>
      <c r="K68" s="151" t="e">
        <f t="shared" si="109"/>
        <v>#REF!</v>
      </c>
      <c r="L68" s="151" t="e">
        <f>L66/L59/4</f>
        <v>#REF!</v>
      </c>
      <c r="M68" s="151" t="e">
        <f>M66/M59/4</f>
        <v>#REF!</v>
      </c>
      <c r="N68" s="151" t="e">
        <f>N66/N59/4</f>
        <v>#REF!</v>
      </c>
      <c r="O68" s="151" t="e">
        <f>O66/O59</f>
        <v>#REF!</v>
      </c>
      <c r="P68" s="151" t="e">
        <f>P66/P59/4</f>
        <v>#REF!</v>
      </c>
      <c r="Q68" s="151" t="e">
        <f>Q66/Q59/4</f>
        <v>#REF!</v>
      </c>
      <c r="R68" s="151" t="e">
        <f>R66/R59/4</f>
        <v>#REF!</v>
      </c>
      <c r="S68" s="151" t="e">
        <f>S66/S59/4</f>
        <v>#REF!</v>
      </c>
      <c r="T68" s="151">
        <v>0.36699999999999999</v>
      </c>
      <c r="U68" s="151" t="e">
        <f t="shared" ref="U68:Z68" si="110">U66/U59/4</f>
        <v>#REF!</v>
      </c>
      <c r="V68" s="151" t="e">
        <f t="shared" si="110"/>
        <v>#REF!</v>
      </c>
      <c r="W68" s="151" t="e">
        <f t="shared" si="110"/>
        <v>#REF!</v>
      </c>
      <c r="X68" s="151" t="e">
        <f t="shared" si="110"/>
        <v>#REF!</v>
      </c>
      <c r="Y68" s="151" t="e">
        <f t="shared" si="110"/>
        <v>#REF!</v>
      </c>
      <c r="Z68" s="151" t="e">
        <f t="shared" si="110"/>
        <v>#REF!</v>
      </c>
      <c r="AA68" s="151" t="e">
        <f t="shared" ref="AA68:AH68" si="111">AA66/AA59/4</f>
        <v>#REF!</v>
      </c>
      <c r="AB68" s="151" t="e">
        <f t="shared" si="111"/>
        <v>#REF!</v>
      </c>
      <c r="AC68" s="151" t="e">
        <f t="shared" si="111"/>
        <v>#REF!</v>
      </c>
      <c r="AD68" s="151" t="e">
        <f t="shared" si="111"/>
        <v>#REF!</v>
      </c>
      <c r="AE68" s="151" t="e">
        <f t="shared" si="111"/>
        <v>#REF!</v>
      </c>
      <c r="AF68" s="151" t="e">
        <f t="shared" si="111"/>
        <v>#REF!</v>
      </c>
      <c r="AG68" s="151" t="e">
        <f t="shared" si="111"/>
        <v>#REF!</v>
      </c>
      <c r="AH68" s="151" t="e">
        <f t="shared" si="111"/>
        <v>#REF!</v>
      </c>
      <c r="AI68" s="151" t="e">
        <f t="shared" ref="AI68:AN68" si="112">AI66/AI59/4</f>
        <v>#REF!</v>
      </c>
      <c r="AJ68" s="151" t="e">
        <f t="shared" si="112"/>
        <v>#REF!</v>
      </c>
      <c r="AK68" s="151" t="e">
        <f t="shared" si="112"/>
        <v>#REF!</v>
      </c>
      <c r="AL68" s="151" t="e">
        <f t="shared" si="112"/>
        <v>#REF!</v>
      </c>
      <c r="AM68" s="151" t="e">
        <f t="shared" si="112"/>
        <v>#REF!</v>
      </c>
      <c r="AN68" s="151" t="e">
        <f t="shared" si="112"/>
        <v>#REF!</v>
      </c>
      <c r="AO68" s="50">
        <v>0.36699999999999999</v>
      </c>
      <c r="AP68" s="50">
        <v>0.36699999999999999</v>
      </c>
      <c r="AQ68" s="50"/>
      <c r="AR68" s="50"/>
    </row>
    <row r="69" spans="1:44" outlineLevel="1" x14ac:dyDescent="0.2">
      <c r="A69" s="49" t="s">
        <v>89</v>
      </c>
      <c r="C69" s="51">
        <f>C66</f>
        <v>492.07100000000003</v>
      </c>
      <c r="D69" s="51">
        <f t="shared" ref="D69:Q69" si="113">D66</f>
        <v>491.60500000000002</v>
      </c>
      <c r="E69" s="51">
        <f t="shared" si="113"/>
        <v>506.37</v>
      </c>
      <c r="F69" s="51">
        <f t="shared" si="113"/>
        <v>540.29300000000001</v>
      </c>
      <c r="G69" s="51">
        <f t="shared" si="113"/>
        <v>509.81099999999998</v>
      </c>
      <c r="H69" s="51">
        <f t="shared" si="113"/>
        <v>652.52099999999996</v>
      </c>
      <c r="I69" s="51">
        <f t="shared" si="113"/>
        <v>799.00699999999995</v>
      </c>
      <c r="J69" s="51">
        <f t="shared" si="113"/>
        <v>970.57</v>
      </c>
      <c r="K69" s="51">
        <f t="shared" si="113"/>
        <v>1278.0039999999999</v>
      </c>
      <c r="L69" s="51">
        <f t="shared" si="113"/>
        <v>1318.1659999999999</v>
      </c>
      <c r="M69" s="51">
        <f t="shared" si="113"/>
        <v>1277.5160000000001</v>
      </c>
      <c r="N69" s="51">
        <f t="shared" si="113"/>
        <v>1231.2149999999999</v>
      </c>
      <c r="O69" s="51">
        <f t="shared" si="113"/>
        <v>1233.25</v>
      </c>
      <c r="P69" s="51">
        <f t="shared" si="113"/>
        <v>1133.6179999999999</v>
      </c>
      <c r="Q69" s="51">
        <f t="shared" si="113"/>
        <v>1058.279</v>
      </c>
      <c r="R69" s="51">
        <f>R66</f>
        <v>1053.662</v>
      </c>
      <c r="S69" s="51">
        <f>S66</f>
        <v>1114.134</v>
      </c>
      <c r="T69" s="51">
        <f>T68*T59</f>
        <v>1148.7536729999999</v>
      </c>
      <c r="U69" s="51">
        <f t="shared" ref="U69:Z69" si="114">U66</f>
        <v>1171.5429999999999</v>
      </c>
      <c r="V69" s="51">
        <f t="shared" si="114"/>
        <v>1233.4059999999999</v>
      </c>
      <c r="W69" s="51">
        <f t="shared" si="114"/>
        <v>1268.973</v>
      </c>
      <c r="X69" s="51">
        <f t="shared" si="114"/>
        <v>1410.93</v>
      </c>
      <c r="Y69" s="51">
        <f t="shared" si="114"/>
        <v>1448.3109999999999</v>
      </c>
      <c r="Z69" s="51">
        <f t="shared" si="114"/>
        <v>1336.617</v>
      </c>
      <c r="AA69" s="51">
        <f t="shared" ref="AA69:AH69" si="115">AA66</f>
        <v>1320.723</v>
      </c>
      <c r="AB69" s="51">
        <f t="shared" si="115"/>
        <v>1480.0440000000001</v>
      </c>
      <c r="AC69" s="51">
        <f t="shared" si="115"/>
        <v>1407.82</v>
      </c>
      <c r="AD69" s="51">
        <f t="shared" si="115"/>
        <v>1369.415</v>
      </c>
      <c r="AE69" s="51">
        <f t="shared" si="115"/>
        <v>1370.203</v>
      </c>
      <c r="AF69" s="51">
        <f t="shared" si="115"/>
        <v>1408.297</v>
      </c>
      <c r="AG69" s="51">
        <f t="shared" si="115"/>
        <v>1333.8510000000001</v>
      </c>
      <c r="AH69" s="51">
        <f t="shared" si="115"/>
        <v>1350.528</v>
      </c>
      <c r="AI69" s="51">
        <f t="shared" ref="AI69:AN69" si="116">AI66</f>
        <v>1276.8869999999999</v>
      </c>
      <c r="AJ69" s="51">
        <f t="shared" si="116"/>
        <v>1335.098</v>
      </c>
      <c r="AK69" s="51">
        <f t="shared" si="116"/>
        <v>1235.69</v>
      </c>
      <c r="AL69" s="51">
        <f t="shared" si="116"/>
        <v>1201</v>
      </c>
      <c r="AM69" s="51">
        <f t="shared" si="116"/>
        <v>1184</v>
      </c>
      <c r="AN69" s="51">
        <f t="shared" si="116"/>
        <v>1364</v>
      </c>
      <c r="AO69" s="51" t="e">
        <f>AO68*AO59</f>
        <v>#REF!</v>
      </c>
      <c r="AP69" s="51" t="e">
        <f>AP68*AP59</f>
        <v>#REF!</v>
      </c>
      <c r="AQ69" s="51"/>
      <c r="AR69" s="51"/>
    </row>
    <row r="70" spans="1:44" ht="15" outlineLevel="1" x14ac:dyDescent="0.25">
      <c r="A70" s="1125" t="s">
        <v>75</v>
      </c>
      <c r="B70" s="1125"/>
      <c r="C70" s="1125"/>
      <c r="D70" s="1125"/>
      <c r="E70" s="1125"/>
      <c r="F70" s="1125"/>
      <c r="G70" s="1125"/>
      <c r="H70" s="1125"/>
      <c r="I70" s="1125"/>
      <c r="J70" s="1125"/>
      <c r="K70" s="1125"/>
      <c r="L70" s="1125"/>
      <c r="M70" s="1125"/>
      <c r="N70" s="1125"/>
      <c r="O70" s="1125"/>
      <c r="P70" s="1125"/>
      <c r="Q70" s="1125"/>
      <c r="R70" s="187"/>
      <c r="S70" s="187"/>
      <c r="T70" s="187"/>
      <c r="U70" s="187"/>
      <c r="V70" s="187"/>
      <c r="W70" s="187"/>
      <c r="X70" s="187"/>
      <c r="Y70" s="187"/>
      <c r="Z70" s="187"/>
      <c r="AA70" s="187"/>
      <c r="AB70" s="187"/>
      <c r="AC70" s="187"/>
      <c r="AD70" s="187"/>
      <c r="AE70" s="187"/>
      <c r="AF70" s="187"/>
      <c r="AG70" s="187"/>
      <c r="AH70" s="187"/>
      <c r="AI70" s="187"/>
      <c r="AJ70" s="187"/>
      <c r="AK70" s="187"/>
      <c r="AL70" s="187"/>
      <c r="AM70" s="187"/>
      <c r="AN70" s="187"/>
    </row>
    <row r="71" spans="1:44" outlineLevel="1" x14ac:dyDescent="0.2">
      <c r="A71" s="49" t="s">
        <v>70</v>
      </c>
      <c r="B71" s="51" t="e">
        <f>B65</f>
        <v>#REF!</v>
      </c>
      <c r="C71" s="51" t="e">
        <f t="shared" ref="C71:Q71" si="117">C65</f>
        <v>#REF!</v>
      </c>
      <c r="D71" s="51" t="e">
        <f t="shared" si="117"/>
        <v>#REF!</v>
      </c>
      <c r="E71" s="51" t="e">
        <f t="shared" si="117"/>
        <v>#REF!</v>
      </c>
      <c r="F71" s="51" t="e">
        <f t="shared" si="117"/>
        <v>#REF!</v>
      </c>
      <c r="G71" s="51" t="e">
        <f t="shared" si="117"/>
        <v>#REF!</v>
      </c>
      <c r="H71" s="51" t="e">
        <f t="shared" si="117"/>
        <v>#REF!</v>
      </c>
      <c r="I71" s="51" t="e">
        <f t="shared" si="117"/>
        <v>#REF!</v>
      </c>
      <c r="J71" s="51" t="e">
        <f t="shared" si="117"/>
        <v>#REF!</v>
      </c>
      <c r="K71" s="51" t="e">
        <f t="shared" si="117"/>
        <v>#REF!</v>
      </c>
      <c r="L71" s="51" t="e">
        <f t="shared" si="117"/>
        <v>#REF!</v>
      </c>
      <c r="M71" s="51" t="e">
        <f t="shared" si="117"/>
        <v>#REF!</v>
      </c>
      <c r="N71" s="51" t="e">
        <f t="shared" si="117"/>
        <v>#REF!</v>
      </c>
      <c r="O71" s="51" t="e">
        <f t="shared" si="117"/>
        <v>#REF!</v>
      </c>
      <c r="P71" s="51" t="e">
        <f t="shared" si="117"/>
        <v>#REF!</v>
      </c>
      <c r="Q71" s="51" t="e">
        <f t="shared" si="117"/>
        <v>#REF!</v>
      </c>
      <c r="R71" s="51" t="e">
        <f>R65</f>
        <v>#REF!</v>
      </c>
      <c r="S71" s="51" t="e">
        <f>S65</f>
        <v>#REF!</v>
      </c>
      <c r="T71" s="51"/>
      <c r="U71" s="51" t="e">
        <f t="shared" ref="U71:Z71" si="118">U65</f>
        <v>#REF!</v>
      </c>
      <c r="V71" s="51" t="e">
        <f t="shared" si="118"/>
        <v>#REF!</v>
      </c>
      <c r="W71" s="51" t="e">
        <f t="shared" si="118"/>
        <v>#REF!</v>
      </c>
      <c r="X71" s="51" t="e">
        <f t="shared" si="118"/>
        <v>#REF!</v>
      </c>
      <c r="Y71" s="51" t="e">
        <f t="shared" si="118"/>
        <v>#REF!</v>
      </c>
      <c r="Z71" s="51" t="e">
        <f t="shared" si="118"/>
        <v>#REF!</v>
      </c>
      <c r="AA71" s="51" t="e">
        <f t="shared" ref="AA71:AH71" si="119">AA65</f>
        <v>#REF!</v>
      </c>
      <c r="AB71" s="51" t="e">
        <f t="shared" si="119"/>
        <v>#REF!</v>
      </c>
      <c r="AC71" s="51" t="e">
        <f t="shared" si="119"/>
        <v>#REF!</v>
      </c>
      <c r="AD71" s="51" t="e">
        <f t="shared" si="119"/>
        <v>#REF!</v>
      </c>
      <c r="AE71" s="51" t="e">
        <f t="shared" si="119"/>
        <v>#REF!</v>
      </c>
      <c r="AF71" s="51" t="e">
        <f t="shared" si="119"/>
        <v>#REF!</v>
      </c>
      <c r="AG71" s="51" t="e">
        <f t="shared" si="119"/>
        <v>#REF!</v>
      </c>
      <c r="AH71" s="51" t="e">
        <f t="shared" si="119"/>
        <v>#REF!</v>
      </c>
      <c r="AI71" s="51" t="e">
        <f t="shared" ref="AI71:AN71" si="120">AI65</f>
        <v>#REF!</v>
      </c>
      <c r="AJ71" s="51" t="e">
        <f t="shared" si="120"/>
        <v>#REF!</v>
      </c>
      <c r="AK71" s="51" t="e">
        <f t="shared" si="120"/>
        <v>#REF!</v>
      </c>
      <c r="AL71" s="51" t="e">
        <f t="shared" si="120"/>
        <v>#REF!</v>
      </c>
      <c r="AM71" s="51" t="e">
        <f t="shared" si="120"/>
        <v>#REF!</v>
      </c>
      <c r="AN71" s="51" t="e">
        <f t="shared" si="120"/>
        <v>#REF!</v>
      </c>
    </row>
    <row r="72" spans="1:44" outlineLevel="1" x14ac:dyDescent="0.2">
      <c r="A72" s="49" t="s">
        <v>48</v>
      </c>
      <c r="C72" s="51">
        <f>C28</f>
        <v>208.61500000000001</v>
      </c>
      <c r="D72" s="51">
        <f t="shared" ref="D72:Q72" si="121">D28</f>
        <v>176.90199999999999</v>
      </c>
      <c r="E72" s="51">
        <f t="shared" si="121"/>
        <v>220.023</v>
      </c>
      <c r="F72" s="51">
        <f t="shared" si="121"/>
        <v>244.05</v>
      </c>
      <c r="G72" s="51">
        <f t="shared" si="121"/>
        <v>267.49200000000002</v>
      </c>
      <c r="H72" s="51">
        <f t="shared" si="121"/>
        <v>288.77199999999999</v>
      </c>
      <c r="I72" s="51">
        <f t="shared" si="121"/>
        <v>315.94499999999999</v>
      </c>
      <c r="J72" s="51">
        <f t="shared" si="121"/>
        <v>428.26600000000002</v>
      </c>
      <c r="K72" s="51">
        <f t="shared" si="121"/>
        <v>448.154</v>
      </c>
      <c r="L72" s="51">
        <f t="shared" si="121"/>
        <v>372.53</v>
      </c>
      <c r="M72" s="51">
        <f t="shared" si="121"/>
        <v>420.52199999999999</v>
      </c>
      <c r="N72" s="51">
        <f t="shared" si="121"/>
        <v>430.24700000000001</v>
      </c>
      <c r="O72" s="51">
        <f t="shared" si="121"/>
        <v>469.798</v>
      </c>
      <c r="P72" s="51">
        <f t="shared" si="121"/>
        <v>453.35199999999998</v>
      </c>
      <c r="Q72" s="51">
        <f t="shared" si="121"/>
        <v>499.54599999999999</v>
      </c>
      <c r="R72" s="51">
        <f>R28</f>
        <v>502.01100000000002</v>
      </c>
      <c r="S72" s="51">
        <f>S28</f>
        <v>521.25800000000004</v>
      </c>
      <c r="T72" s="51"/>
      <c r="U72" s="51">
        <f t="shared" ref="U72:Z72" si="122">U28</f>
        <v>571.15899999999999</v>
      </c>
      <c r="V72" s="51">
        <f t="shared" si="122"/>
        <v>722.62099999999998</v>
      </c>
      <c r="W72" s="51">
        <f t="shared" si="122"/>
        <v>671.56700000000001</v>
      </c>
      <c r="X72" s="51">
        <f t="shared" si="122"/>
        <v>665.02800000000002</v>
      </c>
      <c r="Y72" s="51">
        <f t="shared" si="122"/>
        <v>628.78899999999999</v>
      </c>
      <c r="Z72" s="51">
        <f t="shared" si="122"/>
        <v>641.48099999999999</v>
      </c>
      <c r="AA72" s="51">
        <f t="shared" ref="AA72:AH72" si="123">AA28</f>
        <v>588.83799999999997</v>
      </c>
      <c r="AB72" s="51">
        <f t="shared" si="123"/>
        <v>653.75699999999995</v>
      </c>
      <c r="AC72" s="51">
        <f t="shared" si="123"/>
        <v>664.94</v>
      </c>
      <c r="AD72" s="51">
        <f t="shared" si="123"/>
        <v>707.13300000000004</v>
      </c>
      <c r="AE72" s="51">
        <f t="shared" si="123"/>
        <v>653.70000000000005</v>
      </c>
      <c r="AF72" s="51">
        <f t="shared" si="123"/>
        <v>669.10199999999998</v>
      </c>
      <c r="AG72" s="51">
        <f t="shared" si="123"/>
        <v>659.98599999999999</v>
      </c>
      <c r="AH72" s="51">
        <f t="shared" si="123"/>
        <v>639.149</v>
      </c>
      <c r="AI72" s="51">
        <f t="shared" ref="AI72:AN72" si="124">AI28</f>
        <v>563.43100000000004</v>
      </c>
      <c r="AJ72" s="51">
        <f t="shared" si="124"/>
        <v>584.90899999999999</v>
      </c>
      <c r="AK72" s="51">
        <f t="shared" si="124"/>
        <v>559.471</v>
      </c>
      <c r="AL72" s="51">
        <f t="shared" si="124"/>
        <v>572</v>
      </c>
      <c r="AM72" s="51">
        <f t="shared" si="124"/>
        <v>544</v>
      </c>
      <c r="AN72" s="51">
        <f t="shared" si="124"/>
        <v>716</v>
      </c>
    </row>
    <row r="73" spans="1:44" outlineLevel="1" x14ac:dyDescent="0.2">
      <c r="A73" s="49" t="s">
        <v>72</v>
      </c>
      <c r="C73" s="55" t="e">
        <f t="shared" ref="C73:K73" si="125">((C72+B72)/2)/(C71)*365</f>
        <v>#REF!</v>
      </c>
      <c r="D73" s="55" t="e">
        <f t="shared" si="125"/>
        <v>#REF!</v>
      </c>
      <c r="E73" s="55" t="e">
        <f t="shared" si="125"/>
        <v>#REF!</v>
      </c>
      <c r="F73" s="55" t="e">
        <f t="shared" si="125"/>
        <v>#REF!</v>
      </c>
      <c r="G73" s="55" t="e">
        <f t="shared" si="125"/>
        <v>#REF!</v>
      </c>
      <c r="H73" s="55" t="e">
        <f t="shared" si="125"/>
        <v>#REF!</v>
      </c>
      <c r="I73" s="55" t="e">
        <f t="shared" si="125"/>
        <v>#REF!</v>
      </c>
      <c r="J73" s="55" t="e">
        <f t="shared" si="125"/>
        <v>#REF!</v>
      </c>
      <c r="K73" s="55" t="e">
        <f t="shared" si="125"/>
        <v>#REF!</v>
      </c>
      <c r="L73" s="55" t="e">
        <f t="shared" ref="L73:AC73" si="126">((L72+K72)/2)/(L71*4)*365</f>
        <v>#REF!</v>
      </c>
      <c r="M73" s="55" t="e">
        <f t="shared" si="126"/>
        <v>#REF!</v>
      </c>
      <c r="N73" s="55" t="e">
        <f t="shared" si="126"/>
        <v>#REF!</v>
      </c>
      <c r="O73" s="55" t="e">
        <f t="shared" si="126"/>
        <v>#REF!</v>
      </c>
      <c r="P73" s="55" t="e">
        <f t="shared" si="126"/>
        <v>#REF!</v>
      </c>
      <c r="Q73" s="55" t="e">
        <f t="shared" si="126"/>
        <v>#REF!</v>
      </c>
      <c r="R73" s="55" t="e">
        <f t="shared" si="126"/>
        <v>#REF!</v>
      </c>
      <c r="S73" s="55" t="e">
        <f t="shared" si="126"/>
        <v>#REF!</v>
      </c>
      <c r="T73" s="55"/>
      <c r="U73" s="55" t="e">
        <f t="shared" si="126"/>
        <v>#REF!</v>
      </c>
      <c r="V73" s="55" t="e">
        <f t="shared" si="126"/>
        <v>#REF!</v>
      </c>
      <c r="W73" s="55" t="e">
        <f t="shared" si="126"/>
        <v>#REF!</v>
      </c>
      <c r="X73" s="55" t="e">
        <f t="shared" si="126"/>
        <v>#REF!</v>
      </c>
      <c r="Y73" s="55" t="e">
        <f t="shared" si="126"/>
        <v>#REF!</v>
      </c>
      <c r="Z73" s="55" t="e">
        <f t="shared" si="126"/>
        <v>#REF!</v>
      </c>
      <c r="AA73" s="55" t="e">
        <f t="shared" si="126"/>
        <v>#REF!</v>
      </c>
      <c r="AB73" s="55" t="e">
        <f t="shared" si="126"/>
        <v>#REF!</v>
      </c>
      <c r="AC73" s="55" t="e">
        <f t="shared" si="126"/>
        <v>#REF!</v>
      </c>
      <c r="AD73" s="55" t="e">
        <f t="shared" ref="AD73:AJ73" si="127">((AD72+AC72)/2)/(AD71*4)*365</f>
        <v>#REF!</v>
      </c>
      <c r="AE73" s="55" t="e">
        <f t="shared" si="127"/>
        <v>#REF!</v>
      </c>
      <c r="AF73" s="55" t="e">
        <f t="shared" si="127"/>
        <v>#REF!</v>
      </c>
      <c r="AG73" s="55" t="e">
        <f t="shared" si="127"/>
        <v>#REF!</v>
      </c>
      <c r="AH73" s="55" t="e">
        <f t="shared" si="127"/>
        <v>#REF!</v>
      </c>
      <c r="AI73" s="55" t="e">
        <f t="shared" si="127"/>
        <v>#REF!</v>
      </c>
      <c r="AJ73" s="55" t="e">
        <f t="shared" si="127"/>
        <v>#REF!</v>
      </c>
      <c r="AK73" s="55" t="e">
        <f>((AK72+AJ72)/2)/(AK71*4)*365</f>
        <v>#REF!</v>
      </c>
      <c r="AL73" s="55" t="e">
        <f>((AL72+AK72)/2)/(AL71*4)*365</f>
        <v>#REF!</v>
      </c>
      <c r="AM73" s="55" t="e">
        <f>((AM72+AL72)/2)/(AM71*4)*365</f>
        <v>#REF!</v>
      </c>
      <c r="AN73" s="55" t="e">
        <f>((AN72+AM72)/2)/(AN71*4)*365</f>
        <v>#REF!</v>
      </c>
    </row>
    <row r="74" spans="1:44" outlineLevel="1" x14ac:dyDescent="0.2">
      <c r="A74" s="49" t="s">
        <v>87</v>
      </c>
      <c r="C74" s="151" t="e">
        <f t="shared" ref="C74:K74" si="128">C72/C59</f>
        <v>#REF!</v>
      </c>
      <c r="D74" s="151" t="e">
        <f t="shared" si="128"/>
        <v>#REF!</v>
      </c>
      <c r="E74" s="151" t="e">
        <f t="shared" si="128"/>
        <v>#REF!</v>
      </c>
      <c r="F74" s="151" t="e">
        <f t="shared" si="128"/>
        <v>#REF!</v>
      </c>
      <c r="G74" s="151" t="e">
        <f t="shared" si="128"/>
        <v>#REF!</v>
      </c>
      <c r="H74" s="151" t="e">
        <f t="shared" si="128"/>
        <v>#REF!</v>
      </c>
      <c r="I74" s="151" t="e">
        <f t="shared" si="128"/>
        <v>#REF!</v>
      </c>
      <c r="J74" s="151" t="e">
        <f t="shared" si="128"/>
        <v>#REF!</v>
      </c>
      <c r="K74" s="151" t="e">
        <f t="shared" si="128"/>
        <v>#REF!</v>
      </c>
      <c r="L74" s="151" t="e">
        <f>L72/L59/4</f>
        <v>#REF!</v>
      </c>
      <c r="M74" s="151" t="e">
        <f>M72/M59/4</f>
        <v>#REF!</v>
      </c>
      <c r="N74" s="151" t="e">
        <f>N72/N59/4</f>
        <v>#REF!</v>
      </c>
      <c r="O74" s="151" t="e">
        <f>O72/O59</f>
        <v>#REF!</v>
      </c>
      <c r="P74" s="151" t="e">
        <f>P72/P59/4</f>
        <v>#REF!</v>
      </c>
      <c r="Q74" s="151" t="e">
        <f>Q72/Q59/4</f>
        <v>#REF!</v>
      </c>
      <c r="R74" s="151" t="e">
        <f>R72/R59/4</f>
        <v>#REF!</v>
      </c>
      <c r="S74" s="151" t="e">
        <f>S72/S59/4</f>
        <v>#REF!</v>
      </c>
      <c r="T74" s="151">
        <v>0.22700000000000001</v>
      </c>
      <c r="U74" s="151" t="e">
        <f t="shared" ref="U74:Z74" si="129">U72/U59/4</f>
        <v>#REF!</v>
      </c>
      <c r="V74" s="151" t="e">
        <f t="shared" si="129"/>
        <v>#REF!</v>
      </c>
      <c r="W74" s="151" t="e">
        <f t="shared" si="129"/>
        <v>#REF!</v>
      </c>
      <c r="X74" s="151" t="e">
        <f t="shared" si="129"/>
        <v>#REF!</v>
      </c>
      <c r="Y74" s="151" t="e">
        <f t="shared" si="129"/>
        <v>#REF!</v>
      </c>
      <c r="Z74" s="151" t="e">
        <f t="shared" si="129"/>
        <v>#REF!</v>
      </c>
      <c r="AA74" s="151" t="e">
        <f t="shared" ref="AA74:AH74" si="130">AA72/AA59/4</f>
        <v>#REF!</v>
      </c>
      <c r="AB74" s="151" t="e">
        <f t="shared" si="130"/>
        <v>#REF!</v>
      </c>
      <c r="AC74" s="151" t="e">
        <f t="shared" si="130"/>
        <v>#REF!</v>
      </c>
      <c r="AD74" s="151" t="e">
        <f t="shared" si="130"/>
        <v>#REF!</v>
      </c>
      <c r="AE74" s="151" t="e">
        <f t="shared" si="130"/>
        <v>#REF!</v>
      </c>
      <c r="AF74" s="151" t="e">
        <f t="shared" si="130"/>
        <v>#REF!</v>
      </c>
      <c r="AG74" s="151" t="e">
        <f t="shared" si="130"/>
        <v>#REF!</v>
      </c>
      <c r="AH74" s="151" t="e">
        <f t="shared" si="130"/>
        <v>#REF!</v>
      </c>
      <c r="AI74" s="151" t="e">
        <f t="shared" ref="AI74:AN74" si="131">AI72/AI59/4</f>
        <v>#REF!</v>
      </c>
      <c r="AJ74" s="151" t="e">
        <f t="shared" si="131"/>
        <v>#REF!</v>
      </c>
      <c r="AK74" s="151" t="e">
        <f t="shared" si="131"/>
        <v>#REF!</v>
      </c>
      <c r="AL74" s="151" t="e">
        <f t="shared" si="131"/>
        <v>#REF!</v>
      </c>
      <c r="AM74" s="151" t="e">
        <f t="shared" si="131"/>
        <v>#REF!</v>
      </c>
      <c r="AN74" s="151" t="e">
        <f t="shared" si="131"/>
        <v>#REF!</v>
      </c>
      <c r="AO74" s="50">
        <v>0.22700000000000001</v>
      </c>
      <c r="AP74" s="50">
        <v>0.22700000000000001</v>
      </c>
      <c r="AQ74" s="50"/>
      <c r="AR74" s="50"/>
    </row>
    <row r="75" spans="1:44" outlineLevel="1" x14ac:dyDescent="0.2">
      <c r="A75" s="49" t="s">
        <v>90</v>
      </c>
      <c r="C75" s="51">
        <f>C72</f>
        <v>208.61500000000001</v>
      </c>
      <c r="D75" s="51">
        <f t="shared" ref="D75:Q75" si="132">D72</f>
        <v>176.90199999999999</v>
      </c>
      <c r="E75" s="51">
        <f t="shared" si="132"/>
        <v>220.023</v>
      </c>
      <c r="F75" s="51">
        <f t="shared" si="132"/>
        <v>244.05</v>
      </c>
      <c r="G75" s="51">
        <f t="shared" si="132"/>
        <v>267.49200000000002</v>
      </c>
      <c r="H75" s="51">
        <f t="shared" si="132"/>
        <v>288.77199999999999</v>
      </c>
      <c r="I75" s="51">
        <f t="shared" si="132"/>
        <v>315.94499999999999</v>
      </c>
      <c r="J75" s="51">
        <f t="shared" si="132"/>
        <v>428.26600000000002</v>
      </c>
      <c r="K75" s="51">
        <f t="shared" si="132"/>
        <v>448.154</v>
      </c>
      <c r="L75" s="51">
        <f t="shared" si="132"/>
        <v>372.53</v>
      </c>
      <c r="M75" s="51">
        <f t="shared" si="132"/>
        <v>420.52199999999999</v>
      </c>
      <c r="N75" s="51">
        <f t="shared" si="132"/>
        <v>430.24700000000001</v>
      </c>
      <c r="O75" s="51">
        <f t="shared" si="132"/>
        <v>469.798</v>
      </c>
      <c r="P75" s="51">
        <f t="shared" si="132"/>
        <v>453.35199999999998</v>
      </c>
      <c r="Q75" s="51">
        <f t="shared" si="132"/>
        <v>499.54599999999999</v>
      </c>
      <c r="R75" s="51">
        <f>R72</f>
        <v>502.01100000000002</v>
      </c>
      <c r="S75" s="51">
        <f>S72</f>
        <v>521.25800000000004</v>
      </c>
      <c r="T75" s="51">
        <f>T74*T59</f>
        <v>710.537013</v>
      </c>
      <c r="U75" s="51">
        <f t="shared" ref="U75:Z75" si="133">U72</f>
        <v>571.15899999999999</v>
      </c>
      <c r="V75" s="51">
        <f t="shared" si="133"/>
        <v>722.62099999999998</v>
      </c>
      <c r="W75" s="51">
        <f t="shared" si="133"/>
        <v>671.56700000000001</v>
      </c>
      <c r="X75" s="51">
        <f t="shared" si="133"/>
        <v>665.02800000000002</v>
      </c>
      <c r="Y75" s="51">
        <f t="shared" si="133"/>
        <v>628.78899999999999</v>
      </c>
      <c r="Z75" s="51">
        <f t="shared" si="133"/>
        <v>641.48099999999999</v>
      </c>
      <c r="AA75" s="51">
        <f t="shared" ref="AA75:AH75" si="134">AA72</f>
        <v>588.83799999999997</v>
      </c>
      <c r="AB75" s="51">
        <f t="shared" si="134"/>
        <v>653.75699999999995</v>
      </c>
      <c r="AC75" s="51">
        <f t="shared" si="134"/>
        <v>664.94</v>
      </c>
      <c r="AD75" s="51">
        <f t="shared" si="134"/>
        <v>707.13300000000004</v>
      </c>
      <c r="AE75" s="51">
        <f t="shared" si="134"/>
        <v>653.70000000000005</v>
      </c>
      <c r="AF75" s="51">
        <f t="shared" si="134"/>
        <v>669.10199999999998</v>
      </c>
      <c r="AG75" s="51">
        <f t="shared" si="134"/>
        <v>659.98599999999999</v>
      </c>
      <c r="AH75" s="51">
        <f t="shared" si="134"/>
        <v>639.149</v>
      </c>
      <c r="AI75" s="51">
        <f t="shared" ref="AI75:AN75" si="135">AI72</f>
        <v>563.43100000000004</v>
      </c>
      <c r="AJ75" s="51">
        <f t="shared" si="135"/>
        <v>584.90899999999999</v>
      </c>
      <c r="AK75" s="51">
        <f t="shared" si="135"/>
        <v>559.471</v>
      </c>
      <c r="AL75" s="51">
        <f t="shared" si="135"/>
        <v>572</v>
      </c>
      <c r="AM75" s="51">
        <f t="shared" si="135"/>
        <v>544</v>
      </c>
      <c r="AN75" s="51">
        <f t="shared" si="135"/>
        <v>716</v>
      </c>
      <c r="AO75" s="51" t="e">
        <f>AO74*AO59</f>
        <v>#REF!</v>
      </c>
      <c r="AP75" s="51" t="e">
        <f>AP74*AP59</f>
        <v>#REF!</v>
      </c>
      <c r="AQ75" s="51"/>
      <c r="AR75" s="51"/>
    </row>
    <row r="76" spans="1:44" outlineLevel="1" x14ac:dyDescent="0.2">
      <c r="A76" s="49" t="s">
        <v>62</v>
      </c>
      <c r="C76" s="150" t="e">
        <f t="shared" ref="C76:K76" si="136">(C63+C69-C75)/C59</f>
        <v>#REF!</v>
      </c>
      <c r="D76" s="150" t="e">
        <f t="shared" si="136"/>
        <v>#REF!</v>
      </c>
      <c r="E76" s="150" t="e">
        <f t="shared" si="136"/>
        <v>#REF!</v>
      </c>
      <c r="F76" s="150" t="e">
        <f t="shared" si="136"/>
        <v>#REF!</v>
      </c>
      <c r="G76" s="150" t="e">
        <f t="shared" si="136"/>
        <v>#REF!</v>
      </c>
      <c r="H76" s="150" t="e">
        <f t="shared" si="136"/>
        <v>#REF!</v>
      </c>
      <c r="I76" s="150" t="e">
        <f t="shared" si="136"/>
        <v>#REF!</v>
      </c>
      <c r="J76" s="150" t="e">
        <f t="shared" si="136"/>
        <v>#REF!</v>
      </c>
      <c r="K76" s="150" t="e">
        <f t="shared" si="136"/>
        <v>#REF!</v>
      </c>
      <c r="L76" s="150" t="e">
        <f>(L63+L69-L75)/L59/4</f>
        <v>#REF!</v>
      </c>
      <c r="M76" s="150" t="e">
        <f>(M63+M69-M75)/M59/4</f>
        <v>#REF!</v>
      </c>
      <c r="N76" s="150" t="e">
        <f>(N63+N69-N75)/N59/4</f>
        <v>#REF!</v>
      </c>
      <c r="O76" s="150" t="e">
        <f>(O63+O69-O75)/O59</f>
        <v>#REF!</v>
      </c>
      <c r="P76" s="150" t="e">
        <f>(P63+P69-P75)/P59/4</f>
        <v>#REF!</v>
      </c>
      <c r="Q76" s="150" t="e">
        <f>(Q63+Q69-Q75)/Q59/4</f>
        <v>#REF!</v>
      </c>
      <c r="R76" s="150" t="e">
        <f>(R63+R69-R75)/R59/4</f>
        <v>#REF!</v>
      </c>
      <c r="S76" s="150" t="e">
        <f>(S63+S69-S75)/S59/4</f>
        <v>#REF!</v>
      </c>
      <c r="T76" s="150">
        <f>(T63+T69-T75)/T59</f>
        <v>0.41</v>
      </c>
      <c r="U76" s="150" t="e">
        <f t="shared" ref="U76:Z76" si="137">(U63+U69-U75)/U59/4</f>
        <v>#REF!</v>
      </c>
      <c r="V76" s="150" t="e">
        <f t="shared" si="137"/>
        <v>#REF!</v>
      </c>
      <c r="W76" s="150" t="e">
        <f t="shared" si="137"/>
        <v>#REF!</v>
      </c>
      <c r="X76" s="150" t="e">
        <f t="shared" si="137"/>
        <v>#REF!</v>
      </c>
      <c r="Y76" s="150" t="e">
        <f t="shared" si="137"/>
        <v>#REF!</v>
      </c>
      <c r="Z76" s="150" t="e">
        <f t="shared" si="137"/>
        <v>#REF!</v>
      </c>
      <c r="AA76" s="150" t="e">
        <f t="shared" ref="AA76:AH76" si="138">(AA63+AA69-AA75)/AA59/4</f>
        <v>#REF!</v>
      </c>
      <c r="AB76" s="150" t="e">
        <f t="shared" si="138"/>
        <v>#REF!</v>
      </c>
      <c r="AC76" s="150" t="e">
        <f t="shared" si="138"/>
        <v>#REF!</v>
      </c>
      <c r="AD76" s="150" t="e">
        <f t="shared" si="138"/>
        <v>#REF!</v>
      </c>
      <c r="AE76" s="150" t="e">
        <f t="shared" si="138"/>
        <v>#REF!</v>
      </c>
      <c r="AF76" s="150" t="e">
        <f t="shared" si="138"/>
        <v>#REF!</v>
      </c>
      <c r="AG76" s="150" t="e">
        <f t="shared" si="138"/>
        <v>#REF!</v>
      </c>
      <c r="AH76" s="150" t="e">
        <f t="shared" si="138"/>
        <v>#REF!</v>
      </c>
      <c r="AI76" s="150" t="e">
        <f t="shared" ref="AI76:AN76" si="139">(AI63+AI69-AI75)/AI59/4</f>
        <v>#REF!</v>
      </c>
      <c r="AJ76" s="150" t="e">
        <f t="shared" si="139"/>
        <v>#REF!</v>
      </c>
      <c r="AK76" s="150" t="e">
        <f t="shared" si="139"/>
        <v>#REF!</v>
      </c>
      <c r="AL76" s="150" t="e">
        <f t="shared" si="139"/>
        <v>#REF!</v>
      </c>
      <c r="AM76" s="150" t="e">
        <f t="shared" si="139"/>
        <v>#REF!</v>
      </c>
      <c r="AN76" s="150" t="e">
        <f t="shared" si="139"/>
        <v>#REF!</v>
      </c>
      <c r="AO76" s="52" t="e">
        <f>(AO63+AO69-AO75)/AO59</f>
        <v>#REF!</v>
      </c>
      <c r="AP76" s="52" t="e">
        <f>(AP63+AP69-AP75)/AP59</f>
        <v>#REF!</v>
      </c>
    </row>
    <row r="77" spans="1:44" outlineLevel="1" x14ac:dyDescent="0.2">
      <c r="A77" s="49"/>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c r="AH77" s="150"/>
      <c r="AI77" s="150"/>
      <c r="AJ77" s="150"/>
      <c r="AK77" s="150"/>
      <c r="AL77" s="150"/>
      <c r="AM77" s="150"/>
      <c r="AN77" s="150"/>
    </row>
    <row r="78" spans="1:44" outlineLevel="1" x14ac:dyDescent="0.2">
      <c r="A78" s="49" t="s">
        <v>77</v>
      </c>
      <c r="D78" s="152">
        <f t="shared" ref="D78:K78" si="140">(D54+C54)/2</f>
        <v>703.00900000000001</v>
      </c>
      <c r="E78" s="152">
        <f t="shared" si="140"/>
        <v>648.00649999999996</v>
      </c>
      <c r="F78" s="152">
        <f t="shared" si="140"/>
        <v>592.81499999999994</v>
      </c>
      <c r="G78" s="152">
        <f t="shared" si="140"/>
        <v>599.10249999999996</v>
      </c>
      <c r="H78" s="152">
        <f t="shared" si="140"/>
        <v>753.35700000000008</v>
      </c>
      <c r="I78" s="152">
        <f t="shared" si="140"/>
        <v>910.41300000000012</v>
      </c>
      <c r="J78" s="152">
        <f t="shared" si="140"/>
        <v>1230.0645</v>
      </c>
      <c r="K78" s="152">
        <f t="shared" si="140"/>
        <v>1695.3674999999998</v>
      </c>
      <c r="L78" s="152"/>
      <c r="M78" s="152"/>
      <c r="N78" s="152"/>
      <c r="O78" s="152">
        <f>(O54+K54)/2</f>
        <v>1808.6544999999996</v>
      </c>
    </row>
    <row r="79" spans="1:44" outlineLevel="1" x14ac:dyDescent="0.2">
      <c r="A79" s="49" t="s">
        <v>76</v>
      </c>
      <c r="D79" s="153" t="e">
        <f t="shared" ref="D79:K79" si="141">D78/D59</f>
        <v>#REF!</v>
      </c>
      <c r="E79" s="153" t="e">
        <f t="shared" si="141"/>
        <v>#REF!</v>
      </c>
      <c r="F79" s="153" t="e">
        <f t="shared" si="141"/>
        <v>#REF!</v>
      </c>
      <c r="G79" s="153" t="e">
        <f t="shared" si="141"/>
        <v>#REF!</v>
      </c>
      <c r="H79" s="153" t="e">
        <f t="shared" si="141"/>
        <v>#REF!</v>
      </c>
      <c r="I79" s="153" t="e">
        <f t="shared" si="141"/>
        <v>#REF!</v>
      </c>
      <c r="J79" s="153" t="e">
        <f t="shared" si="141"/>
        <v>#REF!</v>
      </c>
      <c r="K79" s="153" t="e">
        <f t="shared" si="141"/>
        <v>#REF!</v>
      </c>
      <c r="L79" s="153"/>
      <c r="M79" s="51" t="e">
        <f>O59-N59-M59-L59</f>
        <v>#REF!</v>
      </c>
      <c r="N79" s="153"/>
      <c r="O79" s="153" t="e">
        <f>O78/(O59+N59+M59+L59)</f>
        <v>#REF!</v>
      </c>
    </row>
    <row r="80" spans="1:44" outlineLevel="1" x14ac:dyDescent="0.2">
      <c r="B80" s="57" t="s">
        <v>80</v>
      </c>
      <c r="C80" s="57" t="s">
        <v>81</v>
      </c>
    </row>
    <row r="81" spans="1:15" outlineLevel="1" x14ac:dyDescent="0.2">
      <c r="A81" s="49" t="s">
        <v>78</v>
      </c>
      <c r="B81" s="56">
        <v>3.7658999999999998</v>
      </c>
      <c r="C81" s="56">
        <v>3.9133</v>
      </c>
      <c r="D81" t="s">
        <v>95</v>
      </c>
    </row>
    <row r="82" spans="1:15" outlineLevel="1" x14ac:dyDescent="0.2">
      <c r="A82" s="49" t="s">
        <v>79</v>
      </c>
      <c r="B82" s="56">
        <v>5.4802</v>
      </c>
      <c r="C82" s="56">
        <v>5.1868999999999996</v>
      </c>
      <c r="D82" t="s">
        <v>94</v>
      </c>
    </row>
    <row r="83" spans="1:15" outlineLevel="1" x14ac:dyDescent="0.2">
      <c r="A83" s="49"/>
      <c r="B83" s="56"/>
      <c r="C83" s="56"/>
    </row>
    <row r="84" spans="1:15" outlineLevel="1" x14ac:dyDescent="0.2">
      <c r="A84" s="49" t="s">
        <v>94</v>
      </c>
      <c r="B84" s="56">
        <f>B82/B81</f>
        <v>1.4552165485010224</v>
      </c>
      <c r="C84" s="56">
        <f>C82/C81</f>
        <v>1.3254542202233408</v>
      </c>
      <c r="D84" s="52" t="s">
        <v>96</v>
      </c>
      <c r="G84" s="52"/>
      <c r="H84" s="52"/>
      <c r="I84" s="52"/>
      <c r="J84" s="52"/>
      <c r="K84" s="52"/>
      <c r="O84" s="52"/>
    </row>
    <row r="85" spans="1:15" x14ac:dyDescent="0.2">
      <c r="A85" s="49"/>
      <c r="B85" s="57" t="s">
        <v>82</v>
      </c>
      <c r="C85" s="57" t="s">
        <v>82</v>
      </c>
    </row>
    <row r="86" spans="1:15" x14ac:dyDescent="0.2">
      <c r="B86" s="56"/>
      <c r="C86" s="56"/>
    </row>
    <row r="87" spans="1:15" x14ac:dyDescent="0.2">
      <c r="A87" s="49"/>
    </row>
    <row r="93" spans="1:15" x14ac:dyDescent="0.2">
      <c r="A93" s="133"/>
      <c r="B93" s="133"/>
      <c r="C93" s="133"/>
      <c r="D93" s="133"/>
      <c r="E93" s="133"/>
      <c r="F93" s="133"/>
      <c r="G93" s="133"/>
      <c r="H93" s="133"/>
      <c r="I93" s="133"/>
    </row>
    <row r="94" spans="1:15" x14ac:dyDescent="0.2">
      <c r="A94" s="133"/>
      <c r="B94" s="133"/>
      <c r="C94" s="133"/>
      <c r="D94" s="134"/>
      <c r="E94" s="133"/>
      <c r="F94" s="133"/>
      <c r="G94" s="133"/>
      <c r="H94" s="133"/>
      <c r="I94" s="133"/>
    </row>
    <row r="95" spans="1:15" x14ac:dyDescent="0.2">
      <c r="A95" s="133"/>
      <c r="B95" s="133"/>
      <c r="C95" s="135"/>
      <c r="D95" s="134"/>
      <c r="E95" s="133"/>
      <c r="F95" s="133"/>
      <c r="G95" s="133"/>
      <c r="H95" s="133"/>
      <c r="I95" s="133"/>
    </row>
    <row r="96" spans="1:15" x14ac:dyDescent="0.2">
      <c r="A96" s="133"/>
      <c r="B96" s="133"/>
      <c r="C96" s="135"/>
      <c r="D96" s="134"/>
      <c r="E96" s="133"/>
      <c r="F96" s="133"/>
      <c r="G96" s="133"/>
      <c r="H96" s="133"/>
      <c r="I96" s="133"/>
    </row>
    <row r="97" spans="1:9" x14ac:dyDescent="0.2">
      <c r="A97" s="133"/>
      <c r="B97" s="133"/>
      <c r="C97" s="135"/>
      <c r="D97" s="134"/>
      <c r="E97" s="133"/>
      <c r="F97" s="133"/>
      <c r="G97" s="133"/>
      <c r="H97" s="133"/>
      <c r="I97" s="133"/>
    </row>
    <row r="98" spans="1:9" x14ac:dyDescent="0.2">
      <c r="A98" s="133"/>
      <c r="B98" s="133"/>
      <c r="C98" s="135"/>
      <c r="D98" s="133"/>
      <c r="E98" s="133"/>
      <c r="F98" s="133"/>
      <c r="G98" s="133"/>
      <c r="H98" s="133"/>
      <c r="I98" s="133"/>
    </row>
    <row r="99" spans="1:9" x14ac:dyDescent="0.2">
      <c r="A99" s="133"/>
      <c r="B99" s="133"/>
      <c r="C99" s="135"/>
      <c r="D99" s="134"/>
      <c r="E99" s="133"/>
      <c r="F99" s="133"/>
      <c r="G99" s="133"/>
      <c r="H99" s="133"/>
      <c r="I99" s="133"/>
    </row>
    <row r="100" spans="1:9" x14ac:dyDescent="0.2">
      <c r="A100" s="133"/>
      <c r="B100" s="133"/>
      <c r="C100" s="133"/>
      <c r="D100" s="133"/>
      <c r="E100" s="133"/>
      <c r="F100" s="133"/>
      <c r="G100" s="133"/>
      <c r="H100" s="133"/>
      <c r="I100" s="133"/>
    </row>
    <row r="101" spans="1:9" x14ac:dyDescent="0.2">
      <c r="A101" s="133"/>
      <c r="B101" s="133"/>
      <c r="C101" s="133"/>
      <c r="D101" s="133"/>
      <c r="E101" s="133"/>
      <c r="F101" s="133"/>
      <c r="G101" s="133"/>
      <c r="H101" s="133"/>
      <c r="I101" s="133"/>
    </row>
    <row r="102" spans="1:9" x14ac:dyDescent="0.2">
      <c r="A102" s="133"/>
      <c r="B102" s="133"/>
      <c r="C102" s="133"/>
      <c r="D102" s="133"/>
      <c r="E102" s="133"/>
      <c r="F102" s="133"/>
      <c r="G102" s="133"/>
      <c r="H102" s="133"/>
      <c r="I102" s="133"/>
    </row>
    <row r="103" spans="1:9" x14ac:dyDescent="0.2">
      <c r="A103" s="133"/>
      <c r="B103" s="133"/>
      <c r="C103" s="133"/>
      <c r="D103" s="133"/>
      <c r="E103" s="133"/>
      <c r="F103" s="133"/>
      <c r="G103" s="133"/>
      <c r="H103" s="133"/>
      <c r="I103" s="133"/>
    </row>
    <row r="104" spans="1:9" x14ac:dyDescent="0.2">
      <c r="A104" s="133"/>
      <c r="B104" s="133"/>
      <c r="C104" s="133"/>
      <c r="D104" s="133"/>
      <c r="E104" s="133"/>
      <c r="F104" s="133"/>
      <c r="G104" s="133"/>
      <c r="H104" s="133"/>
      <c r="I104" s="133"/>
    </row>
    <row r="105" spans="1:9" x14ac:dyDescent="0.2">
      <c r="A105" s="133"/>
      <c r="B105" s="133"/>
      <c r="C105" s="133"/>
      <c r="D105" s="133"/>
      <c r="E105" s="133"/>
      <c r="F105" s="133"/>
      <c r="G105" s="133"/>
      <c r="H105" s="133"/>
      <c r="I105" s="133"/>
    </row>
    <row r="106" spans="1:9" x14ac:dyDescent="0.2">
      <c r="A106" s="133"/>
      <c r="B106" s="133"/>
      <c r="C106" s="133"/>
      <c r="D106" s="133"/>
      <c r="E106" s="133"/>
      <c r="F106" s="133"/>
      <c r="G106" s="133"/>
      <c r="H106" s="133"/>
      <c r="I106" s="133"/>
    </row>
    <row r="107" spans="1:9" x14ac:dyDescent="0.2">
      <c r="A107" s="133"/>
      <c r="B107" s="133"/>
      <c r="C107" s="133"/>
      <c r="D107" s="133"/>
      <c r="E107" s="133"/>
      <c r="F107" s="133"/>
      <c r="G107" s="133"/>
      <c r="H107" s="133"/>
      <c r="I107" s="133"/>
    </row>
    <row r="108" spans="1:9" x14ac:dyDescent="0.2">
      <c r="A108" s="133"/>
      <c r="B108" s="133"/>
      <c r="C108" s="133"/>
      <c r="D108" s="133"/>
      <c r="E108" s="133"/>
      <c r="F108" s="133"/>
      <c r="G108" s="133"/>
      <c r="H108" s="133"/>
      <c r="I108" s="133"/>
    </row>
    <row r="109" spans="1:9" x14ac:dyDescent="0.2">
      <c r="A109" s="133"/>
      <c r="B109" s="133"/>
      <c r="C109" s="133"/>
      <c r="D109" s="133"/>
      <c r="E109" s="133"/>
      <c r="F109" s="133"/>
      <c r="G109" s="133"/>
      <c r="H109" s="133"/>
      <c r="I109" s="133"/>
    </row>
    <row r="110" spans="1:9" x14ac:dyDescent="0.2">
      <c r="A110" s="133"/>
      <c r="B110" s="133"/>
      <c r="C110" s="133"/>
      <c r="D110" s="133"/>
      <c r="E110" s="133"/>
      <c r="F110" s="133"/>
      <c r="G110" s="133"/>
      <c r="H110" s="133"/>
      <c r="I110" s="133"/>
    </row>
  </sheetData>
  <mergeCells count="3">
    <mergeCell ref="A58:Q58"/>
    <mergeCell ref="A64:Q64"/>
    <mergeCell ref="A70:Q70"/>
  </mergeCells>
  <phoneticPr fontId="51" type="noConversion"/>
  <printOptions horizontalCentered="1"/>
  <pageMargins left="0.74803149606299213" right="0.74803149606299213" top="0.98425196850393704" bottom="0.98425196850393704" header="0.51181102362204722" footer="0.51181102362204722"/>
  <pageSetup paperSize="9" scale="76" orientation="landscape" horizontalDpi="200" verticalDpi="200"/>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גיליון3"/>
  <dimension ref="A1:N25"/>
  <sheetViews>
    <sheetView showGridLines="0" rightToLeft="1" workbookViewId="0">
      <selection activeCell="D35" sqref="D35"/>
    </sheetView>
  </sheetViews>
  <sheetFormatPr defaultRowHeight="12.75" x14ac:dyDescent="0.2"/>
  <cols>
    <col min="4" max="4" width="23.28515625" bestFit="1" customWidth="1"/>
  </cols>
  <sheetData>
    <row r="1" spans="1:14" x14ac:dyDescent="0.2">
      <c r="A1" s="275"/>
    </row>
    <row r="2" spans="1:14" ht="13.5" thickBot="1" x14ac:dyDescent="0.25"/>
    <row r="3" spans="1:14" ht="15.75" thickTop="1" x14ac:dyDescent="0.25">
      <c r="D3" s="1128" t="s">
        <v>478</v>
      </c>
      <c r="E3" s="1128"/>
      <c r="F3" s="1128"/>
      <c r="G3" s="1128"/>
      <c r="H3" s="1128"/>
      <c r="I3" s="1128"/>
      <c r="J3" s="1128"/>
      <c r="K3" s="1128"/>
      <c r="L3" s="1128"/>
      <c r="M3" s="1128"/>
    </row>
    <row r="4" spans="1:14" x14ac:dyDescent="0.2">
      <c r="D4" s="314" t="s">
        <v>339</v>
      </c>
      <c r="E4" s="315" t="e">
        <f>#REF!</f>
        <v>#REF!</v>
      </c>
      <c r="F4" s="315" t="e">
        <f>#REF!</f>
        <v>#REF!</v>
      </c>
      <c r="G4" s="315" t="e">
        <f>#REF!</f>
        <v>#REF!</v>
      </c>
      <c r="H4" s="315" t="e">
        <f>#REF!</f>
        <v>#REF!</v>
      </c>
      <c r="I4" s="315" t="e">
        <f>#REF!</f>
        <v>#REF!</v>
      </c>
      <c r="J4" s="315" t="e">
        <f>#REF!</f>
        <v>#REF!</v>
      </c>
      <c r="K4" s="315" t="e">
        <f>#REF!</f>
        <v>#REF!</v>
      </c>
      <c r="L4" s="315" t="e">
        <f>#REF!</f>
        <v>#REF!</v>
      </c>
      <c r="M4" s="316" t="e">
        <f>#REF!</f>
        <v>#REF!</v>
      </c>
      <c r="N4" s="49"/>
    </row>
    <row r="5" spans="1:14" x14ac:dyDescent="0.2">
      <c r="D5" s="426"/>
      <c r="E5" s="1126" t="s">
        <v>477</v>
      </c>
      <c r="F5" s="1126"/>
      <c r="G5" s="1126"/>
      <c r="H5" s="1126"/>
      <c r="I5" s="1126"/>
      <c r="J5" s="1126"/>
      <c r="K5" s="1126"/>
      <c r="L5" s="1126"/>
      <c r="M5" s="1127"/>
      <c r="N5" s="49"/>
    </row>
    <row r="6" spans="1:14" x14ac:dyDescent="0.2">
      <c r="D6" s="427" t="s">
        <v>70</v>
      </c>
      <c r="E6" s="371" t="e">
        <f>#REF!</f>
        <v>#REF!</v>
      </c>
      <c r="F6" s="371" t="e">
        <f>#REF!</f>
        <v>#REF!</v>
      </c>
      <c r="G6" s="371" t="e">
        <f>#REF!</f>
        <v>#REF!</v>
      </c>
      <c r="H6" s="371" t="e">
        <f>#REF!</f>
        <v>#REF!</v>
      </c>
      <c r="I6" s="371" t="e">
        <f>#REF!</f>
        <v>#REF!</v>
      </c>
      <c r="J6" s="371" t="e">
        <f>#REF!</f>
        <v>#REF!</v>
      </c>
      <c r="K6" s="371" t="e">
        <f>#REF!</f>
        <v>#REF!</v>
      </c>
      <c r="L6" s="371" t="e">
        <f>#REF!</f>
        <v>#REF!</v>
      </c>
      <c r="M6" s="425" t="e">
        <f>#REF!</f>
        <v>#REF!</v>
      </c>
      <c r="N6" s="331"/>
    </row>
    <row r="7" spans="1:14" x14ac:dyDescent="0.2">
      <c r="D7" s="428" t="s">
        <v>470</v>
      </c>
      <c r="E7" s="312">
        <f>1580143/10^3</f>
        <v>1580.143</v>
      </c>
      <c r="F7" s="312">
        <v>1765.8810000000001</v>
      </c>
      <c r="G7" s="312">
        <v>1209.1120000000001</v>
      </c>
      <c r="H7" s="312">
        <v>1064.713</v>
      </c>
      <c r="I7" s="312">
        <v>1647.347</v>
      </c>
      <c r="J7" s="312">
        <v>989.65200000000004</v>
      </c>
      <c r="K7" s="312">
        <v>989.65200000000004</v>
      </c>
      <c r="L7" s="312">
        <v>676.96500000000003</v>
      </c>
      <c r="M7" s="332">
        <v>591.36800000000005</v>
      </c>
      <c r="N7" s="331"/>
    </row>
    <row r="8" spans="1:14" x14ac:dyDescent="0.2">
      <c r="D8" s="428" t="s">
        <v>365</v>
      </c>
      <c r="E8" s="312">
        <v>407.69400000000002</v>
      </c>
      <c r="F8" s="312">
        <v>392.97800000000001</v>
      </c>
      <c r="G8" s="312">
        <v>336.822</v>
      </c>
      <c r="H8" s="312">
        <v>282.08100000000002</v>
      </c>
      <c r="I8" s="312">
        <v>440.51499999999999</v>
      </c>
      <c r="J8" s="312">
        <v>301.476</v>
      </c>
      <c r="K8" s="312">
        <v>301.476</v>
      </c>
      <c r="L8" s="312">
        <v>252.244</v>
      </c>
      <c r="M8" s="332">
        <v>189.077</v>
      </c>
      <c r="N8" s="331"/>
    </row>
    <row r="9" spans="1:14" x14ac:dyDescent="0.2">
      <c r="D9" s="428" t="s">
        <v>471</v>
      </c>
      <c r="E9" s="312">
        <v>789.13400000000001</v>
      </c>
      <c r="F9" s="312">
        <v>826.99199999999996</v>
      </c>
      <c r="G9" s="312">
        <v>706.22</v>
      </c>
      <c r="H9" s="312">
        <v>648.27300000000002</v>
      </c>
      <c r="I9" s="312">
        <v>745.29499999999996</v>
      </c>
      <c r="J9" s="312">
        <v>602.32500000000005</v>
      </c>
      <c r="K9" s="312">
        <v>602.32500000000005</v>
      </c>
      <c r="L9" s="312">
        <v>449.63099999999997</v>
      </c>
      <c r="M9" s="332">
        <v>438.36</v>
      </c>
      <c r="N9" s="331"/>
    </row>
    <row r="10" spans="1:14" x14ac:dyDescent="0.2">
      <c r="D10" s="428" t="s">
        <v>84</v>
      </c>
      <c r="E10" s="312">
        <v>403.24200000000002</v>
      </c>
      <c r="F10" s="312">
        <v>392.36599999999999</v>
      </c>
      <c r="G10" s="312">
        <v>291.43799999999999</v>
      </c>
      <c r="H10" s="312">
        <v>270.92099999999999</v>
      </c>
      <c r="I10" s="312">
        <v>313.68299999999999</v>
      </c>
      <c r="J10" s="312">
        <v>254.08</v>
      </c>
      <c r="K10" s="312">
        <v>254.08</v>
      </c>
      <c r="L10" s="312">
        <v>181.57599999999999</v>
      </c>
      <c r="M10" s="332">
        <v>168.184</v>
      </c>
      <c r="N10" s="331"/>
    </row>
    <row r="11" spans="1:14" x14ac:dyDescent="0.2">
      <c r="D11" s="428" t="s">
        <v>102</v>
      </c>
      <c r="E11" s="312">
        <v>229.28299999999999</v>
      </c>
      <c r="F11" s="312">
        <v>211.67400000000001</v>
      </c>
      <c r="G11" s="312">
        <v>166.50200000000001</v>
      </c>
      <c r="H11" s="312">
        <v>158.30600000000001</v>
      </c>
      <c r="I11" s="312">
        <v>147.06700000000001</v>
      </c>
      <c r="J11" s="312">
        <v>135.14699999999999</v>
      </c>
      <c r="K11" s="312">
        <v>135.14699999999999</v>
      </c>
      <c r="L11" s="312">
        <v>143.11600000000001</v>
      </c>
      <c r="M11" s="332">
        <v>139.76599999999999</v>
      </c>
      <c r="N11" s="331"/>
    </row>
    <row r="12" spans="1:14" x14ac:dyDescent="0.2">
      <c r="D12" s="428" t="s">
        <v>472</v>
      </c>
      <c r="E12" s="312">
        <v>349.09899999999999</v>
      </c>
      <c r="F12" s="312">
        <v>342.92500000000001</v>
      </c>
      <c r="G12" s="312">
        <v>294.29000000000002</v>
      </c>
      <c r="H12" s="312">
        <v>256.80099999999999</v>
      </c>
      <c r="I12" s="312">
        <v>311.04000000000002</v>
      </c>
      <c r="J12" s="312">
        <v>229.10499999999999</v>
      </c>
      <c r="K12" s="312">
        <v>229.10499999999999</v>
      </c>
      <c r="L12" s="312">
        <v>181.84399999999999</v>
      </c>
      <c r="M12" s="332">
        <v>181.3</v>
      </c>
      <c r="N12" s="331"/>
    </row>
    <row r="13" spans="1:14" x14ac:dyDescent="0.2">
      <c r="D13" s="428" t="s">
        <v>473</v>
      </c>
      <c r="E13" s="312">
        <v>88.335999999999999</v>
      </c>
      <c r="F13" s="312">
        <v>66.314999999999998</v>
      </c>
      <c r="G13" s="312">
        <v>57.695999999999998</v>
      </c>
      <c r="H13" s="312">
        <v>40.368000000000002</v>
      </c>
      <c r="I13" s="312">
        <v>65.747</v>
      </c>
      <c r="J13" s="312">
        <v>51.378999999999998</v>
      </c>
      <c r="K13" s="312">
        <v>51.378999999999998</v>
      </c>
      <c r="L13" s="312">
        <v>30.521000000000001</v>
      </c>
      <c r="M13" s="332">
        <v>29.675000000000001</v>
      </c>
      <c r="N13" s="331"/>
    </row>
    <row r="14" spans="1:14" x14ac:dyDescent="0.2">
      <c r="D14" s="428" t="s">
        <v>474</v>
      </c>
      <c r="E14" s="312">
        <v>68.131</v>
      </c>
      <c r="F14" s="312">
        <v>-86.96</v>
      </c>
      <c r="G14" s="312">
        <v>197.381</v>
      </c>
      <c r="H14" s="312">
        <v>-3.677</v>
      </c>
      <c r="I14" s="312">
        <v>-221.92</v>
      </c>
      <c r="J14" s="312">
        <v>-18.120999999999999</v>
      </c>
      <c r="K14" s="312">
        <v>-18.120999999999999</v>
      </c>
      <c r="L14" s="312">
        <v>-70.549000000000007</v>
      </c>
      <c r="M14" s="332">
        <v>40.174999999999997</v>
      </c>
      <c r="N14" s="331"/>
    </row>
    <row r="15" spans="1:14" x14ac:dyDescent="0.2">
      <c r="D15" s="427" t="s">
        <v>475</v>
      </c>
      <c r="E15" s="371">
        <v>806.31</v>
      </c>
      <c r="F15" s="371">
        <v>870.61599999999999</v>
      </c>
      <c r="G15" s="371">
        <v>779.80899999999997</v>
      </c>
      <c r="H15" s="371">
        <v>558.125</v>
      </c>
      <c r="I15" s="371">
        <v>761.48500000000001</v>
      </c>
      <c r="J15" s="371">
        <v>599.86800000000005</v>
      </c>
      <c r="K15" s="371">
        <v>475.11599999999999</v>
      </c>
      <c r="L15" s="371">
        <v>443.29399999999998</v>
      </c>
      <c r="M15" s="425">
        <v>444.911</v>
      </c>
    </row>
    <row r="16" spans="1:14" x14ac:dyDescent="0.2">
      <c r="D16" s="428" t="s">
        <v>366</v>
      </c>
      <c r="E16" s="312">
        <v>511.36399999999998</v>
      </c>
      <c r="F16" s="312">
        <v>602.78200000000004</v>
      </c>
      <c r="G16" s="312">
        <v>567.80100000000004</v>
      </c>
      <c r="H16" s="312">
        <v>362.39499999999998</v>
      </c>
      <c r="I16" s="312">
        <v>545.16899999999998</v>
      </c>
      <c r="J16" s="312">
        <v>443.49</v>
      </c>
      <c r="K16" s="312">
        <v>335.76499999999999</v>
      </c>
      <c r="L16" s="312">
        <v>321.81400000000002</v>
      </c>
      <c r="M16" s="332">
        <v>328.22</v>
      </c>
    </row>
    <row r="17" spans="4:13" x14ac:dyDescent="0.2">
      <c r="D17" s="428" t="s">
        <v>471</v>
      </c>
      <c r="E17" s="312">
        <v>149.94399999999999</v>
      </c>
      <c r="F17" s="312">
        <v>139.70699999999999</v>
      </c>
      <c r="G17" s="312">
        <v>110.157</v>
      </c>
      <c r="H17" s="312">
        <v>99.616</v>
      </c>
      <c r="I17" s="312">
        <v>105.56100000000001</v>
      </c>
      <c r="J17" s="312">
        <v>75.385000000000005</v>
      </c>
      <c r="K17" s="312">
        <v>64.766000000000005</v>
      </c>
      <c r="L17" s="312">
        <v>56.595999999999997</v>
      </c>
      <c r="M17" s="332">
        <v>54.771000000000001</v>
      </c>
    </row>
    <row r="18" spans="4:13" x14ac:dyDescent="0.2">
      <c r="D18" s="428" t="s">
        <v>367</v>
      </c>
      <c r="E18" s="312">
        <v>28.699000000000002</v>
      </c>
      <c r="F18" s="312">
        <v>30.029</v>
      </c>
      <c r="G18" s="312">
        <v>25.344999999999999</v>
      </c>
      <c r="H18" s="312">
        <v>24.821999999999999</v>
      </c>
      <c r="I18" s="312">
        <v>31.742000000000001</v>
      </c>
      <c r="J18" s="312">
        <v>22.672999999999998</v>
      </c>
      <c r="K18" s="312">
        <v>19.768999999999998</v>
      </c>
      <c r="L18" s="312">
        <v>20.094999999999999</v>
      </c>
      <c r="M18" s="332">
        <v>17.536999999999999</v>
      </c>
    </row>
    <row r="19" spans="4:13" x14ac:dyDescent="0.2">
      <c r="D19" s="428" t="s">
        <v>368</v>
      </c>
      <c r="E19" s="312">
        <v>119.303</v>
      </c>
      <c r="F19" s="312">
        <v>98.097999999999999</v>
      </c>
      <c r="G19" s="312">
        <v>76.506</v>
      </c>
      <c r="H19" s="312">
        <v>71.292000000000002</v>
      </c>
      <c r="I19" s="312">
        <v>79.013000000000005</v>
      </c>
      <c r="J19" s="312">
        <v>58.32</v>
      </c>
      <c r="K19" s="312">
        <v>54.816000000000003</v>
      </c>
      <c r="L19" s="312">
        <v>44.789000000000001</v>
      </c>
      <c r="M19" s="332">
        <v>44.383000000000003</v>
      </c>
    </row>
    <row r="20" spans="4:13" x14ac:dyDescent="0.2">
      <c r="D20" s="427" t="s">
        <v>3</v>
      </c>
      <c r="E20" s="371">
        <v>259.923</v>
      </c>
      <c r="F20" s="371">
        <v>276.53500000000003</v>
      </c>
      <c r="G20" s="371">
        <v>245.614</v>
      </c>
      <c r="H20" s="371">
        <v>195.88900000000001</v>
      </c>
      <c r="I20" s="371">
        <v>207.179</v>
      </c>
      <c r="J20" s="371">
        <v>161.172</v>
      </c>
      <c r="K20" s="371">
        <v>125</v>
      </c>
      <c r="L20" s="371">
        <v>105.753</v>
      </c>
      <c r="M20" s="425">
        <v>105.65600000000001</v>
      </c>
    </row>
    <row r="21" spans="4:13" x14ac:dyDescent="0.2">
      <c r="D21" s="428" t="s">
        <v>471</v>
      </c>
      <c r="E21" s="312">
        <v>146.541</v>
      </c>
      <c r="F21" s="312">
        <v>151.304</v>
      </c>
      <c r="G21" s="312">
        <v>151.30500000000001</v>
      </c>
      <c r="H21" s="312">
        <v>110.96599999999999</v>
      </c>
      <c r="I21" s="312">
        <v>114.98699999999999</v>
      </c>
      <c r="J21" s="312">
        <v>103.45699999999999</v>
      </c>
      <c r="K21" s="312">
        <v>78.149000000000001</v>
      </c>
      <c r="L21" s="312">
        <v>62.694000000000003</v>
      </c>
      <c r="M21" s="332">
        <v>61.823</v>
      </c>
    </row>
    <row r="22" spans="4:13" x14ac:dyDescent="0.2">
      <c r="D22" s="428" t="s">
        <v>369</v>
      </c>
      <c r="E22" s="312">
        <v>15.191000000000001</v>
      </c>
      <c r="F22" s="312">
        <v>14.15</v>
      </c>
      <c r="G22" s="312">
        <v>11.733000000000001</v>
      </c>
      <c r="H22" s="312">
        <v>10.887</v>
      </c>
      <c r="I22" s="312">
        <v>12.417999999999999</v>
      </c>
      <c r="J22" s="312">
        <v>9.8279999999999994</v>
      </c>
      <c r="K22" s="312">
        <v>12</v>
      </c>
      <c r="L22" s="312">
        <v>8</v>
      </c>
      <c r="M22" s="332">
        <v>9</v>
      </c>
    </row>
    <row r="23" spans="4:13" x14ac:dyDescent="0.2">
      <c r="D23" s="428" t="s">
        <v>370</v>
      </c>
      <c r="E23" s="312">
        <v>10.99</v>
      </c>
      <c r="F23" s="312">
        <v>11.974</v>
      </c>
      <c r="G23" s="312">
        <v>8.4909999999999997</v>
      </c>
      <c r="H23" s="312">
        <v>10.742000000000001</v>
      </c>
      <c r="I23" s="312">
        <v>11.297000000000001</v>
      </c>
      <c r="J23" s="312">
        <v>6.99</v>
      </c>
      <c r="K23" s="312">
        <v>5</v>
      </c>
      <c r="L23" s="312">
        <v>6</v>
      </c>
      <c r="M23" s="332">
        <v>4</v>
      </c>
    </row>
    <row r="24" spans="4:13" x14ac:dyDescent="0.2">
      <c r="D24" s="428" t="s">
        <v>368</v>
      </c>
      <c r="E24" s="312">
        <v>87.200999999999993</v>
      </c>
      <c r="F24" s="312">
        <v>99.106999999999999</v>
      </c>
      <c r="G24" s="312">
        <v>74.081999999999994</v>
      </c>
      <c r="H24" s="312">
        <v>63.293999999999997</v>
      </c>
      <c r="I24" s="312">
        <v>68.477000000000004</v>
      </c>
      <c r="J24" s="312">
        <v>40.896999999999998</v>
      </c>
      <c r="K24" s="312">
        <v>30</v>
      </c>
      <c r="L24" s="312">
        <v>29</v>
      </c>
      <c r="M24" s="332">
        <v>31</v>
      </c>
    </row>
    <row r="25" spans="4:13" x14ac:dyDescent="0.2">
      <c r="D25" s="429" t="s">
        <v>476</v>
      </c>
      <c r="E25" s="372">
        <v>77.197999999999993</v>
      </c>
      <c r="F25" s="372">
        <v>72.194999999999993</v>
      </c>
      <c r="G25" s="372">
        <v>64.063999999999993</v>
      </c>
      <c r="H25" s="372">
        <v>53.823</v>
      </c>
      <c r="I25" s="372">
        <v>57.317</v>
      </c>
      <c r="J25" s="372">
        <v>38.729999999999997</v>
      </c>
      <c r="K25" s="372">
        <v>35.093000000000004</v>
      </c>
      <c r="L25" s="372">
        <v>30.277000000000001</v>
      </c>
      <c r="M25" s="430">
        <v>32.115000000000002</v>
      </c>
    </row>
  </sheetData>
  <mergeCells count="2">
    <mergeCell ref="E5:M5"/>
    <mergeCell ref="D3:M3"/>
  </mergeCells>
  <pageMargins left="0.7" right="0.7" top="0.75" bottom="0.75" header="0.3" footer="0.3"/>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גיליון7"/>
  <dimension ref="A2:BS28"/>
  <sheetViews>
    <sheetView showGridLines="0" rightToLeft="1" workbookViewId="0">
      <pane xSplit="2" topLeftCell="AL1" activePane="topRight" state="frozen"/>
      <selection pane="topRight" activeCell="BA14" sqref="BA14"/>
    </sheetView>
  </sheetViews>
  <sheetFormatPr defaultRowHeight="12.75" outlineLevelCol="1" x14ac:dyDescent="0.2"/>
  <cols>
    <col min="1" max="1" width="9.140625" style="167"/>
    <col min="2" max="2" width="21.42578125" style="167" bestFit="1" customWidth="1"/>
    <col min="3" max="4" width="9.140625" style="167"/>
    <col min="5" max="5" width="0" style="167" hidden="1" customWidth="1"/>
    <col min="6" max="6" width="9.140625" style="167"/>
    <col min="7" max="9" width="0" style="167" hidden="1" customWidth="1"/>
    <col min="10" max="10" width="9.140625" style="167"/>
    <col min="11" max="13" width="0" style="167" hidden="1" customWidth="1"/>
    <col min="14" max="14" width="9.140625" style="167"/>
    <col min="15" max="17" width="0" style="167" hidden="1" customWidth="1"/>
    <col min="18" max="18" width="11" style="167" customWidth="1"/>
    <col min="19" max="22" width="9.140625" style="167" hidden="1" customWidth="1" outlineLevel="1"/>
    <col min="23" max="23" width="9.140625" style="167" collapsed="1"/>
    <col min="24" max="27" width="9.140625" style="167" hidden="1" customWidth="1" outlineLevel="1"/>
    <col min="28" max="28" width="9.140625" style="167" collapsed="1"/>
    <col min="29" max="32" width="9.140625" style="167" hidden="1" customWidth="1" outlineLevel="1"/>
    <col min="33" max="33" width="9.140625" style="167" collapsed="1"/>
    <col min="34" max="37" width="9.140625" style="167" customWidth="1" outlineLevel="1"/>
    <col min="38" max="38" width="8" style="167" customWidth="1"/>
    <col min="39" max="42" width="9.140625" style="167" customWidth="1" outlineLevel="1"/>
    <col min="43" max="43" width="8" style="167" customWidth="1"/>
    <col min="44" max="47" width="9.140625" style="167" customWidth="1" outlineLevel="1"/>
    <col min="48" max="48" width="8" style="167" customWidth="1"/>
    <col min="49" max="52" width="9.140625" style="167" customWidth="1" outlineLevel="1"/>
    <col min="53" max="53" width="8" style="167" customWidth="1"/>
    <col min="54" max="55" width="9.140625" style="167" customWidth="1" outlineLevel="1"/>
    <col min="56" max="57" width="8" style="167" customWidth="1"/>
    <col min="58" max="61" width="9.140625" style="167"/>
    <col min="62" max="66" width="0" style="167" hidden="1" customWidth="1"/>
    <col min="67" max="275" width="9.140625" style="167"/>
    <col min="276" max="276" width="21.42578125" style="167" bestFit="1" customWidth="1"/>
    <col min="277" max="278" width="9.140625" style="167"/>
    <col min="279" max="279" width="0" style="167" hidden="1" customWidth="1"/>
    <col min="280" max="280" width="9.140625" style="167"/>
    <col min="281" max="283" width="0" style="167" hidden="1" customWidth="1"/>
    <col min="284" max="284" width="9.140625" style="167"/>
    <col min="285" max="287" width="0" style="167" hidden="1" customWidth="1"/>
    <col min="288" max="288" width="9.140625" style="167"/>
    <col min="289" max="291" width="0" style="167" hidden="1" customWidth="1"/>
    <col min="292" max="292" width="11" style="167" customWidth="1"/>
    <col min="293" max="317" width="9.140625" style="167"/>
    <col min="318" max="322" width="0" style="167" hidden="1" customWidth="1"/>
    <col min="323" max="531" width="9.140625" style="167"/>
    <col min="532" max="532" width="21.42578125" style="167" bestFit="1" customWidth="1"/>
    <col min="533" max="534" width="9.140625" style="167"/>
    <col min="535" max="535" width="0" style="167" hidden="1" customWidth="1"/>
    <col min="536" max="536" width="9.140625" style="167"/>
    <col min="537" max="539" width="0" style="167" hidden="1" customWidth="1"/>
    <col min="540" max="540" width="9.140625" style="167"/>
    <col min="541" max="543" width="0" style="167" hidden="1" customWidth="1"/>
    <col min="544" max="544" width="9.140625" style="167"/>
    <col min="545" max="547" width="0" style="167" hidden="1" customWidth="1"/>
    <col min="548" max="548" width="11" style="167" customWidth="1"/>
    <col min="549" max="573" width="9.140625" style="167"/>
    <col min="574" max="578" width="0" style="167" hidden="1" customWidth="1"/>
    <col min="579" max="787" width="9.140625" style="167"/>
    <col min="788" max="788" width="21.42578125" style="167" bestFit="1" customWidth="1"/>
    <col min="789" max="790" width="9.140625" style="167"/>
    <col min="791" max="791" width="0" style="167" hidden="1" customWidth="1"/>
    <col min="792" max="792" width="9.140625" style="167"/>
    <col min="793" max="795" width="0" style="167" hidden="1" customWidth="1"/>
    <col min="796" max="796" width="9.140625" style="167"/>
    <col min="797" max="799" width="0" style="167" hidden="1" customWidth="1"/>
    <col min="800" max="800" width="9.140625" style="167"/>
    <col min="801" max="803" width="0" style="167" hidden="1" customWidth="1"/>
    <col min="804" max="804" width="11" style="167" customWidth="1"/>
    <col min="805" max="829" width="9.140625" style="167"/>
    <col min="830" max="834" width="0" style="167" hidden="1" customWidth="1"/>
    <col min="835" max="1043" width="9.140625" style="167"/>
    <col min="1044" max="1044" width="21.42578125" style="167" bestFit="1" customWidth="1"/>
    <col min="1045" max="1046" width="9.140625" style="167"/>
    <col min="1047" max="1047" width="0" style="167" hidden="1" customWidth="1"/>
    <col min="1048" max="1048" width="9.140625" style="167"/>
    <col min="1049" max="1051" width="0" style="167" hidden="1" customWidth="1"/>
    <col min="1052" max="1052" width="9.140625" style="167"/>
    <col min="1053" max="1055" width="0" style="167" hidden="1" customWidth="1"/>
    <col min="1056" max="1056" width="9.140625" style="167"/>
    <col min="1057" max="1059" width="0" style="167" hidden="1" customWidth="1"/>
    <col min="1060" max="1060" width="11" style="167" customWidth="1"/>
    <col min="1061" max="1085" width="9.140625" style="167"/>
    <col min="1086" max="1090" width="0" style="167" hidden="1" customWidth="1"/>
    <col min="1091" max="1299" width="9.140625" style="167"/>
    <col min="1300" max="1300" width="21.42578125" style="167" bestFit="1" customWidth="1"/>
    <col min="1301" max="1302" width="9.140625" style="167"/>
    <col min="1303" max="1303" width="0" style="167" hidden="1" customWidth="1"/>
    <col min="1304" max="1304" width="9.140625" style="167"/>
    <col min="1305" max="1307" width="0" style="167" hidden="1" customWidth="1"/>
    <col min="1308" max="1308" width="9.140625" style="167"/>
    <col min="1309" max="1311" width="0" style="167" hidden="1" customWidth="1"/>
    <col min="1312" max="1312" width="9.140625" style="167"/>
    <col min="1313" max="1315" width="0" style="167" hidden="1" customWidth="1"/>
    <col min="1316" max="1316" width="11" style="167" customWidth="1"/>
    <col min="1317" max="1341" width="9.140625" style="167"/>
    <col min="1342" max="1346" width="0" style="167" hidden="1" customWidth="1"/>
    <col min="1347" max="1555" width="9.140625" style="167"/>
    <col min="1556" max="1556" width="21.42578125" style="167" bestFit="1" customWidth="1"/>
    <col min="1557" max="1558" width="9.140625" style="167"/>
    <col min="1559" max="1559" width="0" style="167" hidden="1" customWidth="1"/>
    <col min="1560" max="1560" width="9.140625" style="167"/>
    <col min="1561" max="1563" width="0" style="167" hidden="1" customWidth="1"/>
    <col min="1564" max="1564" width="9.140625" style="167"/>
    <col min="1565" max="1567" width="0" style="167" hidden="1" customWidth="1"/>
    <col min="1568" max="1568" width="9.140625" style="167"/>
    <col min="1569" max="1571" width="0" style="167" hidden="1" customWidth="1"/>
    <col min="1572" max="1572" width="11" style="167" customWidth="1"/>
    <col min="1573" max="1597" width="9.140625" style="167"/>
    <col min="1598" max="1602" width="0" style="167" hidden="1" customWidth="1"/>
    <col min="1603" max="1811" width="9.140625" style="167"/>
    <col min="1812" max="1812" width="21.42578125" style="167" bestFit="1" customWidth="1"/>
    <col min="1813" max="1814" width="9.140625" style="167"/>
    <col min="1815" max="1815" width="0" style="167" hidden="1" customWidth="1"/>
    <col min="1816" max="1816" width="9.140625" style="167"/>
    <col min="1817" max="1819" width="0" style="167" hidden="1" customWidth="1"/>
    <col min="1820" max="1820" width="9.140625" style="167"/>
    <col min="1821" max="1823" width="0" style="167" hidden="1" customWidth="1"/>
    <col min="1824" max="1824" width="9.140625" style="167"/>
    <col min="1825" max="1827" width="0" style="167" hidden="1" customWidth="1"/>
    <col min="1828" max="1828" width="11" style="167" customWidth="1"/>
    <col min="1829" max="1853" width="9.140625" style="167"/>
    <col min="1854" max="1858" width="0" style="167" hidden="1" customWidth="1"/>
    <col min="1859" max="2067" width="9.140625" style="167"/>
    <col min="2068" max="2068" width="21.42578125" style="167" bestFit="1" customWidth="1"/>
    <col min="2069" max="2070" width="9.140625" style="167"/>
    <col min="2071" max="2071" width="0" style="167" hidden="1" customWidth="1"/>
    <col min="2072" max="2072" width="9.140625" style="167"/>
    <col min="2073" max="2075" width="0" style="167" hidden="1" customWidth="1"/>
    <col min="2076" max="2076" width="9.140625" style="167"/>
    <col min="2077" max="2079" width="0" style="167" hidden="1" customWidth="1"/>
    <col min="2080" max="2080" width="9.140625" style="167"/>
    <col min="2081" max="2083" width="0" style="167" hidden="1" customWidth="1"/>
    <col min="2084" max="2084" width="11" style="167" customWidth="1"/>
    <col min="2085" max="2109" width="9.140625" style="167"/>
    <col min="2110" max="2114" width="0" style="167" hidden="1" customWidth="1"/>
    <col min="2115" max="2323" width="9.140625" style="167"/>
    <col min="2324" max="2324" width="21.42578125" style="167" bestFit="1" customWidth="1"/>
    <col min="2325" max="2326" width="9.140625" style="167"/>
    <col min="2327" max="2327" width="0" style="167" hidden="1" customWidth="1"/>
    <col min="2328" max="2328" width="9.140625" style="167"/>
    <col min="2329" max="2331" width="0" style="167" hidden="1" customWidth="1"/>
    <col min="2332" max="2332" width="9.140625" style="167"/>
    <col min="2333" max="2335" width="0" style="167" hidden="1" customWidth="1"/>
    <col min="2336" max="2336" width="9.140625" style="167"/>
    <col min="2337" max="2339" width="0" style="167" hidden="1" customWidth="1"/>
    <col min="2340" max="2340" width="11" style="167" customWidth="1"/>
    <col min="2341" max="2365" width="9.140625" style="167"/>
    <col min="2366" max="2370" width="0" style="167" hidden="1" customWidth="1"/>
    <col min="2371" max="2579" width="9.140625" style="167"/>
    <col min="2580" max="2580" width="21.42578125" style="167" bestFit="1" customWidth="1"/>
    <col min="2581" max="2582" width="9.140625" style="167"/>
    <col min="2583" max="2583" width="0" style="167" hidden="1" customWidth="1"/>
    <col min="2584" max="2584" width="9.140625" style="167"/>
    <col min="2585" max="2587" width="0" style="167" hidden="1" customWidth="1"/>
    <col min="2588" max="2588" width="9.140625" style="167"/>
    <col min="2589" max="2591" width="0" style="167" hidden="1" customWidth="1"/>
    <col min="2592" max="2592" width="9.140625" style="167"/>
    <col min="2593" max="2595" width="0" style="167" hidden="1" customWidth="1"/>
    <col min="2596" max="2596" width="11" style="167" customWidth="1"/>
    <col min="2597" max="2621" width="9.140625" style="167"/>
    <col min="2622" max="2626" width="0" style="167" hidden="1" customWidth="1"/>
    <col min="2627" max="2835" width="9.140625" style="167"/>
    <col min="2836" max="2836" width="21.42578125" style="167" bestFit="1" customWidth="1"/>
    <col min="2837" max="2838" width="9.140625" style="167"/>
    <col min="2839" max="2839" width="0" style="167" hidden="1" customWidth="1"/>
    <col min="2840" max="2840" width="9.140625" style="167"/>
    <col min="2841" max="2843" width="0" style="167" hidden="1" customWidth="1"/>
    <col min="2844" max="2844" width="9.140625" style="167"/>
    <col min="2845" max="2847" width="0" style="167" hidden="1" customWidth="1"/>
    <col min="2848" max="2848" width="9.140625" style="167"/>
    <col min="2849" max="2851" width="0" style="167" hidden="1" customWidth="1"/>
    <col min="2852" max="2852" width="11" style="167" customWidth="1"/>
    <col min="2853" max="2877" width="9.140625" style="167"/>
    <col min="2878" max="2882" width="0" style="167" hidden="1" customWidth="1"/>
    <col min="2883" max="3091" width="9.140625" style="167"/>
    <col min="3092" max="3092" width="21.42578125" style="167" bestFit="1" customWidth="1"/>
    <col min="3093" max="3094" width="9.140625" style="167"/>
    <col min="3095" max="3095" width="0" style="167" hidden="1" customWidth="1"/>
    <col min="3096" max="3096" width="9.140625" style="167"/>
    <col min="3097" max="3099" width="0" style="167" hidden="1" customWidth="1"/>
    <col min="3100" max="3100" width="9.140625" style="167"/>
    <col min="3101" max="3103" width="0" style="167" hidden="1" customWidth="1"/>
    <col min="3104" max="3104" width="9.140625" style="167"/>
    <col min="3105" max="3107" width="0" style="167" hidden="1" customWidth="1"/>
    <col min="3108" max="3108" width="11" style="167" customWidth="1"/>
    <col min="3109" max="3133" width="9.140625" style="167"/>
    <col min="3134" max="3138" width="0" style="167" hidden="1" customWidth="1"/>
    <col min="3139" max="3347" width="9.140625" style="167"/>
    <col min="3348" max="3348" width="21.42578125" style="167" bestFit="1" customWidth="1"/>
    <col min="3349" max="3350" width="9.140625" style="167"/>
    <col min="3351" max="3351" width="0" style="167" hidden="1" customWidth="1"/>
    <col min="3352" max="3352" width="9.140625" style="167"/>
    <col min="3353" max="3355" width="0" style="167" hidden="1" customWidth="1"/>
    <col min="3356" max="3356" width="9.140625" style="167"/>
    <col min="3357" max="3359" width="0" style="167" hidden="1" customWidth="1"/>
    <col min="3360" max="3360" width="9.140625" style="167"/>
    <col min="3361" max="3363" width="0" style="167" hidden="1" customWidth="1"/>
    <col min="3364" max="3364" width="11" style="167" customWidth="1"/>
    <col min="3365" max="3389" width="9.140625" style="167"/>
    <col min="3390" max="3394" width="0" style="167" hidden="1" customWidth="1"/>
    <col min="3395" max="3603" width="9.140625" style="167"/>
    <col min="3604" max="3604" width="21.42578125" style="167" bestFit="1" customWidth="1"/>
    <col min="3605" max="3606" width="9.140625" style="167"/>
    <col min="3607" max="3607" width="0" style="167" hidden="1" customWidth="1"/>
    <col min="3608" max="3608" width="9.140625" style="167"/>
    <col min="3609" max="3611" width="0" style="167" hidden="1" customWidth="1"/>
    <col min="3612" max="3612" width="9.140625" style="167"/>
    <col min="3613" max="3615" width="0" style="167" hidden="1" customWidth="1"/>
    <col min="3616" max="3616" width="9.140625" style="167"/>
    <col min="3617" max="3619" width="0" style="167" hidden="1" customWidth="1"/>
    <col min="3620" max="3620" width="11" style="167" customWidth="1"/>
    <col min="3621" max="3645" width="9.140625" style="167"/>
    <col min="3646" max="3650" width="0" style="167" hidden="1" customWidth="1"/>
    <col min="3651" max="3859" width="9.140625" style="167"/>
    <col min="3860" max="3860" width="21.42578125" style="167" bestFit="1" customWidth="1"/>
    <col min="3861" max="3862" width="9.140625" style="167"/>
    <col min="3863" max="3863" width="0" style="167" hidden="1" customWidth="1"/>
    <col min="3864" max="3864" width="9.140625" style="167"/>
    <col min="3865" max="3867" width="0" style="167" hidden="1" customWidth="1"/>
    <col min="3868" max="3868" width="9.140625" style="167"/>
    <col min="3869" max="3871" width="0" style="167" hidden="1" customWidth="1"/>
    <col min="3872" max="3872" width="9.140625" style="167"/>
    <col min="3873" max="3875" width="0" style="167" hidden="1" customWidth="1"/>
    <col min="3876" max="3876" width="11" style="167" customWidth="1"/>
    <col min="3877" max="3901" width="9.140625" style="167"/>
    <col min="3902" max="3906" width="0" style="167" hidden="1" customWidth="1"/>
    <col min="3907" max="4115" width="9.140625" style="167"/>
    <col min="4116" max="4116" width="21.42578125" style="167" bestFit="1" customWidth="1"/>
    <col min="4117" max="4118" width="9.140625" style="167"/>
    <col min="4119" max="4119" width="0" style="167" hidden="1" customWidth="1"/>
    <col min="4120" max="4120" width="9.140625" style="167"/>
    <col min="4121" max="4123" width="0" style="167" hidden="1" customWidth="1"/>
    <col min="4124" max="4124" width="9.140625" style="167"/>
    <col min="4125" max="4127" width="0" style="167" hidden="1" customWidth="1"/>
    <col min="4128" max="4128" width="9.140625" style="167"/>
    <col min="4129" max="4131" width="0" style="167" hidden="1" customWidth="1"/>
    <col min="4132" max="4132" width="11" style="167" customWidth="1"/>
    <col min="4133" max="4157" width="9.140625" style="167"/>
    <col min="4158" max="4162" width="0" style="167" hidden="1" customWidth="1"/>
    <col min="4163" max="4371" width="9.140625" style="167"/>
    <col min="4372" max="4372" width="21.42578125" style="167" bestFit="1" customWidth="1"/>
    <col min="4373" max="4374" width="9.140625" style="167"/>
    <col min="4375" max="4375" width="0" style="167" hidden="1" customWidth="1"/>
    <col min="4376" max="4376" width="9.140625" style="167"/>
    <col min="4377" max="4379" width="0" style="167" hidden="1" customWidth="1"/>
    <col min="4380" max="4380" width="9.140625" style="167"/>
    <col min="4381" max="4383" width="0" style="167" hidden="1" customWidth="1"/>
    <col min="4384" max="4384" width="9.140625" style="167"/>
    <col min="4385" max="4387" width="0" style="167" hidden="1" customWidth="1"/>
    <col min="4388" max="4388" width="11" style="167" customWidth="1"/>
    <col min="4389" max="4413" width="9.140625" style="167"/>
    <col min="4414" max="4418" width="0" style="167" hidden="1" customWidth="1"/>
    <col min="4419" max="4627" width="9.140625" style="167"/>
    <col min="4628" max="4628" width="21.42578125" style="167" bestFit="1" customWidth="1"/>
    <col min="4629" max="4630" width="9.140625" style="167"/>
    <col min="4631" max="4631" width="0" style="167" hidden="1" customWidth="1"/>
    <col min="4632" max="4632" width="9.140625" style="167"/>
    <col min="4633" max="4635" width="0" style="167" hidden="1" customWidth="1"/>
    <col min="4636" max="4636" width="9.140625" style="167"/>
    <col min="4637" max="4639" width="0" style="167" hidden="1" customWidth="1"/>
    <col min="4640" max="4640" width="9.140625" style="167"/>
    <col min="4641" max="4643" width="0" style="167" hidden="1" customWidth="1"/>
    <col min="4644" max="4644" width="11" style="167" customWidth="1"/>
    <col min="4645" max="4669" width="9.140625" style="167"/>
    <col min="4670" max="4674" width="0" style="167" hidden="1" customWidth="1"/>
    <col min="4675" max="4883" width="9.140625" style="167"/>
    <col min="4884" max="4884" width="21.42578125" style="167" bestFit="1" customWidth="1"/>
    <col min="4885" max="4886" width="9.140625" style="167"/>
    <col min="4887" max="4887" width="0" style="167" hidden="1" customWidth="1"/>
    <col min="4888" max="4888" width="9.140625" style="167"/>
    <col min="4889" max="4891" width="0" style="167" hidden="1" customWidth="1"/>
    <col min="4892" max="4892" width="9.140625" style="167"/>
    <col min="4893" max="4895" width="0" style="167" hidden="1" customWidth="1"/>
    <col min="4896" max="4896" width="9.140625" style="167"/>
    <col min="4897" max="4899" width="0" style="167" hidden="1" customWidth="1"/>
    <col min="4900" max="4900" width="11" style="167" customWidth="1"/>
    <col min="4901" max="4925" width="9.140625" style="167"/>
    <col min="4926" max="4930" width="0" style="167" hidden="1" customWidth="1"/>
    <col min="4931" max="5139" width="9.140625" style="167"/>
    <col min="5140" max="5140" width="21.42578125" style="167" bestFit="1" customWidth="1"/>
    <col min="5141" max="5142" width="9.140625" style="167"/>
    <col min="5143" max="5143" width="0" style="167" hidden="1" customWidth="1"/>
    <col min="5144" max="5144" width="9.140625" style="167"/>
    <col min="5145" max="5147" width="0" style="167" hidden="1" customWidth="1"/>
    <col min="5148" max="5148" width="9.140625" style="167"/>
    <col min="5149" max="5151" width="0" style="167" hidden="1" customWidth="1"/>
    <col min="5152" max="5152" width="9.140625" style="167"/>
    <col min="5153" max="5155" width="0" style="167" hidden="1" customWidth="1"/>
    <col min="5156" max="5156" width="11" style="167" customWidth="1"/>
    <col min="5157" max="5181" width="9.140625" style="167"/>
    <col min="5182" max="5186" width="0" style="167" hidden="1" customWidth="1"/>
    <col min="5187" max="5395" width="9.140625" style="167"/>
    <col min="5396" max="5396" width="21.42578125" style="167" bestFit="1" customWidth="1"/>
    <col min="5397" max="5398" width="9.140625" style="167"/>
    <col min="5399" max="5399" width="0" style="167" hidden="1" customWidth="1"/>
    <col min="5400" max="5400" width="9.140625" style="167"/>
    <col min="5401" max="5403" width="0" style="167" hidden="1" customWidth="1"/>
    <col min="5404" max="5404" width="9.140625" style="167"/>
    <col min="5405" max="5407" width="0" style="167" hidden="1" customWidth="1"/>
    <col min="5408" max="5408" width="9.140625" style="167"/>
    <col min="5409" max="5411" width="0" style="167" hidden="1" customWidth="1"/>
    <col min="5412" max="5412" width="11" style="167" customWidth="1"/>
    <col min="5413" max="5437" width="9.140625" style="167"/>
    <col min="5438" max="5442" width="0" style="167" hidden="1" customWidth="1"/>
    <col min="5443" max="5651" width="9.140625" style="167"/>
    <col min="5652" max="5652" width="21.42578125" style="167" bestFit="1" customWidth="1"/>
    <col min="5653" max="5654" width="9.140625" style="167"/>
    <col min="5655" max="5655" width="0" style="167" hidden="1" customWidth="1"/>
    <col min="5656" max="5656" width="9.140625" style="167"/>
    <col min="5657" max="5659" width="0" style="167" hidden="1" customWidth="1"/>
    <col min="5660" max="5660" width="9.140625" style="167"/>
    <col min="5661" max="5663" width="0" style="167" hidden="1" customWidth="1"/>
    <col min="5664" max="5664" width="9.140625" style="167"/>
    <col min="5665" max="5667" width="0" style="167" hidden="1" customWidth="1"/>
    <col min="5668" max="5668" width="11" style="167" customWidth="1"/>
    <col min="5669" max="5693" width="9.140625" style="167"/>
    <col min="5694" max="5698" width="0" style="167" hidden="1" customWidth="1"/>
    <col min="5699" max="5907" width="9.140625" style="167"/>
    <col min="5908" max="5908" width="21.42578125" style="167" bestFit="1" customWidth="1"/>
    <col min="5909" max="5910" width="9.140625" style="167"/>
    <col min="5911" max="5911" width="0" style="167" hidden="1" customWidth="1"/>
    <col min="5912" max="5912" width="9.140625" style="167"/>
    <col min="5913" max="5915" width="0" style="167" hidden="1" customWidth="1"/>
    <col min="5916" max="5916" width="9.140625" style="167"/>
    <col min="5917" max="5919" width="0" style="167" hidden="1" customWidth="1"/>
    <col min="5920" max="5920" width="9.140625" style="167"/>
    <col min="5921" max="5923" width="0" style="167" hidden="1" customWidth="1"/>
    <col min="5924" max="5924" width="11" style="167" customWidth="1"/>
    <col min="5925" max="5949" width="9.140625" style="167"/>
    <col min="5950" max="5954" width="0" style="167" hidden="1" customWidth="1"/>
    <col min="5955" max="6163" width="9.140625" style="167"/>
    <col min="6164" max="6164" width="21.42578125" style="167" bestFit="1" customWidth="1"/>
    <col min="6165" max="6166" width="9.140625" style="167"/>
    <col min="6167" max="6167" width="0" style="167" hidden="1" customWidth="1"/>
    <col min="6168" max="6168" width="9.140625" style="167"/>
    <col min="6169" max="6171" width="0" style="167" hidden="1" customWidth="1"/>
    <col min="6172" max="6172" width="9.140625" style="167"/>
    <col min="6173" max="6175" width="0" style="167" hidden="1" customWidth="1"/>
    <col min="6176" max="6176" width="9.140625" style="167"/>
    <col min="6177" max="6179" width="0" style="167" hidden="1" customWidth="1"/>
    <col min="6180" max="6180" width="11" style="167" customWidth="1"/>
    <col min="6181" max="6205" width="9.140625" style="167"/>
    <col min="6206" max="6210" width="0" style="167" hidden="1" customWidth="1"/>
    <col min="6211" max="6419" width="9.140625" style="167"/>
    <col min="6420" max="6420" width="21.42578125" style="167" bestFit="1" customWidth="1"/>
    <col min="6421" max="6422" width="9.140625" style="167"/>
    <col min="6423" max="6423" width="0" style="167" hidden="1" customWidth="1"/>
    <col min="6424" max="6424" width="9.140625" style="167"/>
    <col min="6425" max="6427" width="0" style="167" hidden="1" customWidth="1"/>
    <col min="6428" max="6428" width="9.140625" style="167"/>
    <col min="6429" max="6431" width="0" style="167" hidden="1" customWidth="1"/>
    <col min="6432" max="6432" width="9.140625" style="167"/>
    <col min="6433" max="6435" width="0" style="167" hidden="1" customWidth="1"/>
    <col min="6436" max="6436" width="11" style="167" customWidth="1"/>
    <col min="6437" max="6461" width="9.140625" style="167"/>
    <col min="6462" max="6466" width="0" style="167" hidden="1" customWidth="1"/>
    <col min="6467" max="6675" width="9.140625" style="167"/>
    <col min="6676" max="6676" width="21.42578125" style="167" bestFit="1" customWidth="1"/>
    <col min="6677" max="6678" width="9.140625" style="167"/>
    <col min="6679" max="6679" width="0" style="167" hidden="1" customWidth="1"/>
    <col min="6680" max="6680" width="9.140625" style="167"/>
    <col min="6681" max="6683" width="0" style="167" hidden="1" customWidth="1"/>
    <col min="6684" max="6684" width="9.140625" style="167"/>
    <col min="6685" max="6687" width="0" style="167" hidden="1" customWidth="1"/>
    <col min="6688" max="6688" width="9.140625" style="167"/>
    <col min="6689" max="6691" width="0" style="167" hidden="1" customWidth="1"/>
    <col min="6692" max="6692" width="11" style="167" customWidth="1"/>
    <col min="6693" max="6717" width="9.140625" style="167"/>
    <col min="6718" max="6722" width="0" style="167" hidden="1" customWidth="1"/>
    <col min="6723" max="6931" width="9.140625" style="167"/>
    <col min="6932" max="6932" width="21.42578125" style="167" bestFit="1" customWidth="1"/>
    <col min="6933" max="6934" width="9.140625" style="167"/>
    <col min="6935" max="6935" width="0" style="167" hidden="1" customWidth="1"/>
    <col min="6936" max="6936" width="9.140625" style="167"/>
    <col min="6937" max="6939" width="0" style="167" hidden="1" customWidth="1"/>
    <col min="6940" max="6940" width="9.140625" style="167"/>
    <col min="6941" max="6943" width="0" style="167" hidden="1" customWidth="1"/>
    <col min="6944" max="6944" width="9.140625" style="167"/>
    <col min="6945" max="6947" width="0" style="167" hidden="1" customWidth="1"/>
    <col min="6948" max="6948" width="11" style="167" customWidth="1"/>
    <col min="6949" max="6973" width="9.140625" style="167"/>
    <col min="6974" max="6978" width="0" style="167" hidden="1" customWidth="1"/>
    <col min="6979" max="7187" width="9.140625" style="167"/>
    <col min="7188" max="7188" width="21.42578125" style="167" bestFit="1" customWidth="1"/>
    <col min="7189" max="7190" width="9.140625" style="167"/>
    <col min="7191" max="7191" width="0" style="167" hidden="1" customWidth="1"/>
    <col min="7192" max="7192" width="9.140625" style="167"/>
    <col min="7193" max="7195" width="0" style="167" hidden="1" customWidth="1"/>
    <col min="7196" max="7196" width="9.140625" style="167"/>
    <col min="7197" max="7199" width="0" style="167" hidden="1" customWidth="1"/>
    <col min="7200" max="7200" width="9.140625" style="167"/>
    <col min="7201" max="7203" width="0" style="167" hidden="1" customWidth="1"/>
    <col min="7204" max="7204" width="11" style="167" customWidth="1"/>
    <col min="7205" max="7229" width="9.140625" style="167"/>
    <col min="7230" max="7234" width="0" style="167" hidden="1" customWidth="1"/>
    <col min="7235" max="7443" width="9.140625" style="167"/>
    <col min="7444" max="7444" width="21.42578125" style="167" bestFit="1" customWidth="1"/>
    <col min="7445" max="7446" width="9.140625" style="167"/>
    <col min="7447" max="7447" width="0" style="167" hidden="1" customWidth="1"/>
    <col min="7448" max="7448" width="9.140625" style="167"/>
    <col min="7449" max="7451" width="0" style="167" hidden="1" customWidth="1"/>
    <col min="7452" max="7452" width="9.140625" style="167"/>
    <col min="7453" max="7455" width="0" style="167" hidden="1" customWidth="1"/>
    <col min="7456" max="7456" width="9.140625" style="167"/>
    <col min="7457" max="7459" width="0" style="167" hidden="1" customWidth="1"/>
    <col min="7460" max="7460" width="11" style="167" customWidth="1"/>
    <col min="7461" max="7485" width="9.140625" style="167"/>
    <col min="7486" max="7490" width="0" style="167" hidden="1" customWidth="1"/>
    <col min="7491" max="7699" width="9.140625" style="167"/>
    <col min="7700" max="7700" width="21.42578125" style="167" bestFit="1" customWidth="1"/>
    <col min="7701" max="7702" width="9.140625" style="167"/>
    <col min="7703" max="7703" width="0" style="167" hidden="1" customWidth="1"/>
    <col min="7704" max="7704" width="9.140625" style="167"/>
    <col min="7705" max="7707" width="0" style="167" hidden="1" customWidth="1"/>
    <col min="7708" max="7708" width="9.140625" style="167"/>
    <col min="7709" max="7711" width="0" style="167" hidden="1" customWidth="1"/>
    <col min="7712" max="7712" width="9.140625" style="167"/>
    <col min="7713" max="7715" width="0" style="167" hidden="1" customWidth="1"/>
    <col min="7716" max="7716" width="11" style="167" customWidth="1"/>
    <col min="7717" max="7741" width="9.140625" style="167"/>
    <col min="7742" max="7746" width="0" style="167" hidden="1" customWidth="1"/>
    <col min="7747" max="7955" width="9.140625" style="167"/>
    <col min="7956" max="7956" width="21.42578125" style="167" bestFit="1" customWidth="1"/>
    <col min="7957" max="7958" width="9.140625" style="167"/>
    <col min="7959" max="7959" width="0" style="167" hidden="1" customWidth="1"/>
    <col min="7960" max="7960" width="9.140625" style="167"/>
    <col min="7961" max="7963" width="0" style="167" hidden="1" customWidth="1"/>
    <col min="7964" max="7964" width="9.140625" style="167"/>
    <col min="7965" max="7967" width="0" style="167" hidden="1" customWidth="1"/>
    <col min="7968" max="7968" width="9.140625" style="167"/>
    <col min="7969" max="7971" width="0" style="167" hidden="1" customWidth="1"/>
    <col min="7972" max="7972" width="11" style="167" customWidth="1"/>
    <col min="7973" max="7997" width="9.140625" style="167"/>
    <col min="7998" max="8002" width="0" style="167" hidden="1" customWidth="1"/>
    <col min="8003" max="8211" width="9.140625" style="167"/>
    <col min="8212" max="8212" width="21.42578125" style="167" bestFit="1" customWidth="1"/>
    <col min="8213" max="8214" width="9.140625" style="167"/>
    <col min="8215" max="8215" width="0" style="167" hidden="1" customWidth="1"/>
    <col min="8216" max="8216" width="9.140625" style="167"/>
    <col min="8217" max="8219" width="0" style="167" hidden="1" customWidth="1"/>
    <col min="8220" max="8220" width="9.140625" style="167"/>
    <col min="8221" max="8223" width="0" style="167" hidden="1" customWidth="1"/>
    <col min="8224" max="8224" width="9.140625" style="167"/>
    <col min="8225" max="8227" width="0" style="167" hidden="1" customWidth="1"/>
    <col min="8228" max="8228" width="11" style="167" customWidth="1"/>
    <col min="8229" max="8253" width="9.140625" style="167"/>
    <col min="8254" max="8258" width="0" style="167" hidden="1" customWidth="1"/>
    <col min="8259" max="8467" width="9.140625" style="167"/>
    <col min="8468" max="8468" width="21.42578125" style="167" bestFit="1" customWidth="1"/>
    <col min="8469" max="8470" width="9.140625" style="167"/>
    <col min="8471" max="8471" width="0" style="167" hidden="1" customWidth="1"/>
    <col min="8472" max="8472" width="9.140625" style="167"/>
    <col min="8473" max="8475" width="0" style="167" hidden="1" customWidth="1"/>
    <col min="8476" max="8476" width="9.140625" style="167"/>
    <col min="8477" max="8479" width="0" style="167" hidden="1" customWidth="1"/>
    <col min="8480" max="8480" width="9.140625" style="167"/>
    <col min="8481" max="8483" width="0" style="167" hidden="1" customWidth="1"/>
    <col min="8484" max="8484" width="11" style="167" customWidth="1"/>
    <col min="8485" max="8509" width="9.140625" style="167"/>
    <col min="8510" max="8514" width="0" style="167" hidden="1" customWidth="1"/>
    <col min="8515" max="8723" width="9.140625" style="167"/>
    <col min="8724" max="8724" width="21.42578125" style="167" bestFit="1" customWidth="1"/>
    <col min="8725" max="8726" width="9.140625" style="167"/>
    <col min="8727" max="8727" width="0" style="167" hidden="1" customWidth="1"/>
    <col min="8728" max="8728" width="9.140625" style="167"/>
    <col min="8729" max="8731" width="0" style="167" hidden="1" customWidth="1"/>
    <col min="8732" max="8732" width="9.140625" style="167"/>
    <col min="8733" max="8735" width="0" style="167" hidden="1" customWidth="1"/>
    <col min="8736" max="8736" width="9.140625" style="167"/>
    <col min="8737" max="8739" width="0" style="167" hidden="1" customWidth="1"/>
    <col min="8740" max="8740" width="11" style="167" customWidth="1"/>
    <col min="8741" max="8765" width="9.140625" style="167"/>
    <col min="8766" max="8770" width="0" style="167" hidden="1" customWidth="1"/>
    <col min="8771" max="8979" width="9.140625" style="167"/>
    <col min="8980" max="8980" width="21.42578125" style="167" bestFit="1" customWidth="1"/>
    <col min="8981" max="8982" width="9.140625" style="167"/>
    <col min="8983" max="8983" width="0" style="167" hidden="1" customWidth="1"/>
    <col min="8984" max="8984" width="9.140625" style="167"/>
    <col min="8985" max="8987" width="0" style="167" hidden="1" customWidth="1"/>
    <col min="8988" max="8988" width="9.140625" style="167"/>
    <col min="8989" max="8991" width="0" style="167" hidden="1" customWidth="1"/>
    <col min="8992" max="8992" width="9.140625" style="167"/>
    <col min="8993" max="8995" width="0" style="167" hidden="1" customWidth="1"/>
    <col min="8996" max="8996" width="11" style="167" customWidth="1"/>
    <col min="8997" max="9021" width="9.140625" style="167"/>
    <col min="9022" max="9026" width="0" style="167" hidden="1" customWidth="1"/>
    <col min="9027" max="9235" width="9.140625" style="167"/>
    <col min="9236" max="9236" width="21.42578125" style="167" bestFit="1" customWidth="1"/>
    <col min="9237" max="9238" width="9.140625" style="167"/>
    <col min="9239" max="9239" width="0" style="167" hidden="1" customWidth="1"/>
    <col min="9240" max="9240" width="9.140625" style="167"/>
    <col min="9241" max="9243" width="0" style="167" hidden="1" customWidth="1"/>
    <col min="9244" max="9244" width="9.140625" style="167"/>
    <col min="9245" max="9247" width="0" style="167" hidden="1" customWidth="1"/>
    <col min="9248" max="9248" width="9.140625" style="167"/>
    <col min="9249" max="9251" width="0" style="167" hidden="1" customWidth="1"/>
    <col min="9252" max="9252" width="11" style="167" customWidth="1"/>
    <col min="9253" max="9277" width="9.140625" style="167"/>
    <col min="9278" max="9282" width="0" style="167" hidden="1" customWidth="1"/>
    <col min="9283" max="9491" width="9.140625" style="167"/>
    <col min="9492" max="9492" width="21.42578125" style="167" bestFit="1" customWidth="1"/>
    <col min="9493" max="9494" width="9.140625" style="167"/>
    <col min="9495" max="9495" width="0" style="167" hidden="1" customWidth="1"/>
    <col min="9496" max="9496" width="9.140625" style="167"/>
    <col min="9497" max="9499" width="0" style="167" hidden="1" customWidth="1"/>
    <col min="9500" max="9500" width="9.140625" style="167"/>
    <col min="9501" max="9503" width="0" style="167" hidden="1" customWidth="1"/>
    <col min="9504" max="9504" width="9.140625" style="167"/>
    <col min="9505" max="9507" width="0" style="167" hidden="1" customWidth="1"/>
    <col min="9508" max="9508" width="11" style="167" customWidth="1"/>
    <col min="9509" max="9533" width="9.140625" style="167"/>
    <col min="9534" max="9538" width="0" style="167" hidden="1" customWidth="1"/>
    <col min="9539" max="9747" width="9.140625" style="167"/>
    <col min="9748" max="9748" width="21.42578125" style="167" bestFit="1" customWidth="1"/>
    <col min="9749" max="9750" width="9.140625" style="167"/>
    <col min="9751" max="9751" width="0" style="167" hidden="1" customWidth="1"/>
    <col min="9752" max="9752" width="9.140625" style="167"/>
    <col min="9753" max="9755" width="0" style="167" hidden="1" customWidth="1"/>
    <col min="9756" max="9756" width="9.140625" style="167"/>
    <col min="9757" max="9759" width="0" style="167" hidden="1" customWidth="1"/>
    <col min="9760" max="9760" width="9.140625" style="167"/>
    <col min="9761" max="9763" width="0" style="167" hidden="1" customWidth="1"/>
    <col min="9764" max="9764" width="11" style="167" customWidth="1"/>
    <col min="9765" max="9789" width="9.140625" style="167"/>
    <col min="9790" max="9794" width="0" style="167" hidden="1" customWidth="1"/>
    <col min="9795" max="10003" width="9.140625" style="167"/>
    <col min="10004" max="10004" width="21.42578125" style="167" bestFit="1" customWidth="1"/>
    <col min="10005" max="10006" width="9.140625" style="167"/>
    <col min="10007" max="10007" width="0" style="167" hidden="1" customWidth="1"/>
    <col min="10008" max="10008" width="9.140625" style="167"/>
    <col min="10009" max="10011" width="0" style="167" hidden="1" customWidth="1"/>
    <col min="10012" max="10012" width="9.140625" style="167"/>
    <col min="10013" max="10015" width="0" style="167" hidden="1" customWidth="1"/>
    <col min="10016" max="10016" width="9.140625" style="167"/>
    <col min="10017" max="10019" width="0" style="167" hidden="1" customWidth="1"/>
    <col min="10020" max="10020" width="11" style="167" customWidth="1"/>
    <col min="10021" max="10045" width="9.140625" style="167"/>
    <col min="10046" max="10050" width="0" style="167" hidden="1" customWidth="1"/>
    <col min="10051" max="10259" width="9.140625" style="167"/>
    <col min="10260" max="10260" width="21.42578125" style="167" bestFit="1" customWidth="1"/>
    <col min="10261" max="10262" width="9.140625" style="167"/>
    <col min="10263" max="10263" width="0" style="167" hidden="1" customWidth="1"/>
    <col min="10264" max="10264" width="9.140625" style="167"/>
    <col min="10265" max="10267" width="0" style="167" hidden="1" customWidth="1"/>
    <col min="10268" max="10268" width="9.140625" style="167"/>
    <col min="10269" max="10271" width="0" style="167" hidden="1" customWidth="1"/>
    <col min="10272" max="10272" width="9.140625" style="167"/>
    <col min="10273" max="10275" width="0" style="167" hidden="1" customWidth="1"/>
    <col min="10276" max="10276" width="11" style="167" customWidth="1"/>
    <col min="10277" max="10301" width="9.140625" style="167"/>
    <col min="10302" max="10306" width="0" style="167" hidden="1" customWidth="1"/>
    <col min="10307" max="10515" width="9.140625" style="167"/>
    <col min="10516" max="10516" width="21.42578125" style="167" bestFit="1" customWidth="1"/>
    <col min="10517" max="10518" width="9.140625" style="167"/>
    <col min="10519" max="10519" width="0" style="167" hidden="1" customWidth="1"/>
    <col min="10520" max="10520" width="9.140625" style="167"/>
    <col min="10521" max="10523" width="0" style="167" hidden="1" customWidth="1"/>
    <col min="10524" max="10524" width="9.140625" style="167"/>
    <col min="10525" max="10527" width="0" style="167" hidden="1" customWidth="1"/>
    <col min="10528" max="10528" width="9.140625" style="167"/>
    <col min="10529" max="10531" width="0" style="167" hidden="1" customWidth="1"/>
    <col min="10532" max="10532" width="11" style="167" customWidth="1"/>
    <col min="10533" max="10557" width="9.140625" style="167"/>
    <col min="10558" max="10562" width="0" style="167" hidden="1" customWidth="1"/>
    <col min="10563" max="10771" width="9.140625" style="167"/>
    <col min="10772" max="10772" width="21.42578125" style="167" bestFit="1" customWidth="1"/>
    <col min="10773" max="10774" width="9.140625" style="167"/>
    <col min="10775" max="10775" width="0" style="167" hidden="1" customWidth="1"/>
    <col min="10776" max="10776" width="9.140625" style="167"/>
    <col min="10777" max="10779" width="0" style="167" hidden="1" customWidth="1"/>
    <col min="10780" max="10780" width="9.140625" style="167"/>
    <col min="10781" max="10783" width="0" style="167" hidden="1" customWidth="1"/>
    <col min="10784" max="10784" width="9.140625" style="167"/>
    <col min="10785" max="10787" width="0" style="167" hidden="1" customWidth="1"/>
    <col min="10788" max="10788" width="11" style="167" customWidth="1"/>
    <col min="10789" max="10813" width="9.140625" style="167"/>
    <col min="10814" max="10818" width="0" style="167" hidden="1" customWidth="1"/>
    <col min="10819" max="11027" width="9.140625" style="167"/>
    <col min="11028" max="11028" width="21.42578125" style="167" bestFit="1" customWidth="1"/>
    <col min="11029" max="11030" width="9.140625" style="167"/>
    <col min="11031" max="11031" width="0" style="167" hidden="1" customWidth="1"/>
    <col min="11032" max="11032" width="9.140625" style="167"/>
    <col min="11033" max="11035" width="0" style="167" hidden="1" customWidth="1"/>
    <col min="11036" max="11036" width="9.140625" style="167"/>
    <col min="11037" max="11039" width="0" style="167" hidden="1" customWidth="1"/>
    <col min="11040" max="11040" width="9.140625" style="167"/>
    <col min="11041" max="11043" width="0" style="167" hidden="1" customWidth="1"/>
    <col min="11044" max="11044" width="11" style="167" customWidth="1"/>
    <col min="11045" max="11069" width="9.140625" style="167"/>
    <col min="11070" max="11074" width="0" style="167" hidden="1" customWidth="1"/>
    <col min="11075" max="11283" width="9.140625" style="167"/>
    <col min="11284" max="11284" width="21.42578125" style="167" bestFit="1" customWidth="1"/>
    <col min="11285" max="11286" width="9.140625" style="167"/>
    <col min="11287" max="11287" width="0" style="167" hidden="1" customWidth="1"/>
    <col min="11288" max="11288" width="9.140625" style="167"/>
    <col min="11289" max="11291" width="0" style="167" hidden="1" customWidth="1"/>
    <col min="11292" max="11292" width="9.140625" style="167"/>
    <col min="11293" max="11295" width="0" style="167" hidden="1" customWidth="1"/>
    <col min="11296" max="11296" width="9.140625" style="167"/>
    <col min="11297" max="11299" width="0" style="167" hidden="1" customWidth="1"/>
    <col min="11300" max="11300" width="11" style="167" customWidth="1"/>
    <col min="11301" max="11325" width="9.140625" style="167"/>
    <col min="11326" max="11330" width="0" style="167" hidden="1" customWidth="1"/>
    <col min="11331" max="11539" width="9.140625" style="167"/>
    <col min="11540" max="11540" width="21.42578125" style="167" bestFit="1" customWidth="1"/>
    <col min="11541" max="11542" width="9.140625" style="167"/>
    <col min="11543" max="11543" width="0" style="167" hidden="1" customWidth="1"/>
    <col min="11544" max="11544" width="9.140625" style="167"/>
    <col min="11545" max="11547" width="0" style="167" hidden="1" customWidth="1"/>
    <col min="11548" max="11548" width="9.140625" style="167"/>
    <col min="11549" max="11551" width="0" style="167" hidden="1" customWidth="1"/>
    <col min="11552" max="11552" width="9.140625" style="167"/>
    <col min="11553" max="11555" width="0" style="167" hidden="1" customWidth="1"/>
    <col min="11556" max="11556" width="11" style="167" customWidth="1"/>
    <col min="11557" max="11581" width="9.140625" style="167"/>
    <col min="11582" max="11586" width="0" style="167" hidden="1" customWidth="1"/>
    <col min="11587" max="11795" width="9.140625" style="167"/>
    <col min="11796" max="11796" width="21.42578125" style="167" bestFit="1" customWidth="1"/>
    <col min="11797" max="11798" width="9.140625" style="167"/>
    <col min="11799" max="11799" width="0" style="167" hidden="1" customWidth="1"/>
    <col min="11800" max="11800" width="9.140625" style="167"/>
    <col min="11801" max="11803" width="0" style="167" hidden="1" customWidth="1"/>
    <col min="11804" max="11804" width="9.140625" style="167"/>
    <col min="11805" max="11807" width="0" style="167" hidden="1" customWidth="1"/>
    <col min="11808" max="11808" width="9.140625" style="167"/>
    <col min="11809" max="11811" width="0" style="167" hidden="1" customWidth="1"/>
    <col min="11812" max="11812" width="11" style="167" customWidth="1"/>
    <col min="11813" max="11837" width="9.140625" style="167"/>
    <col min="11838" max="11842" width="0" style="167" hidden="1" customWidth="1"/>
    <col min="11843" max="12051" width="9.140625" style="167"/>
    <col min="12052" max="12052" width="21.42578125" style="167" bestFit="1" customWidth="1"/>
    <col min="12053" max="12054" width="9.140625" style="167"/>
    <col min="12055" max="12055" width="0" style="167" hidden="1" customWidth="1"/>
    <col min="12056" max="12056" width="9.140625" style="167"/>
    <col min="12057" max="12059" width="0" style="167" hidden="1" customWidth="1"/>
    <col min="12060" max="12060" width="9.140625" style="167"/>
    <col min="12061" max="12063" width="0" style="167" hidden="1" customWidth="1"/>
    <col min="12064" max="12064" width="9.140625" style="167"/>
    <col min="12065" max="12067" width="0" style="167" hidden="1" customWidth="1"/>
    <col min="12068" max="12068" width="11" style="167" customWidth="1"/>
    <col min="12069" max="12093" width="9.140625" style="167"/>
    <col min="12094" max="12098" width="0" style="167" hidden="1" customWidth="1"/>
    <col min="12099" max="12307" width="9.140625" style="167"/>
    <col min="12308" max="12308" width="21.42578125" style="167" bestFit="1" customWidth="1"/>
    <col min="12309" max="12310" width="9.140625" style="167"/>
    <col min="12311" max="12311" width="0" style="167" hidden="1" customWidth="1"/>
    <col min="12312" max="12312" width="9.140625" style="167"/>
    <col min="12313" max="12315" width="0" style="167" hidden="1" customWidth="1"/>
    <col min="12316" max="12316" width="9.140625" style="167"/>
    <col min="12317" max="12319" width="0" style="167" hidden="1" customWidth="1"/>
    <col min="12320" max="12320" width="9.140625" style="167"/>
    <col min="12321" max="12323" width="0" style="167" hidden="1" customWidth="1"/>
    <col min="12324" max="12324" width="11" style="167" customWidth="1"/>
    <col min="12325" max="12349" width="9.140625" style="167"/>
    <col min="12350" max="12354" width="0" style="167" hidden="1" customWidth="1"/>
    <col min="12355" max="12563" width="9.140625" style="167"/>
    <col min="12564" max="12564" width="21.42578125" style="167" bestFit="1" customWidth="1"/>
    <col min="12565" max="12566" width="9.140625" style="167"/>
    <col min="12567" max="12567" width="0" style="167" hidden="1" customWidth="1"/>
    <col min="12568" max="12568" width="9.140625" style="167"/>
    <col min="12569" max="12571" width="0" style="167" hidden="1" customWidth="1"/>
    <col min="12572" max="12572" width="9.140625" style="167"/>
    <col min="12573" max="12575" width="0" style="167" hidden="1" customWidth="1"/>
    <col min="12576" max="12576" width="9.140625" style="167"/>
    <col min="12577" max="12579" width="0" style="167" hidden="1" customWidth="1"/>
    <col min="12580" max="12580" width="11" style="167" customWidth="1"/>
    <col min="12581" max="12605" width="9.140625" style="167"/>
    <col min="12606" max="12610" width="0" style="167" hidden="1" customWidth="1"/>
    <col min="12611" max="12819" width="9.140625" style="167"/>
    <col min="12820" max="12820" width="21.42578125" style="167" bestFit="1" customWidth="1"/>
    <col min="12821" max="12822" width="9.140625" style="167"/>
    <col min="12823" max="12823" width="0" style="167" hidden="1" customWidth="1"/>
    <col min="12824" max="12824" width="9.140625" style="167"/>
    <col min="12825" max="12827" width="0" style="167" hidden="1" customWidth="1"/>
    <col min="12828" max="12828" width="9.140625" style="167"/>
    <col min="12829" max="12831" width="0" style="167" hidden="1" customWidth="1"/>
    <col min="12832" max="12832" width="9.140625" style="167"/>
    <col min="12833" max="12835" width="0" style="167" hidden="1" customWidth="1"/>
    <col min="12836" max="12836" width="11" style="167" customWidth="1"/>
    <col min="12837" max="12861" width="9.140625" style="167"/>
    <col min="12862" max="12866" width="0" style="167" hidden="1" customWidth="1"/>
    <col min="12867" max="13075" width="9.140625" style="167"/>
    <col min="13076" max="13076" width="21.42578125" style="167" bestFit="1" customWidth="1"/>
    <col min="13077" max="13078" width="9.140625" style="167"/>
    <col min="13079" max="13079" width="0" style="167" hidden="1" customWidth="1"/>
    <col min="13080" max="13080" width="9.140625" style="167"/>
    <col min="13081" max="13083" width="0" style="167" hidden="1" customWidth="1"/>
    <col min="13084" max="13084" width="9.140625" style="167"/>
    <col min="13085" max="13087" width="0" style="167" hidden="1" customWidth="1"/>
    <col min="13088" max="13088" width="9.140625" style="167"/>
    <col min="13089" max="13091" width="0" style="167" hidden="1" customWidth="1"/>
    <col min="13092" max="13092" width="11" style="167" customWidth="1"/>
    <col min="13093" max="13117" width="9.140625" style="167"/>
    <col min="13118" max="13122" width="0" style="167" hidden="1" customWidth="1"/>
    <col min="13123" max="13331" width="9.140625" style="167"/>
    <col min="13332" max="13332" width="21.42578125" style="167" bestFit="1" customWidth="1"/>
    <col min="13333" max="13334" width="9.140625" style="167"/>
    <col min="13335" max="13335" width="0" style="167" hidden="1" customWidth="1"/>
    <col min="13336" max="13336" width="9.140625" style="167"/>
    <col min="13337" max="13339" width="0" style="167" hidden="1" customWidth="1"/>
    <col min="13340" max="13340" width="9.140625" style="167"/>
    <col min="13341" max="13343" width="0" style="167" hidden="1" customWidth="1"/>
    <col min="13344" max="13344" width="9.140625" style="167"/>
    <col min="13345" max="13347" width="0" style="167" hidden="1" customWidth="1"/>
    <col min="13348" max="13348" width="11" style="167" customWidth="1"/>
    <col min="13349" max="13373" width="9.140625" style="167"/>
    <col min="13374" max="13378" width="0" style="167" hidden="1" customWidth="1"/>
    <col min="13379" max="13587" width="9.140625" style="167"/>
    <col min="13588" max="13588" width="21.42578125" style="167" bestFit="1" customWidth="1"/>
    <col min="13589" max="13590" width="9.140625" style="167"/>
    <col min="13591" max="13591" width="0" style="167" hidden="1" customWidth="1"/>
    <col min="13592" max="13592" width="9.140625" style="167"/>
    <col min="13593" max="13595" width="0" style="167" hidden="1" customWidth="1"/>
    <col min="13596" max="13596" width="9.140625" style="167"/>
    <col min="13597" max="13599" width="0" style="167" hidden="1" customWidth="1"/>
    <col min="13600" max="13600" width="9.140625" style="167"/>
    <col min="13601" max="13603" width="0" style="167" hidden="1" customWidth="1"/>
    <col min="13604" max="13604" width="11" style="167" customWidth="1"/>
    <col min="13605" max="13629" width="9.140625" style="167"/>
    <col min="13630" max="13634" width="0" style="167" hidden="1" customWidth="1"/>
    <col min="13635" max="13843" width="9.140625" style="167"/>
    <col min="13844" max="13844" width="21.42578125" style="167" bestFit="1" customWidth="1"/>
    <col min="13845" max="13846" width="9.140625" style="167"/>
    <col min="13847" max="13847" width="0" style="167" hidden="1" customWidth="1"/>
    <col min="13848" max="13848" width="9.140625" style="167"/>
    <col min="13849" max="13851" width="0" style="167" hidden="1" customWidth="1"/>
    <col min="13852" max="13852" width="9.140625" style="167"/>
    <col min="13853" max="13855" width="0" style="167" hidden="1" customWidth="1"/>
    <col min="13856" max="13856" width="9.140625" style="167"/>
    <col min="13857" max="13859" width="0" style="167" hidden="1" customWidth="1"/>
    <col min="13860" max="13860" width="11" style="167" customWidth="1"/>
    <col min="13861" max="13885" width="9.140625" style="167"/>
    <col min="13886" max="13890" width="0" style="167" hidden="1" customWidth="1"/>
    <col min="13891" max="14099" width="9.140625" style="167"/>
    <col min="14100" max="14100" width="21.42578125" style="167" bestFit="1" customWidth="1"/>
    <col min="14101" max="14102" width="9.140625" style="167"/>
    <col min="14103" max="14103" width="0" style="167" hidden="1" customWidth="1"/>
    <col min="14104" max="14104" width="9.140625" style="167"/>
    <col min="14105" max="14107" width="0" style="167" hidden="1" customWidth="1"/>
    <col min="14108" max="14108" width="9.140625" style="167"/>
    <col min="14109" max="14111" width="0" style="167" hidden="1" customWidth="1"/>
    <col min="14112" max="14112" width="9.140625" style="167"/>
    <col min="14113" max="14115" width="0" style="167" hidden="1" customWidth="1"/>
    <col min="14116" max="14116" width="11" style="167" customWidth="1"/>
    <col min="14117" max="14141" width="9.140625" style="167"/>
    <col min="14142" max="14146" width="0" style="167" hidden="1" customWidth="1"/>
    <col min="14147" max="14355" width="9.140625" style="167"/>
    <col min="14356" max="14356" width="21.42578125" style="167" bestFit="1" customWidth="1"/>
    <col min="14357" max="14358" width="9.140625" style="167"/>
    <col min="14359" max="14359" width="0" style="167" hidden="1" customWidth="1"/>
    <col min="14360" max="14360" width="9.140625" style="167"/>
    <col min="14361" max="14363" width="0" style="167" hidden="1" customWidth="1"/>
    <col min="14364" max="14364" width="9.140625" style="167"/>
    <col min="14365" max="14367" width="0" style="167" hidden="1" customWidth="1"/>
    <col min="14368" max="14368" width="9.140625" style="167"/>
    <col min="14369" max="14371" width="0" style="167" hidden="1" customWidth="1"/>
    <col min="14372" max="14372" width="11" style="167" customWidth="1"/>
    <col min="14373" max="14397" width="9.140625" style="167"/>
    <col min="14398" max="14402" width="0" style="167" hidden="1" customWidth="1"/>
    <col min="14403" max="14611" width="9.140625" style="167"/>
    <col min="14612" max="14612" width="21.42578125" style="167" bestFit="1" customWidth="1"/>
    <col min="14613" max="14614" width="9.140625" style="167"/>
    <col min="14615" max="14615" width="0" style="167" hidden="1" customWidth="1"/>
    <col min="14616" max="14616" width="9.140625" style="167"/>
    <col min="14617" max="14619" width="0" style="167" hidden="1" customWidth="1"/>
    <col min="14620" max="14620" width="9.140625" style="167"/>
    <col min="14621" max="14623" width="0" style="167" hidden="1" customWidth="1"/>
    <col min="14624" max="14624" width="9.140625" style="167"/>
    <col min="14625" max="14627" width="0" style="167" hidden="1" customWidth="1"/>
    <col min="14628" max="14628" width="11" style="167" customWidth="1"/>
    <col min="14629" max="14653" width="9.140625" style="167"/>
    <col min="14654" max="14658" width="0" style="167" hidden="1" customWidth="1"/>
    <col min="14659" max="14867" width="9.140625" style="167"/>
    <col min="14868" max="14868" width="21.42578125" style="167" bestFit="1" customWidth="1"/>
    <col min="14869" max="14870" width="9.140625" style="167"/>
    <col min="14871" max="14871" width="0" style="167" hidden="1" customWidth="1"/>
    <col min="14872" max="14872" width="9.140625" style="167"/>
    <col min="14873" max="14875" width="0" style="167" hidden="1" customWidth="1"/>
    <col min="14876" max="14876" width="9.140625" style="167"/>
    <col min="14877" max="14879" width="0" style="167" hidden="1" customWidth="1"/>
    <col min="14880" max="14880" width="9.140625" style="167"/>
    <col min="14881" max="14883" width="0" style="167" hidden="1" customWidth="1"/>
    <col min="14884" max="14884" width="11" style="167" customWidth="1"/>
    <col min="14885" max="14909" width="9.140625" style="167"/>
    <col min="14910" max="14914" width="0" style="167" hidden="1" customWidth="1"/>
    <col min="14915" max="15123" width="9.140625" style="167"/>
    <col min="15124" max="15124" width="21.42578125" style="167" bestFit="1" customWidth="1"/>
    <col min="15125" max="15126" width="9.140625" style="167"/>
    <col min="15127" max="15127" width="0" style="167" hidden="1" customWidth="1"/>
    <col min="15128" max="15128" width="9.140625" style="167"/>
    <col min="15129" max="15131" width="0" style="167" hidden="1" customWidth="1"/>
    <col min="15132" max="15132" width="9.140625" style="167"/>
    <col min="15133" max="15135" width="0" style="167" hidden="1" customWidth="1"/>
    <col min="15136" max="15136" width="9.140625" style="167"/>
    <col min="15137" max="15139" width="0" style="167" hidden="1" customWidth="1"/>
    <col min="15140" max="15140" width="11" style="167" customWidth="1"/>
    <col min="15141" max="15165" width="9.140625" style="167"/>
    <col min="15166" max="15170" width="0" style="167" hidden="1" customWidth="1"/>
    <col min="15171" max="15379" width="9.140625" style="167"/>
    <col min="15380" max="15380" width="21.42578125" style="167" bestFit="1" customWidth="1"/>
    <col min="15381" max="15382" width="9.140625" style="167"/>
    <col min="15383" max="15383" width="0" style="167" hidden="1" customWidth="1"/>
    <col min="15384" max="15384" width="9.140625" style="167"/>
    <col min="15385" max="15387" width="0" style="167" hidden="1" customWidth="1"/>
    <col min="15388" max="15388" width="9.140625" style="167"/>
    <col min="15389" max="15391" width="0" style="167" hidden="1" customWidth="1"/>
    <col min="15392" max="15392" width="9.140625" style="167"/>
    <col min="15393" max="15395" width="0" style="167" hidden="1" customWidth="1"/>
    <col min="15396" max="15396" width="11" style="167" customWidth="1"/>
    <col min="15397" max="15421" width="9.140625" style="167"/>
    <col min="15422" max="15426" width="0" style="167" hidden="1" customWidth="1"/>
    <col min="15427" max="15635" width="9.140625" style="167"/>
    <col min="15636" max="15636" width="21.42578125" style="167" bestFit="1" customWidth="1"/>
    <col min="15637" max="15638" width="9.140625" style="167"/>
    <col min="15639" max="15639" width="0" style="167" hidden="1" customWidth="1"/>
    <col min="15640" max="15640" width="9.140625" style="167"/>
    <col min="15641" max="15643" width="0" style="167" hidden="1" customWidth="1"/>
    <col min="15644" max="15644" width="9.140625" style="167"/>
    <col min="15645" max="15647" width="0" style="167" hidden="1" customWidth="1"/>
    <col min="15648" max="15648" width="9.140625" style="167"/>
    <col min="15649" max="15651" width="0" style="167" hidden="1" customWidth="1"/>
    <col min="15652" max="15652" width="11" style="167" customWidth="1"/>
    <col min="15653" max="15677" width="9.140625" style="167"/>
    <col min="15678" max="15682" width="0" style="167" hidden="1" customWidth="1"/>
    <col min="15683" max="15891" width="9.140625" style="167"/>
    <col min="15892" max="15892" width="21.42578125" style="167" bestFit="1" customWidth="1"/>
    <col min="15893" max="15894" width="9.140625" style="167"/>
    <col min="15895" max="15895" width="0" style="167" hidden="1" customWidth="1"/>
    <col min="15896" max="15896" width="9.140625" style="167"/>
    <col min="15897" max="15899" width="0" style="167" hidden="1" customWidth="1"/>
    <col min="15900" max="15900" width="9.140625" style="167"/>
    <col min="15901" max="15903" width="0" style="167" hidden="1" customWidth="1"/>
    <col min="15904" max="15904" width="9.140625" style="167"/>
    <col min="15905" max="15907" width="0" style="167" hidden="1" customWidth="1"/>
    <col min="15908" max="15908" width="11" style="167" customWidth="1"/>
    <col min="15909" max="15933" width="9.140625" style="167"/>
    <col min="15934" max="15938" width="0" style="167" hidden="1" customWidth="1"/>
    <col min="15939" max="16147" width="9.140625" style="167"/>
    <col min="16148" max="16148" width="21.42578125" style="167" bestFit="1" customWidth="1"/>
    <col min="16149" max="16150" width="9.140625" style="167"/>
    <col min="16151" max="16151" width="0" style="167" hidden="1" customWidth="1"/>
    <col min="16152" max="16152" width="9.140625" style="167"/>
    <col min="16153" max="16155" width="0" style="167" hidden="1" customWidth="1"/>
    <col min="16156" max="16156" width="9.140625" style="167"/>
    <col min="16157" max="16159" width="0" style="167" hidden="1" customWidth="1"/>
    <col min="16160" max="16160" width="9.140625" style="167"/>
    <col min="16161" max="16163" width="0" style="167" hidden="1" customWidth="1"/>
    <col min="16164" max="16164" width="11" style="167" customWidth="1"/>
    <col min="16165" max="16189" width="9.140625" style="167"/>
    <col min="16190" max="16194" width="0" style="167" hidden="1" customWidth="1"/>
    <col min="16195" max="16384" width="9.140625" style="167"/>
  </cols>
  <sheetData>
    <row r="2" spans="1:71" ht="13.5" thickBot="1" x14ac:dyDescent="0.25"/>
    <row r="3" spans="1:71" ht="15.75" thickTop="1" x14ac:dyDescent="0.2">
      <c r="B3" s="168"/>
      <c r="C3" s="43" t="s">
        <v>8</v>
      </c>
      <c r="D3" s="43" t="s">
        <v>9</v>
      </c>
      <c r="E3" s="43" t="s">
        <v>224</v>
      </c>
      <c r="F3" s="43" t="s">
        <v>10</v>
      </c>
      <c r="G3" s="43"/>
      <c r="H3" s="43" t="s">
        <v>225</v>
      </c>
      <c r="I3" s="43" t="s">
        <v>226</v>
      </c>
      <c r="J3" s="43" t="s">
        <v>11</v>
      </c>
      <c r="K3" s="43" t="s">
        <v>227</v>
      </c>
      <c r="L3" s="43" t="s">
        <v>228</v>
      </c>
      <c r="M3" s="43" t="s">
        <v>229</v>
      </c>
      <c r="N3" s="43" t="s">
        <v>12</v>
      </c>
      <c r="O3" s="43" t="s">
        <v>230</v>
      </c>
      <c r="P3" s="43" t="s">
        <v>231</v>
      </c>
      <c r="Q3" s="43" t="s">
        <v>232</v>
      </c>
      <c r="R3" s="43" t="s">
        <v>13</v>
      </c>
      <c r="S3" s="43" t="s">
        <v>233</v>
      </c>
      <c r="T3" s="43" t="s">
        <v>234</v>
      </c>
      <c r="U3" s="43" t="s">
        <v>235</v>
      </c>
      <c r="V3" s="43" t="s">
        <v>236</v>
      </c>
      <c r="W3" s="43" t="s">
        <v>14</v>
      </c>
      <c r="X3" s="43" t="s">
        <v>237</v>
      </c>
      <c r="Y3" s="43" t="s">
        <v>238</v>
      </c>
      <c r="Z3" s="43" t="s">
        <v>239</v>
      </c>
      <c r="AA3" s="43" t="s">
        <v>240</v>
      </c>
      <c r="AB3" s="43" t="s">
        <v>15</v>
      </c>
      <c r="AC3" s="43" t="s">
        <v>241</v>
      </c>
      <c r="AD3" s="43" t="s">
        <v>242</v>
      </c>
      <c r="AE3" s="43" t="s">
        <v>243</v>
      </c>
      <c r="AF3" s="43" t="s">
        <v>244</v>
      </c>
      <c r="AG3" s="43" t="s">
        <v>16</v>
      </c>
      <c r="AH3" s="43" t="s">
        <v>245</v>
      </c>
      <c r="AI3" s="43" t="s">
        <v>263</v>
      </c>
      <c r="AJ3" s="43" t="s">
        <v>264</v>
      </c>
      <c r="AK3" s="43" t="s">
        <v>313</v>
      </c>
      <c r="AL3" s="155" t="s">
        <v>311</v>
      </c>
      <c r="AM3" s="43" t="s">
        <v>314</v>
      </c>
      <c r="AN3" s="43" t="s">
        <v>334</v>
      </c>
      <c r="AO3" s="43" t="s">
        <v>341</v>
      </c>
      <c r="AP3" s="43" t="s">
        <v>344</v>
      </c>
      <c r="AQ3" s="155" t="s">
        <v>343</v>
      </c>
      <c r="AR3" s="43" t="s">
        <v>345</v>
      </c>
      <c r="AS3" s="43" t="s">
        <v>348</v>
      </c>
      <c r="AT3" s="43" t="s">
        <v>351</v>
      </c>
      <c r="AU3" s="43" t="s">
        <v>355</v>
      </c>
      <c r="AV3" s="155" t="s">
        <v>353</v>
      </c>
      <c r="AW3" s="43" t="s">
        <v>438</v>
      </c>
      <c r="AX3" s="43" t="s">
        <v>485</v>
      </c>
      <c r="AY3" s="43" t="s">
        <v>486</v>
      </c>
      <c r="AZ3" s="43" t="s">
        <v>533</v>
      </c>
      <c r="BA3" s="155" t="s">
        <v>500</v>
      </c>
      <c r="BB3" s="43" t="s">
        <v>501</v>
      </c>
      <c r="BC3" s="43" t="s">
        <v>502</v>
      </c>
      <c r="BD3" s="155" t="s">
        <v>17</v>
      </c>
      <c r="BE3" s="155" t="s">
        <v>18</v>
      </c>
      <c r="BF3" s="156" t="s">
        <v>19</v>
      </c>
    </row>
    <row r="4" spans="1:71" x14ac:dyDescent="0.2">
      <c r="B4" s="168" t="s">
        <v>246</v>
      </c>
      <c r="C4" s="172">
        <v>128.892</v>
      </c>
      <c r="D4" s="172">
        <v>178.75</v>
      </c>
      <c r="E4" s="172">
        <v>71.028999999999996</v>
      </c>
      <c r="F4" s="172">
        <v>135.488</v>
      </c>
      <c r="H4" s="172">
        <v>50.633000000000003</v>
      </c>
      <c r="I4" s="172">
        <v>83.427999999999997</v>
      </c>
      <c r="J4" s="172">
        <v>124.551</v>
      </c>
      <c r="K4" s="172">
        <v>42.524999999999999</v>
      </c>
      <c r="L4" s="172">
        <v>77.882000000000005</v>
      </c>
      <c r="M4" s="172">
        <v>118.313</v>
      </c>
      <c r="N4" s="172">
        <v>155.42400000000001</v>
      </c>
      <c r="O4" s="172">
        <v>30</v>
      </c>
      <c r="P4" s="172">
        <f>96.321-30.269</f>
        <v>66.051999999999992</v>
      </c>
      <c r="Q4" s="172">
        <v>96.320999999999998</v>
      </c>
      <c r="R4" s="172">
        <v>138.33799999999999</v>
      </c>
      <c r="S4" s="172">
        <v>47.271000000000001</v>
      </c>
      <c r="T4" s="172">
        <v>26.349</v>
      </c>
      <c r="U4" s="172">
        <v>39.161999999999999</v>
      </c>
      <c r="V4" s="172">
        <f>W4-(S4+T4+U4)</f>
        <v>82.337999999999994</v>
      </c>
      <c r="W4" s="172">
        <v>195.12</v>
      </c>
      <c r="X4" s="172">
        <v>67.069000000000003</v>
      </c>
      <c r="Y4" s="172">
        <v>89.048000000000002</v>
      </c>
      <c r="Z4" s="172">
        <v>84.025000000000006</v>
      </c>
      <c r="AA4" s="172">
        <f>AB4-(X4+Y4+Z4)</f>
        <v>79.68799999999996</v>
      </c>
      <c r="AB4" s="172">
        <v>319.83</v>
      </c>
      <c r="AC4" s="172">
        <v>89.474000000000004</v>
      </c>
      <c r="AD4" s="172">
        <v>80.16</v>
      </c>
      <c r="AE4" s="172">
        <v>79.805999999999997</v>
      </c>
      <c r="AF4" s="172">
        <f>AG4-(AC4+AD4+AE4)</f>
        <v>97.002999999999986</v>
      </c>
      <c r="AG4" s="172">
        <v>346.44299999999998</v>
      </c>
      <c r="AH4" s="172">
        <v>87.656999999999996</v>
      </c>
      <c r="AI4" s="172">
        <v>75.762</v>
      </c>
      <c r="AJ4" s="172">
        <v>76.635999999999996</v>
      </c>
      <c r="AK4" s="172">
        <f>AL4-(AH4+AI4+AJ4)</f>
        <v>93.697000000000031</v>
      </c>
      <c r="AL4" s="167">
        <v>333.75200000000001</v>
      </c>
      <c r="AM4" s="172">
        <v>82.881</v>
      </c>
      <c r="AN4" s="172">
        <v>121.527</v>
      </c>
      <c r="AO4" s="172">
        <v>157.39699999999999</v>
      </c>
      <c r="AP4" s="172">
        <f>AQ4-(AM4+AN4+AO4)</f>
        <v>134.29699999999997</v>
      </c>
      <c r="AQ4" s="167">
        <v>496.10199999999998</v>
      </c>
      <c r="AR4" s="172">
        <v>127.68600000000001</v>
      </c>
      <c r="AS4" s="172">
        <v>202.352</v>
      </c>
      <c r="AT4" s="172">
        <v>192.167</v>
      </c>
      <c r="AU4" s="172">
        <f>AV4-(AR4+AS4+AT4)</f>
        <v>145.548</v>
      </c>
      <c r="AV4" s="167">
        <v>667.75300000000004</v>
      </c>
      <c r="AW4" s="172">
        <f>183.027</f>
        <v>183.02699999999999</v>
      </c>
      <c r="AX4" s="172">
        <v>199.297</v>
      </c>
      <c r="AY4" s="172">
        <v>207.542</v>
      </c>
      <c r="AZ4" s="172">
        <f>BA4-(AW4+AX4+AY4)</f>
        <v>236.72199999999998</v>
      </c>
      <c r="BA4" s="167">
        <v>826.58799999999997</v>
      </c>
      <c r="BB4" s="172">
        <v>219.142</v>
      </c>
      <c r="BC4" s="172">
        <v>192.696</v>
      </c>
      <c r="BL4" s="172">
        <f>Y4-X4</f>
        <v>21.978999999999999</v>
      </c>
      <c r="BQ4" s="173">
        <v>189.077</v>
      </c>
      <c r="BR4" s="173">
        <v>319.83</v>
      </c>
      <c r="BS4" s="167">
        <v>346.44299999999998</v>
      </c>
    </row>
    <row r="5" spans="1:71" x14ac:dyDescent="0.2">
      <c r="B5" s="168" t="s">
        <v>247</v>
      </c>
      <c r="C5" s="172">
        <v>7.077</v>
      </c>
      <c r="D5" s="172">
        <v>12.004</v>
      </c>
      <c r="E5" s="172">
        <v>3.0339999999999998</v>
      </c>
      <c r="F5" s="172">
        <v>10.074</v>
      </c>
      <c r="H5" s="172">
        <v>2.5379999999999998</v>
      </c>
      <c r="I5" s="172">
        <v>2.7629999999999999</v>
      </c>
      <c r="J5" s="172">
        <v>3.7109999999999999</v>
      </c>
      <c r="K5" s="172">
        <v>2.0609999999999999</v>
      </c>
      <c r="L5" s="172">
        <v>2.8839999999999999</v>
      </c>
      <c r="M5" s="172">
        <v>5.9050000000000002</v>
      </c>
      <c r="N5" s="172">
        <v>-7.6639999999999997</v>
      </c>
      <c r="O5" s="172">
        <v>2</v>
      </c>
      <c r="P5" s="172">
        <v>2.5</v>
      </c>
      <c r="Q5" s="172">
        <v>3.07</v>
      </c>
      <c r="R5" s="172">
        <v>-3.07</v>
      </c>
      <c r="S5" s="172">
        <v>-1.2E-2</v>
      </c>
      <c r="T5" s="172">
        <v>-2.4E-2</v>
      </c>
      <c r="U5" s="172">
        <v>0</v>
      </c>
      <c r="V5" s="172">
        <f>W5-(S5+T5+U5)</f>
        <v>-2.8239999999999998</v>
      </c>
      <c r="W5" s="172">
        <v>-2.86</v>
      </c>
      <c r="X5" s="172">
        <v>0</v>
      </c>
      <c r="Y5" s="172">
        <v>-1.673</v>
      </c>
      <c r="Z5" s="172">
        <v>-0.13300000000000001</v>
      </c>
      <c r="AA5" s="172">
        <f>AB5-(X5+Y5+Z5)</f>
        <v>0</v>
      </c>
      <c r="AB5" s="172">
        <v>-1.806</v>
      </c>
      <c r="AC5" s="172">
        <v>-0.71699999999999997</v>
      </c>
      <c r="AD5" s="172">
        <v>0</v>
      </c>
      <c r="AE5" s="172">
        <v>0</v>
      </c>
      <c r="AF5" s="172">
        <f>AG5-(AC5+AD5+AE5)</f>
        <v>-5.4000000000000048E-2</v>
      </c>
      <c r="AG5" s="172">
        <v>-0.77100000000000002</v>
      </c>
      <c r="AH5" s="171">
        <v>0</v>
      </c>
      <c r="AI5" s="171">
        <v>0</v>
      </c>
      <c r="AJ5" s="171">
        <v>0</v>
      </c>
      <c r="AK5" s="172">
        <f>AL5-(AH5+AI5+AJ5)</f>
        <v>0.30299999999999999</v>
      </c>
      <c r="AL5" s="167">
        <v>0.30299999999999999</v>
      </c>
      <c r="AM5" s="171">
        <v>0</v>
      </c>
      <c r="AN5" s="171">
        <v>0</v>
      </c>
      <c r="AO5" s="171">
        <v>1.014</v>
      </c>
      <c r="AP5" s="172">
        <f>AQ5-(AM5+AN5+AO5)</f>
        <v>0.17999999999999994</v>
      </c>
      <c r="AQ5" s="167">
        <v>1.194</v>
      </c>
      <c r="AR5" s="171">
        <v>0</v>
      </c>
      <c r="AS5" s="171">
        <v>0</v>
      </c>
      <c r="AT5" s="171">
        <v>0</v>
      </c>
      <c r="AU5" s="172">
        <f>AV5-(AR5+AS5+AT5)</f>
        <v>0</v>
      </c>
      <c r="AV5" s="167">
        <v>0</v>
      </c>
      <c r="AW5" s="171">
        <v>0</v>
      </c>
      <c r="AX5" s="171">
        <v>0</v>
      </c>
      <c r="AY5" s="171">
        <v>0</v>
      </c>
      <c r="AZ5" s="172">
        <f>BA5-(AW5+AX5+AY5)</f>
        <v>0</v>
      </c>
      <c r="BA5" s="167">
        <v>0</v>
      </c>
      <c r="BB5" s="171">
        <v>0</v>
      </c>
      <c r="BC5" s="171">
        <v>0</v>
      </c>
      <c r="BQ5" s="173">
        <v>2.859</v>
      </c>
      <c r="BR5" s="173">
        <v>1.806</v>
      </c>
      <c r="BS5" s="167">
        <v>0.77100000000000002</v>
      </c>
    </row>
    <row r="6" spans="1:71" x14ac:dyDescent="0.2">
      <c r="B6" s="168" t="s">
        <v>248</v>
      </c>
      <c r="C6" s="172"/>
      <c r="D6" s="172"/>
      <c r="E6" s="172"/>
      <c r="F6" s="172"/>
      <c r="H6" s="172"/>
      <c r="I6" s="172"/>
      <c r="J6" s="172"/>
      <c r="K6" s="172"/>
      <c r="L6" s="172"/>
      <c r="M6" s="172"/>
      <c r="N6" s="172"/>
      <c r="O6" s="172"/>
      <c r="P6" s="172"/>
      <c r="Q6" s="172"/>
      <c r="R6" s="172"/>
      <c r="S6" s="172"/>
      <c r="T6" s="172"/>
      <c r="U6" s="172"/>
      <c r="V6" s="172"/>
      <c r="W6" s="172"/>
      <c r="X6" s="172">
        <v>3.3730000000000002</v>
      </c>
      <c r="Y6" s="172">
        <v>3.3220000000000001</v>
      </c>
      <c r="Z6" s="172">
        <v>1.268</v>
      </c>
      <c r="AA6" s="172">
        <f>AB6-(X6+Y6+Z6)</f>
        <v>-1.2460000000000004</v>
      </c>
      <c r="AB6" s="172">
        <v>6.7169999999999996</v>
      </c>
      <c r="AC6" s="172">
        <v>5.8570000000000002</v>
      </c>
      <c r="AD6" s="172">
        <v>5.0149999999999997</v>
      </c>
      <c r="AE6" s="172">
        <v>9.52</v>
      </c>
      <c r="AF6" s="172">
        <f>AG6-(AC6+AD6+AE6)</f>
        <v>-0.83599999999999852</v>
      </c>
      <c r="AG6" s="172">
        <v>19.556000000000001</v>
      </c>
      <c r="AH6" s="172">
        <f>4.922-1.738</f>
        <v>3.1839999999999997</v>
      </c>
      <c r="AI6" s="172">
        <v>1.738</v>
      </c>
      <c r="AJ6" s="172">
        <v>3.2410000000000001</v>
      </c>
      <c r="AK6" s="172">
        <f>AL6-(AH6+AI6+AJ6)</f>
        <v>6.7810000000000006</v>
      </c>
      <c r="AL6" s="167">
        <v>14.944000000000001</v>
      </c>
      <c r="AM6" s="172">
        <v>3.9780000000000002</v>
      </c>
      <c r="AN6" s="172">
        <v>4.5229999999999997</v>
      </c>
      <c r="AO6" s="172">
        <v>3.3090000000000002</v>
      </c>
      <c r="AP6" s="172">
        <f>AQ6-(AM6+AN6+AO6)</f>
        <v>6.1730000000000018</v>
      </c>
      <c r="AQ6" s="167">
        <v>17.983000000000001</v>
      </c>
      <c r="AR6" s="172">
        <v>2.778</v>
      </c>
      <c r="AS6" s="172">
        <v>2.27</v>
      </c>
      <c r="AT6" s="172">
        <v>3.2240000000000002</v>
      </c>
      <c r="AU6" s="172">
        <f>AV6-(AR6+AS6+AT6)</f>
        <v>3.2170000000000005</v>
      </c>
      <c r="AV6" s="167">
        <v>11.489000000000001</v>
      </c>
      <c r="AW6" s="172">
        <f>1.194</f>
        <v>1.194</v>
      </c>
      <c r="AX6" s="172">
        <v>3.6150000000000002</v>
      </c>
      <c r="AY6" s="172">
        <v>7.1520000000000001</v>
      </c>
      <c r="AZ6" s="172">
        <f>BA6-(AW6+AX6+AY6)</f>
        <v>10.132</v>
      </c>
      <c r="BA6" s="167">
        <v>22.093</v>
      </c>
      <c r="BB6" s="172">
        <v>20.254999999999999</v>
      </c>
      <c r="BC6" s="172">
        <v>15.534000000000001</v>
      </c>
      <c r="BQ6" s="173">
        <v>19.190000000000001</v>
      </c>
      <c r="BR6" s="173">
        <v>6.7169999999999996</v>
      </c>
      <c r="BS6" s="167">
        <v>19.556000000000001</v>
      </c>
    </row>
    <row r="7" spans="1:71" x14ac:dyDescent="0.2">
      <c r="B7" s="168" t="s">
        <v>249</v>
      </c>
      <c r="C7" s="172">
        <v>29.085999999999999</v>
      </c>
      <c r="D7" s="172">
        <v>12.705</v>
      </c>
      <c r="E7" s="172">
        <v>0.80200000000000005</v>
      </c>
      <c r="F7" s="172">
        <v>3.3260000000000001</v>
      </c>
      <c r="H7" s="172">
        <v>1.532</v>
      </c>
      <c r="I7" s="172">
        <v>7.3620000000000001</v>
      </c>
      <c r="J7" s="172">
        <v>7.806</v>
      </c>
      <c r="K7" s="172">
        <v>0.94699999999999995</v>
      </c>
      <c r="L7" s="172">
        <v>2.7370000000000001</v>
      </c>
      <c r="M7" s="172">
        <v>4.3109999999999999</v>
      </c>
      <c r="N7" s="172">
        <v>-4.5570000000000004</v>
      </c>
      <c r="O7" s="172">
        <v>2</v>
      </c>
      <c r="P7" s="172">
        <v>1</v>
      </c>
      <c r="Q7" s="172">
        <v>4.3490000000000002</v>
      </c>
      <c r="R7" s="172">
        <v>-9.4420000000000002</v>
      </c>
      <c r="S7" s="172">
        <v>-0.67200000000000004</v>
      </c>
      <c r="T7" s="172">
        <v>-0.23</v>
      </c>
      <c r="U7" s="172">
        <v>-1.9139999999999999</v>
      </c>
      <c r="V7" s="172">
        <f>W7-(S7+T7+U7)</f>
        <v>-1.3399999999999999</v>
      </c>
      <c r="W7" s="172">
        <v>-4.1559999999999997</v>
      </c>
      <c r="X7" s="172">
        <v>-0.93300000000000005</v>
      </c>
      <c r="Y7" s="172">
        <v>-2.7850000000000001</v>
      </c>
      <c r="Z7" s="172">
        <v>-1.5169999999999999</v>
      </c>
      <c r="AA7" s="172">
        <f>AB7-(X7+Y7+Z7)</f>
        <v>-0.89200000000000035</v>
      </c>
      <c r="AB7" s="172">
        <v>-6.1269999999999998</v>
      </c>
      <c r="AC7" s="172">
        <v>-0.86299999999999999</v>
      </c>
      <c r="AD7" s="172">
        <v>-0.56799999999999995</v>
      </c>
      <c r="AE7" s="172">
        <v>-2.0310000000000001</v>
      </c>
      <c r="AF7" s="172">
        <f>AG7-(AC7+AD7+AE7)</f>
        <v>-7.7999999999999847E-2</v>
      </c>
      <c r="AG7" s="172">
        <v>-3.54</v>
      </c>
      <c r="AH7" s="172">
        <v>-2.9260000000000002</v>
      </c>
      <c r="AI7" s="172">
        <v>-1.871</v>
      </c>
      <c r="AJ7" s="172">
        <v>-0.376</v>
      </c>
      <c r="AK7" s="172">
        <f>AL7-(AH7+AI7+AJ7)</f>
        <v>-0.4449999999999994</v>
      </c>
      <c r="AL7" s="167">
        <v>-5.6180000000000003</v>
      </c>
      <c r="AM7" s="172">
        <v>-1.296</v>
      </c>
      <c r="AN7" s="172">
        <v>-0.75800000000000001</v>
      </c>
      <c r="AO7" s="172">
        <v>-1.335</v>
      </c>
      <c r="AP7" s="172">
        <f>AQ7-(AM7+AN7+AO7)</f>
        <v>8.9149999999999991</v>
      </c>
      <c r="AQ7" s="167">
        <v>5.5259999999999998</v>
      </c>
      <c r="AR7" s="172">
        <v>0.33700000000000002</v>
      </c>
      <c r="AS7" s="172">
        <v>-0.23400000000000001</v>
      </c>
      <c r="AT7" s="172">
        <v>-0.46200000000000002</v>
      </c>
      <c r="AU7" s="172">
        <f>AV7-(AR7+AS7+AT7)</f>
        <v>2.7240000000000002</v>
      </c>
      <c r="AV7" s="167">
        <v>2.3650000000000002</v>
      </c>
      <c r="AW7" s="172">
        <v>0</v>
      </c>
      <c r="AX7" s="172">
        <v>-0.161</v>
      </c>
      <c r="AY7" s="172">
        <v>-1.1120000000000001</v>
      </c>
      <c r="AZ7" s="172">
        <f>BA7-(AW7+AX7+AY7)</f>
        <v>4.577</v>
      </c>
      <c r="BA7" s="167">
        <v>3.3039999999999998</v>
      </c>
      <c r="BB7" s="172">
        <v>1.962</v>
      </c>
      <c r="BC7" s="172">
        <v>6.1980000000000004</v>
      </c>
      <c r="BN7" s="174">
        <f>42+U8</f>
        <v>79.24799999999999</v>
      </c>
      <c r="BQ7" s="173">
        <v>4.1559999999999997</v>
      </c>
      <c r="BR7" s="173">
        <v>6.1269999999999998</v>
      </c>
      <c r="BS7" s="167">
        <v>3.54</v>
      </c>
    </row>
    <row r="8" spans="1:71" x14ac:dyDescent="0.2">
      <c r="B8" s="189" t="s">
        <v>265</v>
      </c>
      <c r="C8" s="191">
        <f>C4-C5-C7</f>
        <v>92.728999999999999</v>
      </c>
      <c r="D8" s="191">
        <f>D4-D5-D7</f>
        <v>154.041</v>
      </c>
      <c r="E8" s="191">
        <v>74.864999999999995</v>
      </c>
      <c r="F8" s="191">
        <f>F4-F5-F7</f>
        <v>122.08800000000001</v>
      </c>
      <c r="G8" s="191">
        <v>0</v>
      </c>
      <c r="H8" s="191">
        <v>54.703000000000003</v>
      </c>
      <c r="I8" s="191">
        <v>93.552999999999997</v>
      </c>
      <c r="J8" s="191">
        <f>J4-J5-J7</f>
        <v>113.03400000000001</v>
      </c>
      <c r="K8" s="191">
        <v>45.533000000000001</v>
      </c>
      <c r="L8" s="191">
        <v>83.503</v>
      </c>
      <c r="M8" s="191">
        <v>128.529</v>
      </c>
      <c r="N8" s="191">
        <f t="shared" ref="N8:U8" si="0">SUM(N4:N7)</f>
        <v>143.20300000000003</v>
      </c>
      <c r="O8" s="191">
        <f t="shared" si="0"/>
        <v>34</v>
      </c>
      <c r="P8" s="191">
        <f t="shared" si="0"/>
        <v>69.551999999999992</v>
      </c>
      <c r="Q8" s="191">
        <f t="shared" si="0"/>
        <v>103.74</v>
      </c>
      <c r="R8" s="191">
        <f t="shared" si="0"/>
        <v>125.82599999999999</v>
      </c>
      <c r="S8" s="191">
        <f t="shared" si="0"/>
        <v>46.587000000000003</v>
      </c>
      <c r="T8" s="191">
        <f t="shared" si="0"/>
        <v>26.094999999999999</v>
      </c>
      <c r="U8" s="191">
        <f t="shared" si="0"/>
        <v>37.247999999999998</v>
      </c>
      <c r="V8" s="190">
        <f>W8-(S8+T8+U8)</f>
        <v>78.173999999999978</v>
      </c>
      <c r="W8" s="191">
        <f>SUM(W4:W7)</f>
        <v>188.10399999999998</v>
      </c>
      <c r="X8" s="191">
        <f>SUM(X4:X7)</f>
        <v>69.509</v>
      </c>
      <c r="Y8" s="191">
        <f>SUM(Y4:Y7)</f>
        <v>87.912000000000006</v>
      </c>
      <c r="Z8" s="191">
        <f>SUM(Z4:Z7)</f>
        <v>83.643000000000015</v>
      </c>
      <c r="AA8" s="191">
        <f>AB8-(X8+Y8+Z8)</f>
        <v>77.549999999999955</v>
      </c>
      <c r="AB8" s="191">
        <f>SUM(AB4:AB7)</f>
        <v>318.61399999999998</v>
      </c>
      <c r="AC8" s="191">
        <f t="shared" ref="AC8:AI8" si="1">SUM(AC4:AC7)</f>
        <v>93.751000000000005</v>
      </c>
      <c r="AD8" s="191">
        <f t="shared" si="1"/>
        <v>84.606999999999999</v>
      </c>
      <c r="AE8" s="191">
        <f t="shared" si="1"/>
        <v>87.294999999999987</v>
      </c>
      <c r="AF8" s="191">
        <f>AG8-(AC8+AD8+AE8)</f>
        <v>96.034999999999911</v>
      </c>
      <c r="AG8" s="191">
        <f>SUM(AG4:AG7)</f>
        <v>361.68799999999993</v>
      </c>
      <c r="AH8" s="191">
        <f t="shared" si="1"/>
        <v>87.914999999999992</v>
      </c>
      <c r="AI8" s="191">
        <f t="shared" si="1"/>
        <v>75.629000000000005</v>
      </c>
      <c r="AJ8" s="191">
        <f t="shared" ref="AJ8:AO8" si="2">SUM(AJ4:AJ7)</f>
        <v>79.500999999999991</v>
      </c>
      <c r="AK8" s="191">
        <f t="shared" si="2"/>
        <v>100.33600000000004</v>
      </c>
      <c r="AL8" s="263">
        <f t="shared" si="2"/>
        <v>343.38100000000003</v>
      </c>
      <c r="AM8" s="191">
        <f t="shared" si="2"/>
        <v>85.562999999999988</v>
      </c>
      <c r="AN8" s="191">
        <f t="shared" si="2"/>
        <v>125.292</v>
      </c>
      <c r="AO8" s="191">
        <f t="shared" si="2"/>
        <v>160.38499999999999</v>
      </c>
      <c r="AP8" s="191">
        <f t="shared" ref="AP8:AV8" si="3">SUM(AP4:AP7)</f>
        <v>149.56499999999997</v>
      </c>
      <c r="AQ8" s="191">
        <f t="shared" si="3"/>
        <v>520.80499999999995</v>
      </c>
      <c r="AR8" s="191">
        <f t="shared" si="3"/>
        <v>130.80099999999999</v>
      </c>
      <c r="AS8" s="191">
        <f t="shared" si="3"/>
        <v>204.38800000000001</v>
      </c>
      <c r="AT8" s="191">
        <f t="shared" si="3"/>
        <v>194.929</v>
      </c>
      <c r="AU8" s="191">
        <f t="shared" si="3"/>
        <v>151.489</v>
      </c>
      <c r="AV8" s="191">
        <f t="shared" si="3"/>
        <v>681.60700000000008</v>
      </c>
      <c r="AW8" s="191">
        <f t="shared" ref="AW8:BC8" si="4">SUM(AW4:AW7)</f>
        <v>184.22099999999998</v>
      </c>
      <c r="AX8" s="191">
        <f t="shared" si="4"/>
        <v>202.751</v>
      </c>
      <c r="AY8" s="191">
        <f t="shared" si="4"/>
        <v>213.58199999999999</v>
      </c>
      <c r="AZ8" s="191">
        <f t="shared" si="4"/>
        <v>251.43099999999998</v>
      </c>
      <c r="BA8" s="191">
        <f t="shared" si="4"/>
        <v>851.9849999999999</v>
      </c>
      <c r="BB8" s="191">
        <f t="shared" si="4"/>
        <v>241.35899999999998</v>
      </c>
      <c r="BC8" s="191">
        <f t="shared" si="4"/>
        <v>214.428</v>
      </c>
      <c r="BD8" s="344" t="e">
        <f>BD9*BD22</f>
        <v>#REF!</v>
      </c>
      <c r="BE8" s="344" t="e">
        <f>BE9*BE22</f>
        <v>#REF!</v>
      </c>
      <c r="BF8" s="344" t="e">
        <f>BF9*BF22</f>
        <v>#REF!</v>
      </c>
      <c r="BJ8" s="171">
        <f>BL8+Z8</f>
        <v>102.04600000000002</v>
      </c>
      <c r="BL8" s="172">
        <f>Y8-X8</f>
        <v>18.403000000000006</v>
      </c>
      <c r="BM8" s="174">
        <f>Z8-Y8</f>
        <v>-4.2689999999999912</v>
      </c>
      <c r="BN8" s="174">
        <f>W8-U8</f>
        <v>150.85599999999999</v>
      </c>
      <c r="BQ8" s="173">
        <f>BQ4-BQ5+BQ6-BQ7</f>
        <v>201.25199999999998</v>
      </c>
      <c r="BR8" s="173">
        <f>BR4-BR5+BR6-BR7</f>
        <v>318.61399999999998</v>
      </c>
      <c r="BS8" s="173">
        <f>BS4-BS5+BS6-BS7</f>
        <v>361.68799999999993</v>
      </c>
    </row>
    <row r="9" spans="1:71" x14ac:dyDescent="0.2">
      <c r="A9" s="175">
        <v>0.05</v>
      </c>
      <c r="B9" s="192" t="s">
        <v>250</v>
      </c>
      <c r="C9" s="163">
        <v>8.879744305542181E-2</v>
      </c>
      <c r="D9" s="163">
        <v>0.10271002121755338</v>
      </c>
      <c r="E9" s="163">
        <v>6.6816009424658526E-2</v>
      </c>
      <c r="F9" s="163">
        <v>6.5563259773852384E-2</v>
      </c>
      <c r="G9" s="163" t="e">
        <v>#DIV/0!</v>
      </c>
      <c r="H9" s="163">
        <v>4.2385416497173048E-2</v>
      </c>
      <c r="I9" s="163">
        <v>4.75250190500381E-2</v>
      </c>
      <c r="J9" s="163">
        <v>5.0117957756205908E-2</v>
      </c>
      <c r="K9" s="163">
        <v>1.6227638127198053E-2</v>
      </c>
      <c r="L9" s="163">
        <v>2.871183397385357E-2</v>
      </c>
      <c r="M9" s="163">
        <v>4.3459737129606241E-2</v>
      </c>
      <c r="N9" s="163" t="e">
        <f t="shared" ref="N9:W9" si="5">N8/N$22</f>
        <v>#REF!</v>
      </c>
      <c r="O9" s="163">
        <f t="shared" si="5"/>
        <v>1.1360158454163096E-2</v>
      </c>
      <c r="P9" s="163">
        <f t="shared" si="5"/>
        <v>2.2683044952229996E-2</v>
      </c>
      <c r="Q9" s="163">
        <f t="shared" si="5"/>
        <v>3.2484103956647775E-2</v>
      </c>
      <c r="R9" s="163" t="e">
        <f t="shared" si="5"/>
        <v>#REF!</v>
      </c>
      <c r="S9" s="163" t="e">
        <f t="shared" si="5"/>
        <v>#REF!</v>
      </c>
      <c r="T9" s="163" t="e">
        <f t="shared" si="5"/>
        <v>#REF!</v>
      </c>
      <c r="U9" s="163" t="e">
        <f t="shared" si="5"/>
        <v>#REF!</v>
      </c>
      <c r="V9" s="163" t="e">
        <f t="shared" si="5"/>
        <v>#REF!</v>
      </c>
      <c r="W9" s="163" t="e">
        <f t="shared" si="5"/>
        <v>#REF!</v>
      </c>
      <c r="X9" s="163" t="e">
        <f>X8/#REF!</f>
        <v>#REF!</v>
      </c>
      <c r="Y9" s="163" t="e">
        <f>Y8/#REF!</f>
        <v>#REF!</v>
      </c>
      <c r="Z9" s="163" t="e">
        <f>Z8/#REF!</f>
        <v>#REF!</v>
      </c>
      <c r="AA9" s="163" t="e">
        <f>AA8/#REF!</f>
        <v>#REF!</v>
      </c>
      <c r="AB9" s="163" t="e">
        <f>AB8/AB$22</f>
        <v>#REF!</v>
      </c>
      <c r="AC9" s="163" t="e">
        <f>AC8/#REF!</f>
        <v>#REF!</v>
      </c>
      <c r="AD9" s="163" t="e">
        <f>AD8/#REF!</f>
        <v>#REF!</v>
      </c>
      <c r="AE9" s="163" t="e">
        <f>AE8/#REF!</f>
        <v>#REF!</v>
      </c>
      <c r="AF9" s="163" t="e">
        <f>AF8/#REF!</f>
        <v>#REF!</v>
      </c>
      <c r="AG9" s="163" t="e">
        <f>AG8/AG$22</f>
        <v>#REF!</v>
      </c>
      <c r="AH9" s="163" t="e">
        <f>AH8/#REF!</f>
        <v>#REF!</v>
      </c>
      <c r="AI9" s="163" t="e">
        <f>AI8/#REF!</f>
        <v>#REF!</v>
      </c>
      <c r="AJ9" s="163" t="e">
        <f t="shared" ref="AJ9:BC9" si="6">AJ8/AJ22</f>
        <v>#REF!</v>
      </c>
      <c r="AK9" s="163" t="e">
        <f t="shared" si="6"/>
        <v>#REF!</v>
      </c>
      <c r="AL9" s="163" t="e">
        <f t="shared" si="6"/>
        <v>#REF!</v>
      </c>
      <c r="AM9" s="163" t="e">
        <f t="shared" si="6"/>
        <v>#REF!</v>
      </c>
      <c r="AN9" s="163" t="e">
        <f t="shared" si="6"/>
        <v>#REF!</v>
      </c>
      <c r="AO9" s="163" t="e">
        <f t="shared" si="6"/>
        <v>#REF!</v>
      </c>
      <c r="AP9" s="163" t="e">
        <f t="shared" si="6"/>
        <v>#REF!</v>
      </c>
      <c r="AQ9" s="163" t="e">
        <f t="shared" si="6"/>
        <v>#REF!</v>
      </c>
      <c r="AR9" s="163" t="e">
        <f t="shared" si="6"/>
        <v>#REF!</v>
      </c>
      <c r="AS9" s="163" t="e">
        <f t="shared" si="6"/>
        <v>#REF!</v>
      </c>
      <c r="AT9" s="163" t="e">
        <f t="shared" si="6"/>
        <v>#REF!</v>
      </c>
      <c r="AU9" s="163" t="e">
        <f t="shared" si="6"/>
        <v>#REF!</v>
      </c>
      <c r="AV9" s="193" t="e">
        <f t="shared" si="6"/>
        <v>#REF!</v>
      </c>
      <c r="AW9" s="163" t="e">
        <f t="shared" si="6"/>
        <v>#REF!</v>
      </c>
      <c r="AX9" s="163" t="e">
        <f t="shared" si="6"/>
        <v>#REF!</v>
      </c>
      <c r="AY9" s="163" t="e">
        <f t="shared" si="6"/>
        <v>#REF!</v>
      </c>
      <c r="AZ9" s="163" t="e">
        <f t="shared" si="6"/>
        <v>#REF!</v>
      </c>
      <c r="BA9" s="193" t="e">
        <f t="shared" si="6"/>
        <v>#REF!</v>
      </c>
      <c r="BB9" s="163" t="e">
        <f t="shared" si="6"/>
        <v>#REF!</v>
      </c>
      <c r="BC9" s="163" t="e">
        <f t="shared" si="6"/>
        <v>#REF!</v>
      </c>
      <c r="BD9" s="193">
        <v>5.3999999999999999E-2</v>
      </c>
      <c r="BE9" s="193">
        <v>0.05</v>
      </c>
      <c r="BF9" s="193">
        <v>4.7500000000000001E-2</v>
      </c>
      <c r="BJ9" s="163" t="e">
        <f>BJ8/#REF!</f>
        <v>#REF!</v>
      </c>
      <c r="BN9" s="174">
        <f>U8-T8</f>
        <v>11.152999999999999</v>
      </c>
      <c r="BQ9" s="163" t="e">
        <f>BQ8/BD22</f>
        <v>#REF!</v>
      </c>
      <c r="BR9" s="163" t="e">
        <f>BR8/BE22</f>
        <v>#REF!</v>
      </c>
      <c r="BS9" s="163" t="e">
        <f>BS8/BF22</f>
        <v>#REF!</v>
      </c>
    </row>
    <row r="10" spans="1:71" x14ac:dyDescent="0.2">
      <c r="A10" s="176">
        <v>0.06</v>
      </c>
      <c r="B10" s="189"/>
      <c r="C10" s="172"/>
      <c r="D10" s="172"/>
      <c r="E10" s="172"/>
      <c r="F10" s="172"/>
      <c r="H10" s="172"/>
      <c r="I10" s="172"/>
      <c r="J10" s="172"/>
      <c r="K10" s="172"/>
      <c r="L10" s="172"/>
      <c r="M10" s="172"/>
      <c r="N10" s="172"/>
      <c r="O10" s="172"/>
      <c r="P10" s="172"/>
      <c r="Q10" s="172"/>
      <c r="R10" s="172"/>
      <c r="S10" s="172"/>
      <c r="T10" s="172">
        <f>T11-S11</f>
        <v>5.4440000000000026</v>
      </c>
      <c r="U10" s="172">
        <f>U11-T11</f>
        <v>1.830999999999996</v>
      </c>
      <c r="V10" s="172"/>
      <c r="W10" s="172">
        <f>W11-V11</f>
        <v>142.56200000000001</v>
      </c>
      <c r="X10" s="172"/>
      <c r="Y10" s="172">
        <f>Y11-X11</f>
        <v>1.7349999999999994</v>
      </c>
      <c r="Z10" s="172">
        <f>Z11-Y11</f>
        <v>7.8340000000000032</v>
      </c>
      <c r="AA10" s="172">
        <f>AA11-Z11</f>
        <v>-14.945000000000007</v>
      </c>
      <c r="AB10" s="172">
        <f>AB11-AA11</f>
        <v>143.499</v>
      </c>
      <c r="AC10" s="172">
        <f t="shared" ref="AC10:BC10" si="7">AC11</f>
        <v>47.603000000000002</v>
      </c>
      <c r="AD10" s="172">
        <f t="shared" si="7"/>
        <v>51.033999999999999</v>
      </c>
      <c r="AE10" s="172">
        <f t="shared" si="7"/>
        <v>51.506999999999998</v>
      </c>
      <c r="AF10" s="172">
        <f t="shared" si="7"/>
        <v>54.47399999999999</v>
      </c>
      <c r="AG10" s="172">
        <f>AG11-AF11</f>
        <v>150.14400000000001</v>
      </c>
      <c r="AH10" s="172">
        <f t="shared" si="7"/>
        <v>52.112000000000002</v>
      </c>
      <c r="AI10" s="172">
        <f t="shared" si="7"/>
        <v>52.31</v>
      </c>
      <c r="AJ10" s="172">
        <f t="shared" si="7"/>
        <v>53.899000000000001</v>
      </c>
      <c r="AK10" s="172">
        <f t="shared" si="7"/>
        <v>59.074000000000012</v>
      </c>
      <c r="AL10" s="264">
        <f t="shared" si="7"/>
        <v>217.39500000000001</v>
      </c>
      <c r="AM10" s="172">
        <f t="shared" si="7"/>
        <v>54.893000000000001</v>
      </c>
      <c r="AN10" s="172">
        <f t="shared" si="7"/>
        <v>67.620999999999995</v>
      </c>
      <c r="AO10" s="172">
        <f t="shared" si="7"/>
        <v>75.096999999999994</v>
      </c>
      <c r="AP10" s="172">
        <f t="shared" si="7"/>
        <v>69.829000000000008</v>
      </c>
      <c r="AQ10" s="172">
        <f t="shared" si="7"/>
        <v>267.44</v>
      </c>
      <c r="AR10" s="172">
        <f t="shared" si="7"/>
        <v>72.581999999999994</v>
      </c>
      <c r="AS10" s="172">
        <f t="shared" si="7"/>
        <v>65.244</v>
      </c>
      <c r="AT10" s="172">
        <f t="shared" si="7"/>
        <v>72.468999999999994</v>
      </c>
      <c r="AU10" s="172">
        <f t="shared" si="7"/>
        <v>76.768000000000001</v>
      </c>
      <c r="AW10" s="172">
        <f t="shared" si="7"/>
        <v>82.5</v>
      </c>
      <c r="AX10" s="172">
        <f t="shared" si="7"/>
        <v>81.427999999999997</v>
      </c>
      <c r="AY10" s="172">
        <f t="shared" si="7"/>
        <v>81.727000000000004</v>
      </c>
      <c r="AZ10" s="172">
        <f t="shared" si="7"/>
        <v>102.08599999999998</v>
      </c>
      <c r="BA10" s="172">
        <f t="shared" si="7"/>
        <v>347.74099999999999</v>
      </c>
      <c r="BB10" s="172">
        <f t="shared" si="7"/>
        <v>86.102999999999994</v>
      </c>
      <c r="BC10" s="172">
        <f t="shared" si="7"/>
        <v>91.242999999999995</v>
      </c>
      <c r="BJ10" s="168">
        <v>50</v>
      </c>
      <c r="BL10" s="172"/>
    </row>
    <row r="11" spans="1:71" x14ac:dyDescent="0.2">
      <c r="B11" s="168" t="s">
        <v>85</v>
      </c>
      <c r="C11" s="172">
        <v>173.208</v>
      </c>
      <c r="D11" s="172">
        <v>160.62200000000001</v>
      </c>
      <c r="E11" s="172">
        <v>83.31</v>
      </c>
      <c r="F11" s="172">
        <v>169.36799999999999</v>
      </c>
      <c r="H11" s="172">
        <v>81.611000000000004</v>
      </c>
      <c r="I11" s="172">
        <v>121.102</v>
      </c>
      <c r="J11" s="172">
        <v>166.261</v>
      </c>
      <c r="K11" s="172">
        <v>40.869999999999997</v>
      </c>
      <c r="L11" s="172">
        <v>82.777000000000001</v>
      </c>
      <c r="M11" s="172">
        <v>122.265</v>
      </c>
      <c r="N11" s="172">
        <v>166.01</v>
      </c>
      <c r="O11" s="172">
        <v>42.759</v>
      </c>
      <c r="P11" s="172">
        <f>Q11-42.759</f>
        <v>79.510000000000005</v>
      </c>
      <c r="Q11" s="172">
        <v>122.26900000000001</v>
      </c>
      <c r="R11" s="172">
        <v>169.226</v>
      </c>
      <c r="S11" s="172">
        <v>43.280999999999999</v>
      </c>
      <c r="T11" s="172">
        <v>48.725000000000001</v>
      </c>
      <c r="U11" s="172">
        <v>50.555999999999997</v>
      </c>
      <c r="V11" s="172">
        <f>W11-(S11+T11+U11)</f>
        <v>52.875</v>
      </c>
      <c r="W11" s="172">
        <v>195.43700000000001</v>
      </c>
      <c r="X11" s="172">
        <v>44.064999999999998</v>
      </c>
      <c r="Y11" s="172">
        <v>45.8</v>
      </c>
      <c r="Z11" s="172">
        <v>53.634</v>
      </c>
      <c r="AA11" s="172">
        <f>AB11-(X11+Y11+Z11)</f>
        <v>38.688999999999993</v>
      </c>
      <c r="AB11" s="172">
        <v>182.18799999999999</v>
      </c>
      <c r="AC11" s="172">
        <v>47.603000000000002</v>
      </c>
      <c r="AD11" s="172">
        <v>51.033999999999999</v>
      </c>
      <c r="AE11" s="172">
        <v>51.506999999999998</v>
      </c>
      <c r="AF11" s="172">
        <f>AG11-(AC11+AD11+AE11)</f>
        <v>54.47399999999999</v>
      </c>
      <c r="AG11" s="172">
        <v>204.61799999999999</v>
      </c>
      <c r="AH11" s="172">
        <v>52.112000000000002</v>
      </c>
      <c r="AI11" s="172">
        <v>52.31</v>
      </c>
      <c r="AJ11" s="172">
        <v>53.899000000000001</v>
      </c>
      <c r="AK11" s="172">
        <f>AL11-(AH11+AI11+AJ11)</f>
        <v>59.074000000000012</v>
      </c>
      <c r="AL11" s="167">
        <v>217.39500000000001</v>
      </c>
      <c r="AM11" s="172">
        <v>54.893000000000001</v>
      </c>
      <c r="AN11" s="172">
        <v>67.620999999999995</v>
      </c>
      <c r="AO11" s="172">
        <v>75.096999999999994</v>
      </c>
      <c r="AP11" s="172">
        <f>AQ11-(AM11+AN11+AO11)</f>
        <v>69.829000000000008</v>
      </c>
      <c r="AQ11" s="167">
        <v>267.44</v>
      </c>
      <c r="AR11" s="172">
        <v>72.581999999999994</v>
      </c>
      <c r="AS11" s="172">
        <v>65.244</v>
      </c>
      <c r="AT11" s="172">
        <v>72.468999999999994</v>
      </c>
      <c r="AU11" s="172">
        <f>AV11-(AR11+AS11+AT11)</f>
        <v>76.768000000000001</v>
      </c>
      <c r="AV11" s="167">
        <v>287.06299999999999</v>
      </c>
      <c r="AW11" s="172">
        <v>82.5</v>
      </c>
      <c r="AX11" s="172">
        <v>81.427999999999997</v>
      </c>
      <c r="AY11" s="172">
        <v>81.727000000000004</v>
      </c>
      <c r="AZ11" s="172">
        <f>BA11-(AW11+AX11+AY11)</f>
        <v>102.08599999999998</v>
      </c>
      <c r="BA11" s="167">
        <v>347.74099999999999</v>
      </c>
      <c r="BB11" s="172">
        <v>86.102999999999994</v>
      </c>
      <c r="BC11" s="172">
        <v>91.242999999999995</v>
      </c>
      <c r="BJ11" s="172">
        <f>BJ10+Z11</f>
        <v>103.634</v>
      </c>
      <c r="BL11" s="172">
        <f>Y11-X11</f>
        <v>1.7349999999999994</v>
      </c>
      <c r="BM11" s="174">
        <f>Z11-Y11</f>
        <v>7.8340000000000032</v>
      </c>
      <c r="BN11" s="174">
        <f>W11-U11</f>
        <v>144.88100000000003</v>
      </c>
      <c r="BQ11" s="167">
        <v>166.137</v>
      </c>
      <c r="BR11" s="167">
        <v>182.18799999999999</v>
      </c>
      <c r="BS11" s="167">
        <v>204.61799999999999</v>
      </c>
    </row>
    <row r="12" spans="1:71" x14ac:dyDescent="0.2">
      <c r="B12" s="168" t="s">
        <v>251</v>
      </c>
      <c r="C12" s="172">
        <v>211</v>
      </c>
      <c r="D12" s="172">
        <v>9.4480000000000004</v>
      </c>
      <c r="E12" s="172">
        <v>3.843</v>
      </c>
      <c r="F12" s="172">
        <v>21.54</v>
      </c>
      <c r="H12" s="172">
        <v>5.4390000000000001</v>
      </c>
      <c r="I12" s="172">
        <v>5.4390000000000001</v>
      </c>
      <c r="J12" s="172">
        <v>22.315999999999999</v>
      </c>
      <c r="K12" s="172">
        <v>0</v>
      </c>
      <c r="L12" s="172">
        <v>0</v>
      </c>
      <c r="M12" s="172">
        <v>0</v>
      </c>
      <c r="N12" s="172">
        <v>24</v>
      </c>
      <c r="O12" s="172">
        <v>0</v>
      </c>
      <c r="P12" s="172">
        <v>0</v>
      </c>
      <c r="Q12" s="172">
        <v>0</v>
      </c>
      <c r="R12" s="171">
        <v>0</v>
      </c>
      <c r="S12" s="172">
        <v>0</v>
      </c>
      <c r="T12" s="172">
        <v>0</v>
      </c>
      <c r="U12" s="172">
        <v>0</v>
      </c>
      <c r="V12" s="172">
        <f>W12-(S12+T12+U12)</f>
        <v>0</v>
      </c>
      <c r="W12" s="171">
        <v>0</v>
      </c>
      <c r="X12" s="171">
        <v>0</v>
      </c>
      <c r="Y12" s="171">
        <v>0</v>
      </c>
      <c r="Z12" s="171">
        <v>0</v>
      </c>
      <c r="AA12" s="171">
        <f>AB12-(X12+Y12+Z12)</f>
        <v>0</v>
      </c>
      <c r="AB12" s="171">
        <v>0</v>
      </c>
      <c r="AC12" s="171">
        <v>0</v>
      </c>
      <c r="AD12" s="171">
        <v>0</v>
      </c>
      <c r="AE12" s="171">
        <v>0</v>
      </c>
      <c r="AF12" s="171">
        <f>AG12-(AC12+AD12+AE12)</f>
        <v>0</v>
      </c>
      <c r="AG12" s="171">
        <v>0</v>
      </c>
      <c r="AH12" s="171">
        <v>0</v>
      </c>
      <c r="AI12" s="171">
        <v>0</v>
      </c>
      <c r="AJ12" s="171">
        <v>0</v>
      </c>
      <c r="AK12" s="171">
        <v>0</v>
      </c>
      <c r="AL12" s="168">
        <v>0</v>
      </c>
      <c r="AM12" s="171">
        <v>0</v>
      </c>
      <c r="AN12" s="171">
        <v>0</v>
      </c>
      <c r="AO12" s="171">
        <v>0</v>
      </c>
      <c r="AP12" s="171">
        <v>0</v>
      </c>
      <c r="AQ12" s="171">
        <v>0</v>
      </c>
      <c r="AR12" s="171">
        <v>0</v>
      </c>
      <c r="AS12" s="171">
        <v>0</v>
      </c>
      <c r="AT12" s="171">
        <v>0</v>
      </c>
      <c r="AU12" s="171">
        <v>0</v>
      </c>
      <c r="AV12" s="180"/>
      <c r="AW12" s="171">
        <v>0</v>
      </c>
      <c r="AX12" s="171">
        <v>0</v>
      </c>
      <c r="AY12" s="171">
        <v>0</v>
      </c>
      <c r="AZ12" s="171">
        <v>0</v>
      </c>
      <c r="BA12" s="171">
        <v>0</v>
      </c>
      <c r="BB12" s="171">
        <v>0</v>
      </c>
      <c r="BC12" s="171">
        <v>0</v>
      </c>
      <c r="BL12" s="172">
        <f>Y12-X12</f>
        <v>0</v>
      </c>
      <c r="BN12" s="174">
        <f>U11-T11</f>
        <v>1.830999999999996</v>
      </c>
      <c r="BR12" s="167">
        <v>47.427999999999997</v>
      </c>
      <c r="BS12" s="167">
        <v>27.042999999999999</v>
      </c>
    </row>
    <row r="13" spans="1:71" x14ac:dyDescent="0.2">
      <c r="B13" s="168" t="s">
        <v>268</v>
      </c>
      <c r="C13" s="172"/>
      <c r="D13" s="172"/>
      <c r="E13" s="172"/>
      <c r="F13" s="172"/>
      <c r="H13" s="172"/>
      <c r="I13" s="172"/>
      <c r="J13" s="172"/>
      <c r="K13" s="172"/>
      <c r="L13" s="172"/>
      <c r="M13" s="172"/>
      <c r="N13" s="172"/>
      <c r="O13" s="172"/>
      <c r="P13" s="172"/>
      <c r="Q13" s="172"/>
      <c r="R13" s="171"/>
      <c r="S13" s="172"/>
      <c r="T13" s="172"/>
      <c r="U13" s="172"/>
      <c r="V13" s="172"/>
      <c r="W13" s="172"/>
      <c r="X13" s="172">
        <v>0</v>
      </c>
      <c r="Y13" s="172">
        <v>0</v>
      </c>
      <c r="Z13" s="172">
        <v>0</v>
      </c>
      <c r="AA13" s="172">
        <f>AB13-(X13+Y13+Z13)</f>
        <v>47.427999999999997</v>
      </c>
      <c r="AB13" s="172">
        <v>47.427999999999997</v>
      </c>
      <c r="AC13" s="172">
        <v>0</v>
      </c>
      <c r="AD13" s="172">
        <v>0</v>
      </c>
      <c r="AE13" s="172">
        <v>27.808</v>
      </c>
      <c r="AF13" s="172">
        <f>AG13-(AC13+AD13+AE13)</f>
        <v>-0.76500000000000057</v>
      </c>
      <c r="AG13" s="172">
        <v>27.042999999999999</v>
      </c>
      <c r="AH13" s="172"/>
      <c r="AI13" s="172"/>
      <c r="AJ13" s="172"/>
      <c r="AK13" s="172"/>
      <c r="AM13" s="172"/>
      <c r="AN13" s="172"/>
      <c r="AO13" s="172"/>
      <c r="AP13" s="172"/>
      <c r="AQ13" s="180"/>
      <c r="AR13" s="172"/>
      <c r="AS13" s="172"/>
      <c r="AT13" s="172"/>
      <c r="AU13" s="172"/>
      <c r="AV13" s="180"/>
      <c r="AW13" s="172"/>
      <c r="AX13" s="172"/>
      <c r="AY13" s="172"/>
      <c r="AZ13" s="172"/>
      <c r="BA13" s="180"/>
      <c r="BB13" s="172"/>
      <c r="BC13" s="172"/>
      <c r="BL13" s="172">
        <f>Y13-X13</f>
        <v>0</v>
      </c>
      <c r="BN13" s="174">
        <f>U12-T12</f>
        <v>0</v>
      </c>
      <c r="BR13" s="167">
        <v>47.427999999999997</v>
      </c>
      <c r="BS13" s="167">
        <v>27.042999999999999</v>
      </c>
    </row>
    <row r="14" spans="1:71" x14ac:dyDescent="0.2">
      <c r="B14" s="189" t="s">
        <v>266</v>
      </c>
      <c r="C14" s="190">
        <f>SUM(C11:C13)</f>
        <v>384.20799999999997</v>
      </c>
      <c r="D14" s="190">
        <f>SUM(D11:D13)</f>
        <v>170.07000000000002</v>
      </c>
      <c r="E14" s="190">
        <v>87.153000000000006</v>
      </c>
      <c r="F14" s="190">
        <f>SUM(F11:F13)</f>
        <v>190.90799999999999</v>
      </c>
      <c r="G14" s="190">
        <v>0</v>
      </c>
      <c r="H14" s="190">
        <v>87.05</v>
      </c>
      <c r="I14" s="190">
        <v>126.541</v>
      </c>
      <c r="J14" s="190">
        <f>SUM(J11:J13)</f>
        <v>188.577</v>
      </c>
      <c r="K14" s="190">
        <v>40.869999999999997</v>
      </c>
      <c r="L14" s="190">
        <v>82.777000000000001</v>
      </c>
      <c r="M14" s="190">
        <v>122.265</v>
      </c>
      <c r="N14" s="190">
        <f>SUM(N11:N13)</f>
        <v>190.01</v>
      </c>
      <c r="O14" s="190">
        <f>SUM(O11:O12)</f>
        <v>42.759</v>
      </c>
      <c r="P14" s="190">
        <f>SUM(P11:P12)</f>
        <v>79.510000000000005</v>
      </c>
      <c r="Q14" s="190">
        <f>SUM(Q11:Q12)</f>
        <v>122.26900000000001</v>
      </c>
      <c r="R14" s="190">
        <f t="shared" ref="R14:AG14" si="8">SUM(R11:R13)</f>
        <v>169.226</v>
      </c>
      <c r="S14" s="190">
        <f t="shared" si="8"/>
        <v>43.280999999999999</v>
      </c>
      <c r="T14" s="190">
        <f t="shared" si="8"/>
        <v>48.725000000000001</v>
      </c>
      <c r="U14" s="190">
        <f t="shared" si="8"/>
        <v>50.555999999999997</v>
      </c>
      <c r="V14" s="190">
        <f t="shared" si="8"/>
        <v>52.875</v>
      </c>
      <c r="W14" s="190">
        <f t="shared" si="8"/>
        <v>195.43700000000001</v>
      </c>
      <c r="X14" s="190">
        <f t="shared" si="8"/>
        <v>44.064999999999998</v>
      </c>
      <c r="Y14" s="190">
        <f t="shared" si="8"/>
        <v>45.8</v>
      </c>
      <c r="Z14" s="190">
        <f t="shared" si="8"/>
        <v>53.634</v>
      </c>
      <c r="AA14" s="190">
        <f t="shared" si="8"/>
        <v>86.11699999999999</v>
      </c>
      <c r="AB14" s="190">
        <f t="shared" si="8"/>
        <v>229.61599999999999</v>
      </c>
      <c r="AC14" s="190">
        <f t="shared" si="8"/>
        <v>47.603000000000002</v>
      </c>
      <c r="AD14" s="190">
        <f t="shared" si="8"/>
        <v>51.033999999999999</v>
      </c>
      <c r="AE14" s="190">
        <f t="shared" si="8"/>
        <v>79.314999999999998</v>
      </c>
      <c r="AF14" s="190">
        <f t="shared" si="8"/>
        <v>53.708999999999989</v>
      </c>
      <c r="AG14" s="190">
        <f t="shared" si="8"/>
        <v>231.661</v>
      </c>
      <c r="AH14" s="190">
        <f>SUM(AH11:AH12)</f>
        <v>52.112000000000002</v>
      </c>
      <c r="AI14" s="190">
        <f t="shared" ref="AI14:AO14" si="9">SUM(AI11:AI12)</f>
        <v>52.31</v>
      </c>
      <c r="AJ14" s="190">
        <f t="shared" si="9"/>
        <v>53.899000000000001</v>
      </c>
      <c r="AK14" s="190">
        <f t="shared" si="9"/>
        <v>59.074000000000012</v>
      </c>
      <c r="AL14" s="190">
        <f t="shared" si="9"/>
        <v>217.39500000000001</v>
      </c>
      <c r="AM14" s="191">
        <f t="shared" si="9"/>
        <v>54.893000000000001</v>
      </c>
      <c r="AN14" s="191">
        <f t="shared" si="9"/>
        <v>67.620999999999995</v>
      </c>
      <c r="AO14" s="191">
        <f t="shared" si="9"/>
        <v>75.096999999999994</v>
      </c>
      <c r="AP14" s="190">
        <f t="shared" ref="AP14:AU14" si="10">SUM(AP11:AP12)</f>
        <v>69.829000000000008</v>
      </c>
      <c r="AQ14" s="190">
        <f t="shared" si="10"/>
        <v>267.44</v>
      </c>
      <c r="AR14" s="191">
        <f t="shared" si="10"/>
        <v>72.581999999999994</v>
      </c>
      <c r="AS14" s="191">
        <f t="shared" si="10"/>
        <v>65.244</v>
      </c>
      <c r="AT14" s="191">
        <f t="shared" si="10"/>
        <v>72.468999999999994</v>
      </c>
      <c r="AU14" s="190">
        <f t="shared" si="10"/>
        <v>76.768000000000001</v>
      </c>
      <c r="AV14" s="191">
        <f>SUM(AR14:AU14)</f>
        <v>287.06299999999999</v>
      </c>
      <c r="AW14" s="191">
        <f>SUM(AW11:AW12)</f>
        <v>82.5</v>
      </c>
      <c r="AX14" s="191">
        <f>SUM(AX11:AX12)</f>
        <v>81.427999999999997</v>
      </c>
      <c r="AY14" s="191">
        <f>SUM(AY11:AY12)</f>
        <v>81.727000000000004</v>
      </c>
      <c r="AZ14" s="191">
        <f>SUM(AZ11:AZ12)</f>
        <v>102.08599999999998</v>
      </c>
      <c r="BA14" s="191">
        <f>SUM(AW14:AZ14)</f>
        <v>347.74099999999999</v>
      </c>
      <c r="BB14" s="191">
        <f>SUM(BB11:BB12)</f>
        <v>86.102999999999994</v>
      </c>
      <c r="BC14" s="191">
        <f>SUM(BC11:BC12)</f>
        <v>91.242999999999995</v>
      </c>
      <c r="BD14" s="191" t="e">
        <f>BD15*BD22</f>
        <v>#REF!</v>
      </c>
      <c r="BE14" s="191" t="e">
        <f>BE15*BE22</f>
        <v>#REF!</v>
      </c>
      <c r="BF14" s="191" t="e">
        <f>BF8</f>
        <v>#REF!</v>
      </c>
      <c r="BJ14" s="172">
        <f>SUM(BJ11:BJ12)</f>
        <v>103.634</v>
      </c>
      <c r="BL14" s="172">
        <f>Y14-X14</f>
        <v>1.7349999999999994</v>
      </c>
      <c r="BQ14" s="172">
        <f>SUM(BQ11:BQ12)</f>
        <v>166.137</v>
      </c>
      <c r="BR14" s="172">
        <f>SUM(BR11:BR12)</f>
        <v>229.61599999999999</v>
      </c>
      <c r="BS14" s="172">
        <f>SUM(BS11:BS12)</f>
        <v>231.661</v>
      </c>
    </row>
    <row r="15" spans="1:71" x14ac:dyDescent="0.2">
      <c r="A15" s="175">
        <v>6.0999999999999999E-2</v>
      </c>
      <c r="B15" s="192" t="s">
        <v>250</v>
      </c>
      <c r="C15" s="163">
        <v>0.20669890643384001</v>
      </c>
      <c r="D15" s="163">
        <v>8.5854611044334755E-2</v>
      </c>
      <c r="E15" s="163">
        <v>7.7782884784442188E-2</v>
      </c>
      <c r="F15" s="163">
        <v>8.4066887841240459E-2</v>
      </c>
      <c r="G15" s="163" t="e">
        <v>#DIV/0!</v>
      </c>
      <c r="H15" s="163">
        <v>6.7448778057490708E-2</v>
      </c>
      <c r="I15" s="163">
        <v>6.4282956565913124E-2</v>
      </c>
      <c r="J15" s="163">
        <v>6.9458609811212338E-2</v>
      </c>
      <c r="K15" s="163">
        <v>1.4565778012838695E-2</v>
      </c>
      <c r="L15" s="163">
        <v>2.8462204721431291E-2</v>
      </c>
      <c r="M15" s="163">
        <v>4.1341679777725703E-2</v>
      </c>
      <c r="N15" s="163" t="e">
        <f t="shared" ref="N15:AU15" si="11">N14/N$22</f>
        <v>#REF!</v>
      </c>
      <c r="O15" s="163">
        <f t="shared" si="11"/>
        <v>1.4286735745339995E-2</v>
      </c>
      <c r="P15" s="163">
        <f t="shared" si="11"/>
        <v>2.5930654821598335E-2</v>
      </c>
      <c r="Q15" s="163">
        <f t="shared" si="11"/>
        <v>3.8286089325962669E-2</v>
      </c>
      <c r="R15" s="163" t="e">
        <f t="shared" si="11"/>
        <v>#REF!</v>
      </c>
      <c r="S15" s="163" t="e">
        <f t="shared" si="11"/>
        <v>#REF!</v>
      </c>
      <c r="T15" s="163" t="e">
        <f t="shared" si="11"/>
        <v>#REF!</v>
      </c>
      <c r="U15" s="163" t="e">
        <f t="shared" si="11"/>
        <v>#REF!</v>
      </c>
      <c r="V15" s="163" t="e">
        <f t="shared" si="11"/>
        <v>#REF!</v>
      </c>
      <c r="W15" s="163" t="e">
        <f t="shared" si="11"/>
        <v>#REF!</v>
      </c>
      <c r="X15" s="163" t="e">
        <f t="shared" si="11"/>
        <v>#REF!</v>
      </c>
      <c r="Y15" s="163" t="e">
        <f t="shared" si="11"/>
        <v>#REF!</v>
      </c>
      <c r="Z15" s="163" t="e">
        <f t="shared" si="11"/>
        <v>#REF!</v>
      </c>
      <c r="AA15" s="163" t="e">
        <f t="shared" si="11"/>
        <v>#REF!</v>
      </c>
      <c r="AB15" s="163" t="e">
        <f t="shared" si="11"/>
        <v>#REF!</v>
      </c>
      <c r="AC15" s="163" t="e">
        <f t="shared" si="11"/>
        <v>#REF!</v>
      </c>
      <c r="AD15" s="163" t="e">
        <f t="shared" si="11"/>
        <v>#REF!</v>
      </c>
      <c r="AE15" s="163" t="e">
        <f t="shared" si="11"/>
        <v>#REF!</v>
      </c>
      <c r="AF15" s="163" t="e">
        <f t="shared" si="11"/>
        <v>#REF!</v>
      </c>
      <c r="AG15" s="163" t="e">
        <f t="shared" si="11"/>
        <v>#REF!</v>
      </c>
      <c r="AH15" s="163" t="e">
        <f t="shared" si="11"/>
        <v>#REF!</v>
      </c>
      <c r="AI15" s="163" t="e">
        <f t="shared" si="11"/>
        <v>#REF!</v>
      </c>
      <c r="AJ15" s="163" t="e">
        <f t="shared" si="11"/>
        <v>#REF!</v>
      </c>
      <c r="AK15" s="163" t="e">
        <f t="shared" si="11"/>
        <v>#REF!</v>
      </c>
      <c r="AL15" s="163" t="e">
        <f t="shared" si="11"/>
        <v>#REF!</v>
      </c>
      <c r="AM15" s="163" t="e">
        <f t="shared" si="11"/>
        <v>#REF!</v>
      </c>
      <c r="AN15" s="163" t="e">
        <f t="shared" si="11"/>
        <v>#REF!</v>
      </c>
      <c r="AO15" s="163" t="e">
        <f t="shared" si="11"/>
        <v>#REF!</v>
      </c>
      <c r="AP15" s="163" t="e">
        <f t="shared" si="11"/>
        <v>#REF!</v>
      </c>
      <c r="AQ15" s="163" t="e">
        <f t="shared" si="11"/>
        <v>#REF!</v>
      </c>
      <c r="AR15" s="163" t="e">
        <f t="shared" si="11"/>
        <v>#REF!</v>
      </c>
      <c r="AS15" s="163" t="e">
        <f t="shared" si="11"/>
        <v>#REF!</v>
      </c>
      <c r="AT15" s="163" t="e">
        <f t="shared" si="11"/>
        <v>#REF!</v>
      </c>
      <c r="AU15" s="163" t="e">
        <f t="shared" si="11"/>
        <v>#REF!</v>
      </c>
      <c r="AV15" s="193" t="e">
        <f>AV14/AV22</f>
        <v>#REF!</v>
      </c>
      <c r="AW15" s="163" t="e">
        <f>AW14/AW$22</f>
        <v>#REF!</v>
      </c>
      <c r="AX15" s="163" t="e">
        <f>AX14/AX$22</f>
        <v>#REF!</v>
      </c>
      <c r="AY15" s="163" t="e">
        <f>AY14/AY$22</f>
        <v>#REF!</v>
      </c>
      <c r="AZ15" s="163" t="e">
        <f>AZ14/AZ$22</f>
        <v>#REF!</v>
      </c>
      <c r="BA15" s="193" t="e">
        <f>BA14/BA22</f>
        <v>#REF!</v>
      </c>
      <c r="BB15" s="163" t="e">
        <f>BB14/BB$22</f>
        <v>#REF!</v>
      </c>
      <c r="BC15" s="163" t="e">
        <f>BC14/BC$22</f>
        <v>#REF!</v>
      </c>
      <c r="BD15" s="193">
        <v>4.3999999999999997E-2</v>
      </c>
      <c r="BE15" s="193">
        <v>4.5999999999999999E-2</v>
      </c>
      <c r="BF15" s="193">
        <f>BF9</f>
        <v>4.7500000000000001E-2</v>
      </c>
    </row>
    <row r="16" spans="1:71" x14ac:dyDescent="0.2">
      <c r="A16" s="176">
        <v>0.06</v>
      </c>
      <c r="B16" s="189"/>
      <c r="C16" s="172"/>
      <c r="D16" s="172"/>
      <c r="E16" s="172"/>
      <c r="F16" s="172"/>
      <c r="H16" s="172"/>
      <c r="I16" s="172"/>
      <c r="J16" s="172"/>
      <c r="K16" s="172"/>
      <c r="L16" s="172"/>
      <c r="M16" s="172"/>
      <c r="N16" s="172"/>
      <c r="O16" s="172"/>
      <c r="P16" s="172"/>
      <c r="Q16" s="172"/>
      <c r="R16" s="172"/>
      <c r="S16" s="172"/>
      <c r="T16" s="172"/>
      <c r="U16" s="172"/>
      <c r="V16" s="172"/>
      <c r="W16" s="172"/>
      <c r="X16" s="172"/>
      <c r="Y16" s="172"/>
      <c r="Z16" s="172"/>
      <c r="AA16" s="172"/>
      <c r="AB16" s="172"/>
      <c r="AC16" s="172"/>
      <c r="AD16" s="172"/>
      <c r="AE16" s="172"/>
      <c r="AF16" s="172"/>
      <c r="AG16" s="172"/>
      <c r="AH16" s="172"/>
      <c r="AI16" s="172"/>
      <c r="AJ16" s="172"/>
      <c r="AK16" s="172"/>
      <c r="AM16" s="172"/>
      <c r="AN16" s="172"/>
      <c r="AO16" s="172"/>
      <c r="AP16" s="172"/>
      <c r="AR16" s="172"/>
      <c r="AS16" s="172"/>
      <c r="AT16" s="172"/>
      <c r="AU16" s="172"/>
      <c r="AW16" s="172"/>
      <c r="AX16" s="172"/>
      <c r="AY16" s="172"/>
      <c r="AZ16" s="172"/>
      <c r="BB16" s="172"/>
      <c r="BC16" s="172"/>
    </row>
    <row r="17" spans="1:70" x14ac:dyDescent="0.2">
      <c r="A17" s="176">
        <v>0.05</v>
      </c>
      <c r="B17" s="189" t="s">
        <v>252</v>
      </c>
      <c r="C17" s="172">
        <v>-291.47899999999998</v>
      </c>
      <c r="D17" s="172">
        <v>-16.029000000000018</v>
      </c>
      <c r="E17" s="172">
        <v>-19.96</v>
      </c>
      <c r="F17" s="172">
        <v>-68.819999999999993</v>
      </c>
      <c r="H17" s="172">
        <v>-40.487000000000002</v>
      </c>
      <c r="I17" s="172">
        <v>-53.238</v>
      </c>
      <c r="J17" s="172">
        <v>-53.238</v>
      </c>
      <c r="K17" s="172">
        <v>4.6630000000000038</v>
      </c>
      <c r="L17" s="172">
        <v>0.72599999999999909</v>
      </c>
      <c r="M17" s="172">
        <v>6.2639999999999958</v>
      </c>
      <c r="N17" s="172">
        <f t="shared" ref="N17:T17" si="12">N8-N14</f>
        <v>-46.80699999999996</v>
      </c>
      <c r="O17" s="172">
        <f t="shared" si="12"/>
        <v>-8.7590000000000003</v>
      </c>
      <c r="P17" s="172">
        <f t="shared" si="12"/>
        <v>-9.9580000000000126</v>
      </c>
      <c r="Q17" s="172">
        <f t="shared" si="12"/>
        <v>-18.529000000000011</v>
      </c>
      <c r="R17" s="172">
        <f t="shared" si="12"/>
        <v>-43.400000000000006</v>
      </c>
      <c r="S17" s="172">
        <f t="shared" si="12"/>
        <v>3.3060000000000045</v>
      </c>
      <c r="T17" s="172">
        <f t="shared" si="12"/>
        <v>-22.630000000000003</v>
      </c>
      <c r="U17" s="172">
        <f>U8-U14</f>
        <v>-13.308</v>
      </c>
      <c r="V17" s="172">
        <v>-7.5916000000000281</v>
      </c>
      <c r="W17" s="172">
        <f t="shared" ref="W17:AH17" si="13">W8-W14</f>
        <v>-7.3330000000000268</v>
      </c>
      <c r="X17" s="172">
        <f t="shared" si="13"/>
        <v>25.444000000000003</v>
      </c>
      <c r="Y17" s="172">
        <f t="shared" si="13"/>
        <v>42.112000000000009</v>
      </c>
      <c r="Z17" s="172">
        <f t="shared" si="13"/>
        <v>30.009000000000015</v>
      </c>
      <c r="AA17" s="172">
        <f t="shared" si="13"/>
        <v>-8.5670000000000357</v>
      </c>
      <c r="AB17" s="172">
        <f>AB8-AB14</f>
        <v>88.99799999999999</v>
      </c>
      <c r="AC17" s="172">
        <f t="shared" si="13"/>
        <v>46.148000000000003</v>
      </c>
      <c r="AD17" s="172">
        <f t="shared" si="13"/>
        <v>33.573</v>
      </c>
      <c r="AE17" s="172">
        <f t="shared" si="13"/>
        <v>7.9799999999999898</v>
      </c>
      <c r="AF17" s="172">
        <f t="shared" si="13"/>
        <v>42.325999999999922</v>
      </c>
      <c r="AG17" s="172">
        <f t="shared" si="13"/>
        <v>130.02699999999993</v>
      </c>
      <c r="AH17" s="172">
        <f t="shared" si="13"/>
        <v>35.80299999999999</v>
      </c>
      <c r="AI17" s="172">
        <f t="shared" ref="AI17:BF17" si="14">AI8-AI14</f>
        <v>23.319000000000003</v>
      </c>
      <c r="AJ17" s="172">
        <f t="shared" si="14"/>
        <v>25.60199999999999</v>
      </c>
      <c r="AK17" s="172">
        <f t="shared" si="14"/>
        <v>41.262000000000029</v>
      </c>
      <c r="AL17" s="172">
        <f t="shared" si="14"/>
        <v>125.98600000000002</v>
      </c>
      <c r="AM17" s="172">
        <f t="shared" si="14"/>
        <v>30.669999999999987</v>
      </c>
      <c r="AN17" s="172">
        <f t="shared" si="14"/>
        <v>57.671000000000006</v>
      </c>
      <c r="AO17" s="172">
        <f t="shared" si="14"/>
        <v>85.287999999999997</v>
      </c>
      <c r="AP17" s="172">
        <f t="shared" si="14"/>
        <v>79.735999999999962</v>
      </c>
      <c r="AQ17" s="265">
        <f t="shared" si="14"/>
        <v>253.36499999999995</v>
      </c>
      <c r="AR17" s="265">
        <f t="shared" si="14"/>
        <v>58.218999999999994</v>
      </c>
      <c r="AS17" s="172">
        <f t="shared" si="14"/>
        <v>139.14400000000001</v>
      </c>
      <c r="AT17" s="172">
        <f t="shared" si="14"/>
        <v>122.46000000000001</v>
      </c>
      <c r="AU17" s="172">
        <f t="shared" si="14"/>
        <v>74.721000000000004</v>
      </c>
      <c r="AV17" s="265">
        <f t="shared" si="14"/>
        <v>394.5440000000001</v>
      </c>
      <c r="AW17" s="265">
        <f t="shared" si="14"/>
        <v>101.72099999999998</v>
      </c>
      <c r="AX17" s="172">
        <f t="shared" si="14"/>
        <v>121.32300000000001</v>
      </c>
      <c r="AY17" s="172">
        <f t="shared" si="14"/>
        <v>131.85499999999999</v>
      </c>
      <c r="AZ17" s="172">
        <f t="shared" si="14"/>
        <v>149.345</v>
      </c>
      <c r="BA17" s="265">
        <f t="shared" si="14"/>
        <v>504.24399999999991</v>
      </c>
      <c r="BB17" s="265">
        <f t="shared" si="14"/>
        <v>155.25599999999997</v>
      </c>
      <c r="BC17" s="265">
        <f t="shared" si="14"/>
        <v>123.185</v>
      </c>
      <c r="BD17" s="265" t="e">
        <f t="shared" si="14"/>
        <v>#REF!</v>
      </c>
      <c r="BE17" s="265" t="e">
        <f t="shared" si="14"/>
        <v>#REF!</v>
      </c>
      <c r="BF17" s="265" t="e">
        <f t="shared" si="14"/>
        <v>#REF!</v>
      </c>
      <c r="BJ17" s="172">
        <f>BJ8-BJ14</f>
        <v>-1.5879999999999797</v>
      </c>
      <c r="BQ17" s="172">
        <f>BQ8-BQ14</f>
        <v>35.114999999999981</v>
      </c>
      <c r="BR17" s="172">
        <f>BR8-BR14</f>
        <v>88.99799999999999</v>
      </c>
    </row>
    <row r="18" spans="1:70" x14ac:dyDescent="0.2">
      <c r="A18" s="175"/>
      <c r="B18" s="192" t="s">
        <v>250</v>
      </c>
      <c r="C18" s="163">
        <v>-0.15681191060162547</v>
      </c>
      <c r="D18" s="163">
        <v>-8.0917478710509968E-3</v>
      </c>
      <c r="E18" s="163">
        <v>-1.781403256683611E-2</v>
      </c>
      <c r="F18" s="163">
        <v>-3.0305085283142501E-2</v>
      </c>
      <c r="G18" s="163" t="e">
        <v>#DIV/0!</v>
      </c>
      <c r="H18" s="163">
        <v>-3.137046154179926E-2</v>
      </c>
      <c r="I18" s="163">
        <v>-2.704495808991618E-2</v>
      </c>
      <c r="J18" s="163">
        <v>-1.9609164792786619E-2</v>
      </c>
      <c r="K18" s="163">
        <v>1.6618601143593564E-3</v>
      </c>
      <c r="L18" s="163">
        <v>2.496292524222802E-4</v>
      </c>
      <c r="M18" s="163">
        <v>2.1180573518805351E-3</v>
      </c>
      <c r="N18" s="163" t="e">
        <f t="shared" ref="N18:U18" si="15">N17/N$22</f>
        <v>#REF!</v>
      </c>
      <c r="O18" s="163">
        <f t="shared" si="15"/>
        <v>-2.9265772911768991E-3</v>
      </c>
      <c r="P18" s="163">
        <f t="shared" si="15"/>
        <v>-3.2476098693683376E-3</v>
      </c>
      <c r="Q18" s="163">
        <f t="shared" si="15"/>
        <v>-5.8019853693148929E-3</v>
      </c>
      <c r="R18" s="163" t="e">
        <f t="shared" si="15"/>
        <v>#REF!</v>
      </c>
      <c r="S18" s="163" t="e">
        <f t="shared" si="15"/>
        <v>#REF!</v>
      </c>
      <c r="T18" s="163" t="e">
        <f t="shared" si="15"/>
        <v>#REF!</v>
      </c>
      <c r="U18" s="163" t="e">
        <f t="shared" si="15"/>
        <v>#REF!</v>
      </c>
      <c r="V18" s="163">
        <v>-1.8514815071346343E-3</v>
      </c>
      <c r="W18" s="163" t="e">
        <f t="shared" ref="W18:AK18" si="16">W17/W$22</f>
        <v>#REF!</v>
      </c>
      <c r="X18" s="163" t="e">
        <f t="shared" si="16"/>
        <v>#REF!</v>
      </c>
      <c r="Y18" s="163" t="e">
        <f t="shared" si="16"/>
        <v>#REF!</v>
      </c>
      <c r="Z18" s="163" t="e">
        <f t="shared" si="16"/>
        <v>#REF!</v>
      </c>
      <c r="AA18" s="163" t="e">
        <f t="shared" si="16"/>
        <v>#REF!</v>
      </c>
      <c r="AB18" s="163" t="e">
        <f t="shared" si="16"/>
        <v>#REF!</v>
      </c>
      <c r="AC18" s="163" t="e">
        <f t="shared" si="16"/>
        <v>#REF!</v>
      </c>
      <c r="AD18" s="163" t="e">
        <f t="shared" si="16"/>
        <v>#REF!</v>
      </c>
      <c r="AE18" s="163" t="e">
        <f t="shared" si="16"/>
        <v>#REF!</v>
      </c>
      <c r="AF18" s="163" t="e">
        <f t="shared" si="16"/>
        <v>#REF!</v>
      </c>
      <c r="AG18" s="163" t="e">
        <f t="shared" si="16"/>
        <v>#REF!</v>
      </c>
      <c r="AH18" s="163" t="e">
        <f t="shared" si="16"/>
        <v>#REF!</v>
      </c>
      <c r="AI18" s="163" t="e">
        <f t="shared" si="16"/>
        <v>#REF!</v>
      </c>
      <c r="AJ18" s="163" t="e">
        <f t="shared" si="16"/>
        <v>#REF!</v>
      </c>
      <c r="AK18" s="163" t="e">
        <f t="shared" si="16"/>
        <v>#REF!</v>
      </c>
      <c r="AM18" s="163" t="e">
        <f>AM17/AM$22</f>
        <v>#REF!</v>
      </c>
      <c r="AN18" s="163" t="e">
        <f>AN17/AN$22</f>
        <v>#REF!</v>
      </c>
      <c r="AO18" s="163" t="e">
        <f>AO17/AO$22</f>
        <v>#REF!</v>
      </c>
      <c r="AP18" s="163" t="e">
        <f>AP17/AP$22</f>
        <v>#REF!</v>
      </c>
      <c r="AR18" s="163" t="e">
        <f>AR17/AR$22</f>
        <v>#REF!</v>
      </c>
      <c r="AS18" s="163" t="e">
        <f>AS17/AS$22</f>
        <v>#REF!</v>
      </c>
      <c r="AT18" s="163" t="e">
        <f>AT17/AT$22</f>
        <v>#REF!</v>
      </c>
      <c r="AU18" s="163" t="e">
        <f>AU17/AU$22</f>
        <v>#REF!</v>
      </c>
      <c r="AW18" s="163" t="e">
        <f>AW17/AW$22</f>
        <v>#REF!</v>
      </c>
      <c r="AX18" s="163" t="e">
        <f>AX17/AX$22</f>
        <v>#REF!</v>
      </c>
      <c r="AY18" s="163" t="e">
        <f>AY17/AY$22</f>
        <v>#REF!</v>
      </c>
      <c r="AZ18" s="163" t="e">
        <f>AZ17/AZ$22</f>
        <v>#REF!</v>
      </c>
      <c r="BB18" s="163" t="e">
        <f>BB17/BB$22</f>
        <v>#REF!</v>
      </c>
      <c r="BC18" s="163" t="e">
        <f>BC17/BC$22</f>
        <v>#REF!</v>
      </c>
      <c r="BQ18" s="163" t="e">
        <f>BQ17/BD$22</f>
        <v>#REF!</v>
      </c>
      <c r="BR18" s="163" t="e">
        <f>BR17/BE$22</f>
        <v>#REF!</v>
      </c>
    </row>
    <row r="19" spans="1:70" x14ac:dyDescent="0.2">
      <c r="B19" s="189"/>
      <c r="C19" s="168"/>
      <c r="BQ19" s="167">
        <v>136</v>
      </c>
      <c r="BR19" s="167" t="s">
        <v>253</v>
      </c>
    </row>
    <row r="20" spans="1:70" x14ac:dyDescent="0.2">
      <c r="B20" s="192" t="s">
        <v>267</v>
      </c>
      <c r="C20" s="360">
        <v>2.3277574141952679</v>
      </c>
      <c r="D20" s="360">
        <v>0.83589322664517185</v>
      </c>
      <c r="E20" s="360">
        <v>1.1641354437988378</v>
      </c>
      <c r="F20" s="360">
        <v>1.2822255655257599</v>
      </c>
      <c r="G20" s="360" t="e">
        <v>#DIV/0!</v>
      </c>
      <c r="H20" s="360">
        <v>1.5913204029029488</v>
      </c>
      <c r="I20" s="360">
        <v>1.3526129573610681</v>
      </c>
      <c r="J20" s="360">
        <v>1.3859026369168355</v>
      </c>
      <c r="K20" s="360">
        <v>0.89759075835108593</v>
      </c>
      <c r="L20" s="360">
        <v>0.99130570159155962</v>
      </c>
      <c r="M20" s="360">
        <v>0.95126391709264058</v>
      </c>
      <c r="N20" s="360">
        <f t="shared" ref="N20:T20" si="17">N14/N8</f>
        <v>1.3268576775626206</v>
      </c>
      <c r="O20" s="360">
        <f t="shared" si="17"/>
        <v>1.2576176470588236</v>
      </c>
      <c r="P20" s="360">
        <f t="shared" si="17"/>
        <v>1.1431734529560618</v>
      </c>
      <c r="Q20" s="360">
        <f t="shared" si="17"/>
        <v>1.1786099865047235</v>
      </c>
      <c r="R20" s="360">
        <f t="shared" si="17"/>
        <v>1.3449207635941698</v>
      </c>
      <c r="S20" s="360">
        <f t="shared" si="17"/>
        <v>0.92903599716659147</v>
      </c>
      <c r="T20" s="360">
        <f t="shared" si="17"/>
        <v>1.8672159417512935</v>
      </c>
      <c r="U20" s="360">
        <f>U14/U8</f>
        <v>1.3572809278350515</v>
      </c>
      <c r="V20" s="360">
        <v>1.0404140851998507</v>
      </c>
      <c r="W20" s="360">
        <f t="shared" ref="W20:AC20" si="18">W14/W8</f>
        <v>1.0389837536681836</v>
      </c>
      <c r="X20" s="360">
        <f t="shared" si="18"/>
        <v>0.63394668316333136</v>
      </c>
      <c r="Y20" s="360">
        <f t="shared" si="18"/>
        <v>0.52097552097552091</v>
      </c>
      <c r="Z20" s="360">
        <f t="shared" si="18"/>
        <v>0.64122520713030373</v>
      </c>
      <c r="AA20" s="360">
        <f t="shared" si="18"/>
        <v>1.1104706640876858</v>
      </c>
      <c r="AB20" s="360">
        <f>AB14/AB8</f>
        <v>0.72067140803605623</v>
      </c>
      <c r="AC20" s="360">
        <f t="shared" si="18"/>
        <v>0.50775991722754954</v>
      </c>
      <c r="AD20" s="360">
        <f t="shared" ref="AD20:AK20" si="19">AD14/AD8</f>
        <v>0.60318886144172468</v>
      </c>
      <c r="AE20" s="360">
        <f t="shared" si="19"/>
        <v>0.90858582965805612</v>
      </c>
      <c r="AF20" s="360">
        <f t="shared" si="19"/>
        <v>0.55926485135627679</v>
      </c>
      <c r="AG20" s="360">
        <f t="shared" si="19"/>
        <v>0.64049954657052499</v>
      </c>
      <c r="AH20" s="360">
        <f t="shared" si="19"/>
        <v>0.59275436501165901</v>
      </c>
      <c r="AI20" s="360">
        <f t="shared" si="19"/>
        <v>0.69166589535760092</v>
      </c>
      <c r="AJ20" s="360">
        <f t="shared" si="19"/>
        <v>0.67796631488912096</v>
      </c>
      <c r="AK20" s="360">
        <f t="shared" si="19"/>
        <v>0.58876176048477102</v>
      </c>
      <c r="AL20" s="361"/>
      <c r="AM20" s="360">
        <f>AM14/AM8</f>
        <v>0.6415506702663536</v>
      </c>
      <c r="AN20" s="360">
        <f>AN14/AN8</f>
        <v>0.53970724387830027</v>
      </c>
      <c r="AO20" s="360">
        <f>AO14/AO8</f>
        <v>0.46822957259095299</v>
      </c>
      <c r="AP20" s="360">
        <f>AP14/AP8</f>
        <v>0.46688062046601825</v>
      </c>
      <c r="AQ20" s="361"/>
      <c r="AR20" s="360">
        <f>AR14/AR8</f>
        <v>0.55490401449530202</v>
      </c>
      <c r="AS20" s="360">
        <f>AS14/AS8</f>
        <v>0.31921639235180149</v>
      </c>
      <c r="AT20" s="360">
        <f>AT14/AT8</f>
        <v>0.3717712603050341</v>
      </c>
      <c r="AU20" s="360">
        <f>AU14/AU8</f>
        <v>0.50675626613153424</v>
      </c>
      <c r="AW20" s="360">
        <f>AW14/AW8</f>
        <v>0.44783168042731292</v>
      </c>
      <c r="AX20" s="360">
        <f>AX14/AX8</f>
        <v>0.40161577501467316</v>
      </c>
      <c r="AY20" s="360">
        <f>AY14/AY8</f>
        <v>0.38264928692492817</v>
      </c>
      <c r="AZ20" s="360">
        <f>AZ14/AZ8</f>
        <v>0.40601994185283435</v>
      </c>
      <c r="BB20" s="360">
        <f>BB14/BB8</f>
        <v>0.35674244590009074</v>
      </c>
      <c r="BC20" s="360">
        <f>BC14/BC8</f>
        <v>0.42551812263323818</v>
      </c>
    </row>
    <row r="21" spans="1:70" x14ac:dyDescent="0.2">
      <c r="B21" s="168"/>
      <c r="C21" s="168"/>
    </row>
    <row r="22" spans="1:70" x14ac:dyDescent="0.2">
      <c r="A22" s="177" t="s">
        <v>204</v>
      </c>
      <c r="B22" s="178"/>
      <c r="C22" s="179" t="e">
        <f>#REF!</f>
        <v>#REF!</v>
      </c>
      <c r="D22" s="179" t="e">
        <f>#REF!</f>
        <v>#REF!</v>
      </c>
      <c r="E22" s="179">
        <v>1120.4649999999999</v>
      </c>
      <c r="F22" s="179" t="e">
        <f>#REF!</f>
        <v>#REF!</v>
      </c>
      <c r="G22" s="179"/>
      <c r="H22" s="179">
        <v>1290.6089999999999</v>
      </c>
      <c r="I22" s="179">
        <v>1968.5</v>
      </c>
      <c r="J22" s="179" t="e">
        <f>#REF!</f>
        <v>#REF!</v>
      </c>
      <c r="K22" s="179">
        <v>2805.8920000000003</v>
      </c>
      <c r="L22" s="179">
        <v>2908.3130000000001</v>
      </c>
      <c r="M22" s="179">
        <v>2957.4270000000001</v>
      </c>
      <c r="N22" s="179" t="e">
        <f>#REF!</f>
        <v>#REF!</v>
      </c>
      <c r="O22" s="179">
        <v>2992.9160000000002</v>
      </c>
      <c r="P22" s="179">
        <v>3066.2550000000001</v>
      </c>
      <c r="Q22" s="179">
        <v>3193.5620000000004</v>
      </c>
      <c r="R22" s="179" t="e">
        <f>#REF!</f>
        <v>#REF!</v>
      </c>
      <c r="S22" s="179" t="e">
        <f>#REF!</f>
        <v>#REF!</v>
      </c>
      <c r="T22" s="179" t="e">
        <f>#REF!</f>
        <v>#REF!</v>
      </c>
      <c r="U22" s="179" t="e">
        <f>#REF!</f>
        <v>#REF!</v>
      </c>
      <c r="V22" s="179" t="e">
        <f>W22-(S22+T22+U22)</f>
        <v>#REF!</v>
      </c>
      <c r="W22" s="179" t="e">
        <f>#REF!</f>
        <v>#REF!</v>
      </c>
      <c r="X22" s="179" t="e">
        <f>#REF!</f>
        <v>#REF!</v>
      </c>
      <c r="Y22" s="179" t="e">
        <f>#REF!</f>
        <v>#REF!</v>
      </c>
      <c r="Z22" s="179" t="e">
        <f>#REF!</f>
        <v>#REF!</v>
      </c>
      <c r="AA22" s="179" t="e">
        <f>AB22-(X22+Y22+Z22)</f>
        <v>#REF!</v>
      </c>
      <c r="AB22" s="179" t="e">
        <f>#REF!</f>
        <v>#REF!</v>
      </c>
      <c r="AC22" s="179" t="e">
        <f>#REF!</f>
        <v>#REF!</v>
      </c>
      <c r="AD22" s="179" t="e">
        <f>#REF!</f>
        <v>#REF!</v>
      </c>
      <c r="AE22" s="179" t="e">
        <f>#REF!</f>
        <v>#REF!</v>
      </c>
      <c r="AF22" s="179" t="e">
        <f>AG22-(AC22+AD22+AE22)</f>
        <v>#REF!</v>
      </c>
      <c r="AG22" s="179" t="e">
        <f>#REF!</f>
        <v>#REF!</v>
      </c>
      <c r="AH22" s="179" t="e">
        <f>#REF!</f>
        <v>#REF!</v>
      </c>
      <c r="AI22" s="179" t="e">
        <f>#REF!</f>
        <v>#REF!</v>
      </c>
      <c r="AJ22" s="179" t="e">
        <f>#REF!</f>
        <v>#REF!</v>
      </c>
      <c r="AK22" s="179" t="e">
        <f>#REF!</f>
        <v>#REF!</v>
      </c>
      <c r="AL22" s="169" t="e">
        <f>#REF!</f>
        <v>#REF!</v>
      </c>
      <c r="AM22" s="179" t="e">
        <f>#REF!</f>
        <v>#REF!</v>
      </c>
      <c r="AN22" s="179" t="e">
        <f>#REF!</f>
        <v>#REF!</v>
      </c>
      <c r="AO22" s="179" t="e">
        <f>#REF!</f>
        <v>#REF!</v>
      </c>
      <c r="AP22" s="179" t="e">
        <f>#REF!</f>
        <v>#REF!</v>
      </c>
      <c r="AQ22" s="179" t="e">
        <f>#REF!</f>
        <v>#REF!</v>
      </c>
      <c r="AR22" s="179" t="e">
        <f>#REF!</f>
        <v>#REF!</v>
      </c>
      <c r="AS22" s="179" t="e">
        <f>#REF!</f>
        <v>#REF!</v>
      </c>
      <c r="AT22" s="179" t="e">
        <f>#REF!</f>
        <v>#REF!</v>
      </c>
      <c r="AU22" s="179" t="e">
        <f>#REF!</f>
        <v>#REF!</v>
      </c>
      <c r="AV22" s="179" t="e">
        <f>#REF!</f>
        <v>#REF!</v>
      </c>
      <c r="AW22" s="179" t="e">
        <f>#REF!</f>
        <v>#REF!</v>
      </c>
      <c r="AX22" s="179" t="e">
        <f>#REF!</f>
        <v>#REF!</v>
      </c>
      <c r="AY22" s="179" t="e">
        <f>#REF!</f>
        <v>#REF!</v>
      </c>
      <c r="AZ22" s="179" t="e">
        <f>#REF!</f>
        <v>#REF!</v>
      </c>
      <c r="BA22" s="179" t="e">
        <f>#REF!</f>
        <v>#REF!</v>
      </c>
      <c r="BB22" s="179" t="e">
        <f>#REF!</f>
        <v>#REF!</v>
      </c>
      <c r="BC22" s="179" t="e">
        <f>#REF!</f>
        <v>#REF!</v>
      </c>
      <c r="BD22" s="169" t="e">
        <f>#REF!</f>
        <v>#REF!</v>
      </c>
      <c r="BE22" s="169" t="e">
        <f>#REF!</f>
        <v>#REF!</v>
      </c>
      <c r="BF22" s="169" t="e">
        <f>#REF!</f>
        <v>#REF!</v>
      </c>
    </row>
    <row r="28" spans="1:70" x14ac:dyDescent="0.2">
      <c r="AA28" s="167" t="s">
        <v>254</v>
      </c>
      <c r="AC28" s="167" t="s">
        <v>254</v>
      </c>
      <c r="AD28" s="167" t="s">
        <v>254</v>
      </c>
      <c r="AE28" s="167" t="s">
        <v>254</v>
      </c>
      <c r="AF28" s="167" t="s">
        <v>254</v>
      </c>
      <c r="AH28" s="167" t="s">
        <v>254</v>
      </c>
      <c r="AI28" s="167" t="s">
        <v>254</v>
      </c>
      <c r="AJ28" s="167" t="s">
        <v>254</v>
      </c>
      <c r="AK28" s="167" t="s">
        <v>254</v>
      </c>
      <c r="AM28" s="167" t="s">
        <v>254</v>
      </c>
      <c r="AN28" s="167" t="s">
        <v>254</v>
      </c>
      <c r="AO28" s="167" t="s">
        <v>254</v>
      </c>
      <c r="AP28" s="167" t="s">
        <v>254</v>
      </c>
      <c r="AR28" s="167" t="s">
        <v>254</v>
      </c>
      <c r="AS28" s="167" t="s">
        <v>254</v>
      </c>
      <c r="AT28" s="167" t="s">
        <v>254</v>
      </c>
      <c r="AU28" s="167" t="s">
        <v>254</v>
      </c>
      <c r="AW28" s="167" t="s">
        <v>254</v>
      </c>
      <c r="AX28" s="167" t="s">
        <v>254</v>
      </c>
      <c r="AY28" s="167" t="s">
        <v>254</v>
      </c>
      <c r="AZ28" s="167" t="s">
        <v>254</v>
      </c>
      <c r="BB28" s="167" t="s">
        <v>254</v>
      </c>
      <c r="BC28" s="167" t="s">
        <v>254</v>
      </c>
    </row>
  </sheetData>
  <printOptions horizontalCentered="1"/>
  <pageMargins left="0.74803149606299213" right="0.74803149606299213" top="0.98425196850393704" bottom="0.98425196850393704" header="0.51181102362204722" footer="0.51181102362204722"/>
  <pageSetup paperSize="9" scale="72" orientation="landscape"/>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גיליון41"/>
  <dimension ref="B5:J21"/>
  <sheetViews>
    <sheetView showGridLines="0" rightToLeft="1" workbookViewId="0">
      <selection activeCell="C34" sqref="C34"/>
    </sheetView>
  </sheetViews>
  <sheetFormatPr defaultRowHeight="12.75" x14ac:dyDescent="0.2"/>
  <cols>
    <col min="2" max="2" width="14.85546875" bestFit="1" customWidth="1"/>
    <col min="3" max="3" width="14" customWidth="1"/>
  </cols>
  <sheetData>
    <row r="5" spans="2:10" x14ac:dyDescent="0.2">
      <c r="B5" s="217" t="s">
        <v>296</v>
      </c>
      <c r="C5" s="358" t="e">
        <f>H9*E6+(100%-H9)*(6.58%-2.5%)*(1-26.5%)</f>
        <v>#REF!</v>
      </c>
      <c r="E5" s="216" t="s">
        <v>294</v>
      </c>
      <c r="G5" s="214" t="s">
        <v>291</v>
      </c>
      <c r="H5" s="215" t="e">
        <f>#REF!+#REF!</f>
        <v>#REF!</v>
      </c>
    </row>
    <row r="6" spans="2:10" x14ac:dyDescent="0.2">
      <c r="B6" s="220" t="s">
        <v>297</v>
      </c>
      <c r="C6" s="358">
        <v>1.7500000000000002E-2</v>
      </c>
      <c r="E6" s="218">
        <f>3.5%+1.25*(6%)</f>
        <v>0.11</v>
      </c>
      <c r="G6" s="215" t="s">
        <v>292</v>
      </c>
      <c r="H6" s="215" t="e">
        <f>#REF!/#REF!</f>
        <v>#REF!</v>
      </c>
    </row>
    <row r="7" spans="2:10" x14ac:dyDescent="0.2">
      <c r="B7" s="159" t="s">
        <v>569</v>
      </c>
      <c r="C7" s="358" t="e">
        <f>C5+2.35%</f>
        <v>#REF!</v>
      </c>
      <c r="G7" s="214" t="s">
        <v>295</v>
      </c>
      <c r="H7" s="215" t="e">
        <f>H5+H6</f>
        <v>#REF!</v>
      </c>
    </row>
    <row r="8" spans="2:10" x14ac:dyDescent="0.2">
      <c r="G8" s="213" t="s">
        <v>301</v>
      </c>
      <c r="H8" s="219" t="e">
        <f>H5/$H$7</f>
        <v>#REF!</v>
      </c>
    </row>
    <row r="9" spans="2:10" x14ac:dyDescent="0.2">
      <c r="G9" s="221" t="s">
        <v>302</v>
      </c>
      <c r="H9" s="219" t="e">
        <f>H6/$H$7</f>
        <v>#REF!</v>
      </c>
    </row>
    <row r="16" spans="2:10" x14ac:dyDescent="0.2">
      <c r="F16" s="213"/>
      <c r="G16" s="213"/>
      <c r="H16" s="213"/>
      <c r="I16" s="213"/>
      <c r="J16" s="213"/>
    </row>
    <row r="17" spans="5:10" x14ac:dyDescent="0.2">
      <c r="F17" s="213"/>
      <c r="G17" s="213" t="s">
        <v>298</v>
      </c>
      <c r="H17" s="213" t="s">
        <v>299</v>
      </c>
      <c r="I17" s="213"/>
      <c r="J17" s="213"/>
    </row>
    <row r="18" spans="5:10" x14ac:dyDescent="0.2">
      <c r="F18" s="213" t="s">
        <v>346</v>
      </c>
      <c r="G18" s="213">
        <v>2.17</v>
      </c>
      <c r="H18" s="224">
        <v>2.5899999999999999E-2</v>
      </c>
      <c r="I18" s="213"/>
      <c r="J18" s="222"/>
    </row>
    <row r="19" spans="5:10" x14ac:dyDescent="0.2">
      <c r="E19" s="213" t="s">
        <v>347</v>
      </c>
      <c r="F19" s="213" t="s">
        <v>300</v>
      </c>
      <c r="G19" s="213">
        <v>2.33</v>
      </c>
      <c r="H19" s="224">
        <v>3.1699999999999999E-2</v>
      </c>
      <c r="I19" s="224">
        <v>6.8999999999999999E-3</v>
      </c>
      <c r="J19" s="224">
        <f>H19-I19</f>
        <v>2.4799999999999999E-2</v>
      </c>
    </row>
    <row r="20" spans="5:10" x14ac:dyDescent="0.2">
      <c r="F20" s="213" t="s">
        <v>346</v>
      </c>
      <c r="G20" s="213">
        <v>15.04</v>
      </c>
      <c r="H20" s="224">
        <v>5.4800000000000001E-2</v>
      </c>
      <c r="I20" s="213"/>
      <c r="J20" s="213"/>
    </row>
    <row r="21" spans="5:10" x14ac:dyDescent="0.2">
      <c r="F21" s="223" t="s">
        <v>349</v>
      </c>
      <c r="G21" s="213"/>
      <c r="H21" s="224">
        <v>6.5799999999999997E-2</v>
      </c>
      <c r="I21" s="213"/>
      <c r="J21" s="213"/>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גיליון14"/>
  <dimension ref="C14:M142"/>
  <sheetViews>
    <sheetView showGridLines="0" rightToLeft="1" topLeftCell="B57" workbookViewId="0">
      <selection activeCell="D91" sqref="D91"/>
    </sheetView>
  </sheetViews>
  <sheetFormatPr defaultColWidth="9.140625" defaultRowHeight="12.75" x14ac:dyDescent="0.2"/>
  <cols>
    <col min="1" max="2" width="9.140625" style="275"/>
    <col min="3" max="3" width="17.5703125" style="275" bestFit="1" customWidth="1"/>
    <col min="4" max="4" width="10.85546875" style="275" customWidth="1"/>
    <col min="5" max="5" width="11.140625" style="275" bestFit="1" customWidth="1"/>
    <col min="6" max="8" width="9.140625" style="275"/>
    <col min="9" max="9" width="2.28515625" style="275" customWidth="1"/>
    <col min="10" max="15" width="9.140625" style="275"/>
    <col min="16" max="16" width="12.7109375" style="275" customWidth="1"/>
    <col min="17" max="17" width="9.140625" style="275"/>
    <col min="18" max="18" width="12" style="275" customWidth="1"/>
    <col min="19" max="16384" width="9.140625" style="275"/>
  </cols>
  <sheetData>
    <row r="14" spans="13:13" x14ac:dyDescent="0.2">
      <c r="M14" s="319"/>
    </row>
    <row r="22" spans="3:3" ht="15" x14ac:dyDescent="0.2">
      <c r="C22" s="266" t="s">
        <v>439</v>
      </c>
    </row>
    <row r="24" spans="3:3" ht="15" x14ac:dyDescent="0.2">
      <c r="C24" s="390" t="s">
        <v>440</v>
      </c>
    </row>
    <row r="25" spans="3:3" ht="14.25" x14ac:dyDescent="0.2">
      <c r="C25" s="266" t="s">
        <v>441</v>
      </c>
    </row>
    <row r="26" spans="3:3" ht="14.25" x14ac:dyDescent="0.2">
      <c r="C26" s="266" t="s">
        <v>442</v>
      </c>
    </row>
    <row r="28" spans="3:3" ht="15" x14ac:dyDescent="0.2">
      <c r="C28" s="390" t="s">
        <v>443</v>
      </c>
    </row>
    <row r="29" spans="3:3" ht="14.25" x14ac:dyDescent="0.2">
      <c r="C29" s="266" t="s">
        <v>444</v>
      </c>
    </row>
    <row r="31" spans="3:3" ht="15" x14ac:dyDescent="0.2">
      <c r="C31" s="390" t="s">
        <v>445</v>
      </c>
    </row>
    <row r="32" spans="3:3" ht="14.25" x14ac:dyDescent="0.2">
      <c r="C32" s="266" t="s">
        <v>446</v>
      </c>
    </row>
    <row r="34" spans="3:3" ht="15" x14ac:dyDescent="0.2">
      <c r="C34" s="266" t="s">
        <v>447</v>
      </c>
    </row>
    <row r="36" spans="3:3" ht="15" x14ac:dyDescent="0.2">
      <c r="C36" s="266" t="s">
        <v>491</v>
      </c>
    </row>
    <row r="38" spans="3:3" ht="15" x14ac:dyDescent="0.25">
      <c r="C38" s="391" t="s">
        <v>448</v>
      </c>
    </row>
    <row r="58" spans="3:11" hidden="1" x14ac:dyDescent="0.2"/>
    <row r="59" spans="3:11" hidden="1" x14ac:dyDescent="0.2"/>
    <row r="60" spans="3:11" hidden="1" x14ac:dyDescent="0.2">
      <c r="C60" s="397"/>
      <c r="D60" s="398" t="s">
        <v>293</v>
      </c>
      <c r="E60" s="397"/>
      <c r="F60" s="399"/>
      <c r="G60" s="387">
        <v>2012</v>
      </c>
      <c r="H60" s="389" t="s">
        <v>288</v>
      </c>
      <c r="I60" s="400"/>
      <c r="J60" s="388" t="s">
        <v>464</v>
      </c>
      <c r="K60" s="398" t="s">
        <v>464</v>
      </c>
    </row>
    <row r="61" spans="3:11" hidden="1" x14ac:dyDescent="0.2">
      <c r="D61" s="277" t="s">
        <v>449</v>
      </c>
      <c r="F61" s="281"/>
      <c r="G61" s="393">
        <v>3.4</v>
      </c>
      <c r="H61" s="311">
        <v>4</v>
      </c>
      <c r="I61" s="400"/>
      <c r="J61" s="310">
        <v>4</v>
      </c>
      <c r="K61" s="275">
        <v>4</v>
      </c>
    </row>
    <row r="62" spans="3:11" hidden="1" x14ac:dyDescent="0.2">
      <c r="D62" s="277" t="s">
        <v>450</v>
      </c>
      <c r="F62" s="281"/>
      <c r="G62" s="394" t="e">
        <f>#REF!</f>
        <v>#REF!</v>
      </c>
      <c r="H62" s="332" t="e">
        <f>G62</f>
        <v>#REF!</v>
      </c>
      <c r="I62" s="400"/>
      <c r="J62" s="310">
        <v>300</v>
      </c>
      <c r="K62" s="275">
        <v>350</v>
      </c>
    </row>
    <row r="63" spans="3:11" hidden="1" x14ac:dyDescent="0.2">
      <c r="D63" s="277" t="s">
        <v>451</v>
      </c>
      <c r="F63" s="281"/>
      <c r="G63" s="394" t="e">
        <f>G62*G61</f>
        <v>#REF!</v>
      </c>
      <c r="H63" s="395" t="e">
        <f>H62*H61</f>
        <v>#REF!</v>
      </c>
      <c r="I63" s="400"/>
      <c r="J63" s="227">
        <f>J62*J61</f>
        <v>1200</v>
      </c>
      <c r="K63" s="396">
        <f>K62*K61</f>
        <v>1400</v>
      </c>
    </row>
    <row r="64" spans="3:11" hidden="1" x14ac:dyDescent="0.2">
      <c r="D64" s="277" t="s">
        <v>452</v>
      </c>
      <c r="F64" s="281"/>
      <c r="G64" s="394" t="e">
        <f>G65*G63</f>
        <v>#REF!</v>
      </c>
      <c r="H64" s="395" t="e">
        <f>H65*H63</f>
        <v>#REF!</v>
      </c>
      <c r="I64" s="400"/>
      <c r="J64" s="227">
        <f>J65*J63</f>
        <v>360</v>
      </c>
      <c r="K64" s="396">
        <f>K65*K63</f>
        <v>540.4</v>
      </c>
    </row>
    <row r="65" spans="3:13" hidden="1" x14ac:dyDescent="0.2">
      <c r="D65" s="277" t="s">
        <v>453</v>
      </c>
      <c r="F65" s="281"/>
      <c r="G65" s="345">
        <v>0.5</v>
      </c>
      <c r="H65" s="313">
        <v>0.5</v>
      </c>
      <c r="I65" s="400"/>
      <c r="J65" s="280">
        <v>0.3</v>
      </c>
      <c r="K65" s="392">
        <v>0.38600000000000001</v>
      </c>
      <c r="M65" s="433" t="s">
        <v>481</v>
      </c>
    </row>
    <row r="66" spans="3:13" hidden="1" x14ac:dyDescent="0.2">
      <c r="D66" s="277" t="s">
        <v>454</v>
      </c>
      <c r="F66" s="281"/>
      <c r="G66" s="394" t="e">
        <f>G64+G67</f>
        <v>#REF!</v>
      </c>
      <c r="H66" s="395" t="e">
        <f>H64+H67</f>
        <v>#REF!</v>
      </c>
      <c r="I66" s="400"/>
      <c r="J66" s="227">
        <f>J64+J67</f>
        <v>447.75</v>
      </c>
      <c r="K66" s="396">
        <f>K64+K67</f>
        <v>729.4</v>
      </c>
      <c r="M66" s="365" t="s">
        <v>482</v>
      </c>
    </row>
    <row r="67" spans="3:13" hidden="1" x14ac:dyDescent="0.2">
      <c r="D67" s="277" t="s">
        <v>455</v>
      </c>
      <c r="F67" s="281"/>
      <c r="G67" s="394" t="e">
        <f>1.5*5%*G62*0.9+(G61-1.5)*10%*G62*0.9</f>
        <v>#REF!</v>
      </c>
      <c r="H67" s="395" t="e">
        <f>1.5*5%*H62*0.9+(H61-1.5)*10%*H62*0.9</f>
        <v>#REF!</v>
      </c>
      <c r="I67" s="400"/>
      <c r="J67" s="227">
        <f>1.5*5%*J62*0.9+(J61-1.5)*10%*J62*0.9</f>
        <v>87.75</v>
      </c>
      <c r="K67" s="396">
        <f>1.5*15%*K62*(1-10%)+(K61-1.5)*15%*K62*(1-10%)</f>
        <v>189</v>
      </c>
    </row>
    <row r="68" spans="3:13" hidden="1" x14ac:dyDescent="0.2">
      <c r="D68" s="275" t="s">
        <v>456</v>
      </c>
      <c r="F68" s="281"/>
      <c r="G68" s="345" t="e">
        <f>G67/G63</f>
        <v>#REF!</v>
      </c>
      <c r="H68" s="313" t="e">
        <f>H67/H63</f>
        <v>#REF!</v>
      </c>
      <c r="I68" s="400"/>
      <c r="J68" s="280">
        <f>J67/J63</f>
        <v>7.3124999999999996E-2</v>
      </c>
      <c r="K68" s="392">
        <f>K67/K63</f>
        <v>0.13500000000000001</v>
      </c>
      <c r="M68" s="433" t="s">
        <v>483</v>
      </c>
    </row>
    <row r="69" spans="3:13" hidden="1" x14ac:dyDescent="0.2">
      <c r="D69" s="275" t="s">
        <v>457</v>
      </c>
      <c r="F69" s="281"/>
      <c r="G69" s="345" t="e">
        <f>G67/G66</f>
        <v>#REF!</v>
      </c>
      <c r="H69" s="313" t="e">
        <f>H67/H66</f>
        <v>#REF!</v>
      </c>
      <c r="I69" s="400"/>
      <c r="J69" s="280">
        <f>J67/J66</f>
        <v>0.19597989949748743</v>
      </c>
      <c r="K69" s="392">
        <f>K67/K66</f>
        <v>0.25911708253358928</v>
      </c>
    </row>
    <row r="70" spans="3:13" hidden="1" x14ac:dyDescent="0.2">
      <c r="D70" s="275" t="s">
        <v>458</v>
      </c>
      <c r="F70" s="281"/>
      <c r="G70" s="345" t="e">
        <f>G67/G64</f>
        <v>#REF!</v>
      </c>
      <c r="H70" s="313" t="e">
        <f>H67/H64</f>
        <v>#REF!</v>
      </c>
      <c r="I70" s="400"/>
      <c r="J70" s="280">
        <f>J67/J64</f>
        <v>0.24374999999999999</v>
      </c>
      <c r="K70" s="392">
        <f>K67/K64</f>
        <v>0.34974093264248707</v>
      </c>
      <c r="M70" s="433" t="s">
        <v>484</v>
      </c>
    </row>
    <row r="71" spans="3:13" ht="12.75" hidden="1" customHeight="1" x14ac:dyDescent="0.2">
      <c r="D71" s="275" t="s">
        <v>459</v>
      </c>
      <c r="E71" s="135"/>
      <c r="F71" s="281"/>
      <c r="G71" s="345">
        <v>0.15</v>
      </c>
      <c r="H71" s="313">
        <v>0.25</v>
      </c>
      <c r="I71" s="400"/>
      <c r="J71" s="280">
        <v>0.25</v>
      </c>
      <c r="K71" s="392">
        <v>0.25</v>
      </c>
    </row>
    <row r="72" spans="3:13" hidden="1" x14ac:dyDescent="0.2">
      <c r="D72" s="277" t="s">
        <v>461</v>
      </c>
      <c r="F72" s="281"/>
      <c r="G72" s="394" t="e">
        <f>G67+G71*G64</f>
        <v>#REF!</v>
      </c>
      <c r="H72" s="395" t="e">
        <f>H67+H71*H64</f>
        <v>#REF!</v>
      </c>
      <c r="I72" s="400"/>
      <c r="J72" s="227">
        <f>J67+J71*J64</f>
        <v>177.75</v>
      </c>
      <c r="K72" s="396">
        <f>K67+K71*K64</f>
        <v>324.10000000000002</v>
      </c>
      <c r="M72" s="440" t="s">
        <v>487</v>
      </c>
    </row>
    <row r="73" spans="3:13" hidden="1" x14ac:dyDescent="0.2">
      <c r="D73" s="277" t="s">
        <v>460</v>
      </c>
      <c r="F73" s="281"/>
      <c r="G73" s="281"/>
      <c r="H73" s="311"/>
      <c r="I73" s="400"/>
      <c r="J73" s="310"/>
    </row>
    <row r="74" spans="3:13" hidden="1" x14ac:dyDescent="0.2">
      <c r="C74" s="397"/>
      <c r="D74" s="397" t="s">
        <v>462</v>
      </c>
      <c r="E74" s="397"/>
      <c r="F74" s="399"/>
      <c r="G74" s="401" t="e">
        <f>G72/G64</f>
        <v>#REF!</v>
      </c>
      <c r="H74" s="402" t="e">
        <f>H72/H64</f>
        <v>#REF!</v>
      </c>
      <c r="I74" s="403"/>
      <c r="J74" s="404">
        <f>J72/J64</f>
        <v>0.49375000000000002</v>
      </c>
      <c r="K74" s="405">
        <f>K72/K64</f>
        <v>0.59974093264248707</v>
      </c>
    </row>
    <row r="75" spans="3:13" hidden="1" x14ac:dyDescent="0.2">
      <c r="D75" s="277" t="s">
        <v>463</v>
      </c>
      <c r="F75" s="281"/>
      <c r="G75" s="345" t="e">
        <f>G72/G66</f>
        <v>#REF!</v>
      </c>
      <c r="H75" s="313" t="e">
        <f>H72/H66</f>
        <v>#REF!</v>
      </c>
      <c r="I75" s="400"/>
      <c r="J75" s="280">
        <f>J72/J66</f>
        <v>0.39698492462311558</v>
      </c>
      <c r="K75" s="392">
        <f>K72/K66</f>
        <v>0.444337811900192</v>
      </c>
    </row>
    <row r="78" spans="3:13" x14ac:dyDescent="0.2">
      <c r="C78" s="455" t="s">
        <v>536</v>
      </c>
    </row>
    <row r="80" spans="3:13" x14ac:dyDescent="0.2">
      <c r="C80" s="456" t="s">
        <v>537</v>
      </c>
    </row>
    <row r="81" spans="3:12" x14ac:dyDescent="0.2">
      <c r="C81" s="433" t="s">
        <v>538</v>
      </c>
    </row>
    <row r="82" spans="3:12" x14ac:dyDescent="0.2">
      <c r="C82" s="456" t="s">
        <v>539</v>
      </c>
    </row>
    <row r="83" spans="3:12" x14ac:dyDescent="0.2">
      <c r="C83" s="433" t="s">
        <v>540</v>
      </c>
    </row>
    <row r="84" spans="3:12" x14ac:dyDescent="0.2">
      <c r="C84" s="365" t="s">
        <v>541</v>
      </c>
    </row>
    <row r="85" spans="3:12" ht="13.5" thickBot="1" x14ac:dyDescent="0.25"/>
    <row r="86" spans="3:12" ht="15.75" thickTop="1" x14ac:dyDescent="0.2">
      <c r="C86" s="1129" t="s">
        <v>496</v>
      </c>
      <c r="D86" s="1129"/>
      <c r="E86" s="1129"/>
    </row>
    <row r="87" spans="3:12" x14ac:dyDescent="0.2">
      <c r="C87" s="387" t="s">
        <v>293</v>
      </c>
      <c r="D87" s="388" t="s">
        <v>494</v>
      </c>
      <c r="E87" s="389" t="s">
        <v>495</v>
      </c>
    </row>
    <row r="88" spans="3:12" x14ac:dyDescent="0.2">
      <c r="C88" s="341" t="s">
        <v>492</v>
      </c>
      <c r="D88" s="310">
        <f>3.8</f>
        <v>3.8</v>
      </c>
      <c r="E88" s="311">
        <f>D88</f>
        <v>3.8</v>
      </c>
    </row>
    <row r="89" spans="3:12" x14ac:dyDescent="0.2">
      <c r="C89" s="341" t="s">
        <v>493</v>
      </c>
      <c r="D89" s="310">
        <v>350</v>
      </c>
      <c r="E89" s="311">
        <f>D89</f>
        <v>350</v>
      </c>
    </row>
    <row r="90" spans="3:12" ht="25.5" x14ac:dyDescent="0.2">
      <c r="C90" s="341" t="s">
        <v>451</v>
      </c>
      <c r="D90" s="310">
        <f>D88*D89</f>
        <v>1330</v>
      </c>
      <c r="E90" s="311">
        <f>D90</f>
        <v>1330</v>
      </c>
    </row>
    <row r="91" spans="3:12" ht="25.5" x14ac:dyDescent="0.2">
      <c r="C91" s="341" t="s">
        <v>535</v>
      </c>
      <c r="D91" s="457">
        <f>1.5*5%*D89*0.9+(D88-1.5)*10%*D89*0.9</f>
        <v>96.075000000000003</v>
      </c>
      <c r="E91" s="446">
        <f>E90*5%</f>
        <v>66.5</v>
      </c>
      <c r="L91" s="337"/>
    </row>
    <row r="93" spans="3:12" x14ac:dyDescent="0.2">
      <c r="C93" s="456" t="s">
        <v>542</v>
      </c>
    </row>
    <row r="95" spans="3:12" x14ac:dyDescent="0.2">
      <c r="C95" s="458" t="s">
        <v>543</v>
      </c>
    </row>
    <row r="97" spans="3:12" x14ac:dyDescent="0.2">
      <c r="C97" s="459" t="s">
        <v>544</v>
      </c>
    </row>
    <row r="98" spans="3:12" x14ac:dyDescent="0.2">
      <c r="C98" s="433" t="s">
        <v>545</v>
      </c>
    </row>
    <row r="99" spans="3:12" x14ac:dyDescent="0.2">
      <c r="C99" s="433" t="s">
        <v>546</v>
      </c>
    </row>
    <row r="100" spans="3:12" x14ac:dyDescent="0.2">
      <c r="C100" s="433"/>
    </row>
    <row r="101" spans="3:12" x14ac:dyDescent="0.2">
      <c r="C101" s="456" t="s">
        <v>547</v>
      </c>
    </row>
    <row r="102" spans="3:12" ht="13.5" thickBot="1" x14ac:dyDescent="0.25">
      <c r="C102" s="433"/>
    </row>
    <row r="103" spans="3:12" ht="15.75" thickTop="1" x14ac:dyDescent="0.2">
      <c r="C103" s="1129" t="s">
        <v>497</v>
      </c>
      <c r="D103" s="1129"/>
      <c r="E103" s="1129"/>
      <c r="F103" s="1129"/>
      <c r="G103" s="1129"/>
    </row>
    <row r="104" spans="3:12" x14ac:dyDescent="0.2">
      <c r="C104" s="442"/>
      <c r="D104" s="441" t="s">
        <v>293</v>
      </c>
      <c r="E104" s="442"/>
      <c r="F104" s="445"/>
      <c r="G104" s="316">
        <v>2017</v>
      </c>
      <c r="I104" s="279"/>
      <c r="J104" s="389">
        <f>G104</f>
        <v>2017</v>
      </c>
    </row>
    <row r="105" spans="3:12" x14ac:dyDescent="0.2">
      <c r="D105" s="277" t="s">
        <v>449</v>
      </c>
      <c r="F105" s="281"/>
      <c r="G105" s="444">
        <v>3.7</v>
      </c>
      <c r="I105" s="281"/>
      <c r="J105" s="446">
        <f>G105</f>
        <v>3.7</v>
      </c>
    </row>
    <row r="106" spans="3:12" x14ac:dyDescent="0.2">
      <c r="D106" s="277" t="s">
        <v>450</v>
      </c>
      <c r="F106" s="281"/>
      <c r="G106" s="395" t="e">
        <f>#REF!</f>
        <v>#REF!</v>
      </c>
      <c r="I106" s="335"/>
      <c r="J106" s="395" t="e">
        <f>G106</f>
        <v>#REF!</v>
      </c>
    </row>
    <row r="107" spans="3:12" x14ac:dyDescent="0.2">
      <c r="D107" s="277" t="s">
        <v>451</v>
      </c>
      <c r="F107" s="281"/>
      <c r="G107" s="395" t="e">
        <f>G106*G105</f>
        <v>#REF!</v>
      </c>
      <c r="I107" s="394"/>
      <c r="J107" s="446" t="e">
        <f>G107</f>
        <v>#REF!</v>
      </c>
    </row>
    <row r="108" spans="3:12" x14ac:dyDescent="0.2">
      <c r="D108" s="277" t="s">
        <v>488</v>
      </c>
      <c r="F108" s="281"/>
      <c r="G108" s="395" t="e">
        <f>#REF!</f>
        <v>#REF!</v>
      </c>
      <c r="I108" s="394"/>
      <c r="J108" s="446" t="e">
        <f>G108</f>
        <v>#REF!</v>
      </c>
    </row>
    <row r="109" spans="3:12" x14ac:dyDescent="0.2">
      <c r="D109" s="277" t="s">
        <v>452</v>
      </c>
      <c r="F109" s="281"/>
      <c r="G109" s="395" t="e">
        <f>G105*(G106-G108)</f>
        <v>#REF!</v>
      </c>
      <c r="I109" s="394"/>
      <c r="J109" s="395" t="e">
        <f>J105*(J106-J108)</f>
        <v>#REF!</v>
      </c>
    </row>
    <row r="110" spans="3:12" x14ac:dyDescent="0.2">
      <c r="D110" s="277" t="s">
        <v>453</v>
      </c>
      <c r="F110" s="281"/>
      <c r="G110" s="313" t="e">
        <f>G109/G107</f>
        <v>#REF!</v>
      </c>
      <c r="I110" s="345"/>
      <c r="J110" s="313" t="e">
        <f>J109/J107</f>
        <v>#REF!</v>
      </c>
    </row>
    <row r="111" spans="3:12" x14ac:dyDescent="0.2">
      <c r="D111" s="277" t="s">
        <v>454</v>
      </c>
      <c r="F111" s="281"/>
      <c r="G111" s="395" t="e">
        <f>G109+G112</f>
        <v>#REF!</v>
      </c>
      <c r="I111" s="394"/>
      <c r="J111" s="395" t="e">
        <f>J109+J112</f>
        <v>#REF!</v>
      </c>
    </row>
    <row r="112" spans="3:12" x14ac:dyDescent="0.2">
      <c r="D112" s="277" t="s">
        <v>455</v>
      </c>
      <c r="F112" s="281"/>
      <c r="G112" s="395">
        <v>147.69999999999999</v>
      </c>
      <c r="I112" s="394"/>
      <c r="J112" s="395" t="e">
        <f>J107*5%</f>
        <v>#REF!</v>
      </c>
      <c r="L112" s="337" t="e">
        <f>G112-J112</f>
        <v>#REF!</v>
      </c>
    </row>
    <row r="113" spans="3:13" x14ac:dyDescent="0.2">
      <c r="D113" s="275" t="s">
        <v>456</v>
      </c>
      <c r="F113" s="281"/>
      <c r="G113" s="313" t="e">
        <f>G112/G107</f>
        <v>#REF!</v>
      </c>
      <c r="I113" s="345"/>
      <c r="J113" s="313" t="e">
        <f>J112/J107</f>
        <v>#REF!</v>
      </c>
      <c r="L113" s="337">
        <f>D91-E91</f>
        <v>29.575000000000003</v>
      </c>
    </row>
    <row r="114" spans="3:13" x14ac:dyDescent="0.2">
      <c r="D114" s="275" t="s">
        <v>457</v>
      </c>
      <c r="F114" s="281"/>
      <c r="G114" s="313" t="e">
        <f>G112/G111</f>
        <v>#REF!</v>
      </c>
      <c r="I114" s="345"/>
      <c r="J114" s="313" t="e">
        <f>J112/J111</f>
        <v>#REF!</v>
      </c>
      <c r="L114" s="337" t="e">
        <f>L112-L113</f>
        <v>#REF!</v>
      </c>
      <c r="M114" s="331"/>
    </row>
    <row r="115" spans="3:13" x14ac:dyDescent="0.2">
      <c r="D115" s="275" t="s">
        <v>458</v>
      </c>
      <c r="F115" s="281"/>
      <c r="G115" s="313" t="e">
        <f>G112/G109</f>
        <v>#REF!</v>
      </c>
      <c r="I115" s="345"/>
      <c r="J115" s="313" t="e">
        <f>J112/J109</f>
        <v>#REF!</v>
      </c>
      <c r="L115" s="275">
        <v>35</v>
      </c>
      <c r="M115" s="331"/>
    </row>
    <row r="116" spans="3:13" x14ac:dyDescent="0.2">
      <c r="D116" s="275" t="s">
        <v>459</v>
      </c>
      <c r="E116" s="135"/>
      <c r="F116" s="281"/>
      <c r="G116" s="313">
        <v>0.21</v>
      </c>
      <c r="I116" s="345"/>
      <c r="J116" s="313">
        <v>0.21</v>
      </c>
      <c r="L116" s="337" t="e">
        <f>L114+L115</f>
        <v>#REF!</v>
      </c>
    </row>
    <row r="117" spans="3:13" x14ac:dyDescent="0.2">
      <c r="D117" s="277" t="s">
        <v>461</v>
      </c>
      <c r="F117" s="281"/>
      <c r="G117" s="395" t="e">
        <f>G112+G116*(G109-30)</f>
        <v>#REF!</v>
      </c>
      <c r="I117" s="394"/>
      <c r="J117" s="395" t="e">
        <f>J112+J116*(J109-30)</f>
        <v>#REF!</v>
      </c>
    </row>
    <row r="118" spans="3:13" x14ac:dyDescent="0.2">
      <c r="D118" s="277" t="s">
        <v>460</v>
      </c>
      <c r="F118" s="281"/>
      <c r="G118" s="311"/>
      <c r="I118" s="281"/>
      <c r="J118" s="311"/>
    </row>
    <row r="119" spans="3:13" x14ac:dyDescent="0.2">
      <c r="C119" s="397"/>
      <c r="D119" s="439" t="s">
        <v>498</v>
      </c>
      <c r="E119" s="397"/>
      <c r="F119" s="399"/>
      <c r="G119" s="447" t="e">
        <f>G117/G109</f>
        <v>#REF!</v>
      </c>
      <c r="I119" s="443"/>
      <c r="J119" s="402" t="e">
        <f>J117/J109</f>
        <v>#REF!</v>
      </c>
    </row>
    <row r="122" spans="3:13" x14ac:dyDescent="0.2">
      <c r="D122" s="277" t="s">
        <v>463</v>
      </c>
      <c r="F122" s="281"/>
      <c r="G122" s="313" t="e">
        <f>G117/G111</f>
        <v>#REF!</v>
      </c>
      <c r="I122" s="345"/>
      <c r="J122" s="313" t="e">
        <f>J117/J111</f>
        <v>#REF!</v>
      </c>
    </row>
    <row r="124" spans="3:13" x14ac:dyDescent="0.2">
      <c r="C124" s="456" t="s">
        <v>558</v>
      </c>
    </row>
    <row r="126" spans="3:13" x14ac:dyDescent="0.2">
      <c r="C126" s="458" t="s">
        <v>548</v>
      </c>
    </row>
    <row r="128" spans="3:13" x14ac:dyDescent="0.2">
      <c r="C128" s="433" t="s">
        <v>549</v>
      </c>
    </row>
    <row r="129" spans="3:3" x14ac:dyDescent="0.2">
      <c r="C129" s="456" t="s">
        <v>550</v>
      </c>
    </row>
    <row r="131" spans="3:3" x14ac:dyDescent="0.2">
      <c r="C131" s="458" t="s">
        <v>551</v>
      </c>
    </row>
    <row r="133" spans="3:3" x14ac:dyDescent="0.2">
      <c r="C133" s="433" t="s">
        <v>552</v>
      </c>
    </row>
    <row r="135" spans="3:3" x14ac:dyDescent="0.2">
      <c r="C135" s="458" t="s">
        <v>553</v>
      </c>
    </row>
    <row r="137" spans="3:3" x14ac:dyDescent="0.2">
      <c r="C137" s="456" t="s">
        <v>554</v>
      </c>
    </row>
    <row r="139" spans="3:3" x14ac:dyDescent="0.2">
      <c r="C139" s="433" t="s">
        <v>556</v>
      </c>
    </row>
    <row r="140" spans="3:3" x14ac:dyDescent="0.2">
      <c r="C140" s="433" t="s">
        <v>559</v>
      </c>
    </row>
    <row r="141" spans="3:3" x14ac:dyDescent="0.2">
      <c r="C141" s="433" t="s">
        <v>557</v>
      </c>
    </row>
    <row r="142" spans="3:3" x14ac:dyDescent="0.2">
      <c r="C142" s="365" t="s">
        <v>555</v>
      </c>
    </row>
  </sheetData>
  <mergeCells count="2">
    <mergeCell ref="C103:G103"/>
    <mergeCell ref="C86:E86"/>
  </mergeCells>
  <pageMargins left="0.7" right="0.7" top="0.75" bottom="0.75" header="0.3" footer="0.3"/>
  <pageSetup paperSize="9" orientation="portrait"/>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גיליון17"/>
  <dimension ref="A1:C30"/>
  <sheetViews>
    <sheetView showGridLines="0" rightToLeft="1" topLeftCell="A2" workbookViewId="0">
      <selection activeCell="B22" sqref="B22"/>
    </sheetView>
  </sheetViews>
  <sheetFormatPr defaultRowHeight="12.75" x14ac:dyDescent="0.2"/>
  <sheetData>
    <row r="1" spans="1:1" x14ac:dyDescent="0.2">
      <c r="A1" s="275"/>
    </row>
    <row r="30" spans="3:3" x14ac:dyDescent="0.2">
      <c r="C30" s="49" t="s">
        <v>352</v>
      </c>
    </row>
  </sheetData>
  <pageMargins left="0.7" right="0.7" top="0.75" bottom="0.75" header="0.3" footer="0.3"/>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גיליון23"/>
  <dimension ref="O28:R43"/>
  <sheetViews>
    <sheetView showGridLines="0" rightToLeft="1" topLeftCell="A11" workbookViewId="0">
      <selection activeCell="C30" sqref="C30"/>
    </sheetView>
  </sheetViews>
  <sheetFormatPr defaultColWidth="9.140625" defaultRowHeight="12.75" x14ac:dyDescent="0.2"/>
  <cols>
    <col min="1" max="16384" width="9.140625" style="275"/>
  </cols>
  <sheetData>
    <row r="28" spans="15:18" x14ac:dyDescent="0.2">
      <c r="O28" s="1130">
        <v>2011</v>
      </c>
      <c r="P28" s="1130"/>
      <c r="Q28" s="1130"/>
      <c r="R28" s="1130"/>
    </row>
    <row r="29" spans="15:18" x14ac:dyDescent="0.2">
      <c r="O29" s="275">
        <f>2.7</f>
        <v>2.7</v>
      </c>
      <c r="P29" s="275">
        <f>Q29*O29</f>
        <v>0.52110000000000001</v>
      </c>
      <c r="Q29" s="319">
        <v>0.193</v>
      </c>
      <c r="R29" s="275" t="s">
        <v>106</v>
      </c>
    </row>
    <row r="30" spans="15:18" x14ac:dyDescent="0.2">
      <c r="O30" s="275">
        <v>5.9</v>
      </c>
      <c r="P30" s="275">
        <f>Q30*O30</f>
        <v>0.83189999999999997</v>
      </c>
      <c r="Q30" s="319">
        <v>0.14099999999999999</v>
      </c>
      <c r="R30" s="275" t="s">
        <v>223</v>
      </c>
    </row>
    <row r="31" spans="15:18" x14ac:dyDescent="0.2">
      <c r="O31" s="275">
        <v>5.58</v>
      </c>
      <c r="P31" s="275">
        <f>Q31*O31</f>
        <v>0.82025999999999999</v>
      </c>
      <c r="Q31" s="319">
        <v>0.14699999999999999</v>
      </c>
      <c r="R31" s="275" t="s">
        <v>107</v>
      </c>
    </row>
    <row r="33" spans="15:18" x14ac:dyDescent="0.2">
      <c r="O33" s="1130">
        <v>2012</v>
      </c>
      <c r="P33" s="1130"/>
      <c r="Q33" s="1130"/>
      <c r="R33" s="1130"/>
    </row>
    <row r="34" spans="15:18" x14ac:dyDescent="0.2">
      <c r="O34" s="275">
        <v>3.4</v>
      </c>
      <c r="P34" s="275">
        <f>Q34*O34</f>
        <v>0.73439999999999994</v>
      </c>
      <c r="Q34" s="319">
        <v>0.216</v>
      </c>
      <c r="R34" s="275" t="s">
        <v>106</v>
      </c>
    </row>
    <row r="35" spans="15:18" x14ac:dyDescent="0.2">
      <c r="O35" s="275">
        <v>7.3</v>
      </c>
      <c r="P35" s="275">
        <f>Q35*O35</f>
        <v>1.0074000000000001</v>
      </c>
      <c r="Q35" s="319">
        <v>0.13800000000000001</v>
      </c>
      <c r="R35" s="275" t="s">
        <v>223</v>
      </c>
    </row>
    <row r="36" spans="15:18" x14ac:dyDescent="0.2">
      <c r="O36" s="275">
        <v>6.3</v>
      </c>
      <c r="P36" s="275">
        <f>Q36*O36</f>
        <v>0.81269999999999998</v>
      </c>
      <c r="Q36" s="319">
        <v>0.129</v>
      </c>
      <c r="R36" s="275" t="s">
        <v>107</v>
      </c>
    </row>
    <row r="39" spans="15:18" x14ac:dyDescent="0.2">
      <c r="P39" s="275">
        <v>2011</v>
      </c>
      <c r="Q39" s="275">
        <v>2012</v>
      </c>
    </row>
    <row r="40" spans="15:18" x14ac:dyDescent="0.2">
      <c r="P40" s="368">
        <f>P29+P30+P31</f>
        <v>2.17326</v>
      </c>
      <c r="Q40" s="368">
        <f>P34+P35+P36</f>
        <v>2.5545</v>
      </c>
    </row>
    <row r="41" spans="15:18" x14ac:dyDescent="0.2">
      <c r="P41" s="368" t="e">
        <f>#REF!</f>
        <v>#REF!</v>
      </c>
      <c r="Q41" s="368" t="e">
        <f>#REF!</f>
        <v>#REF!</v>
      </c>
    </row>
    <row r="42" spans="15:18" x14ac:dyDescent="0.2">
      <c r="P42" s="275" t="e">
        <f>#REF!</f>
        <v>#REF!</v>
      </c>
      <c r="Q42" s="368" t="e">
        <f>#REF!</f>
        <v>#REF!</v>
      </c>
    </row>
    <row r="43" spans="15:18" x14ac:dyDescent="0.2">
      <c r="P43" s="368" t="e">
        <f>SUM(P40:P42)</f>
        <v>#REF!</v>
      </c>
      <c r="Q43" s="368" t="e">
        <f>SUM(Q40:Q42)</f>
        <v>#REF!</v>
      </c>
    </row>
  </sheetData>
  <mergeCells count="2">
    <mergeCell ref="O28:R28"/>
    <mergeCell ref="O33:R3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גיליון24"/>
  <dimension ref="F3:U62"/>
  <sheetViews>
    <sheetView showGridLines="0" rightToLeft="1" topLeftCell="E12" workbookViewId="0">
      <selection activeCell="F39" sqref="F39"/>
    </sheetView>
  </sheetViews>
  <sheetFormatPr defaultRowHeight="12.75" x14ac:dyDescent="0.2"/>
  <cols>
    <col min="6" max="6" width="15.42578125" customWidth="1"/>
    <col min="7" max="14" width="6.7109375" customWidth="1"/>
    <col min="15" max="15" width="36.85546875" customWidth="1"/>
    <col min="16" max="16" width="18.28515625" hidden="1" customWidth="1"/>
  </cols>
  <sheetData>
    <row r="3" spans="6:16" ht="13.5" thickBot="1" x14ac:dyDescent="0.25"/>
    <row r="4" spans="6:16" ht="15.75" thickTop="1" x14ac:dyDescent="0.25">
      <c r="F4" s="1128" t="s">
        <v>378</v>
      </c>
      <c r="G4" s="1128"/>
      <c r="H4" s="1128"/>
      <c r="I4" s="1128"/>
      <c r="J4" s="1128"/>
      <c r="K4" s="1128"/>
      <c r="L4" s="1128"/>
      <c r="M4" s="1128"/>
      <c r="N4" s="1128"/>
      <c r="O4" s="1128"/>
      <c r="P4" s="1128"/>
    </row>
    <row r="5" spans="6:16" ht="25.5" x14ac:dyDescent="0.2">
      <c r="F5" s="314" t="s">
        <v>356</v>
      </c>
      <c r="G5" s="1134" t="s">
        <v>361</v>
      </c>
      <c r="H5" s="1135"/>
      <c r="I5" s="1135"/>
      <c r="J5" s="1135"/>
      <c r="K5" s="1135"/>
      <c r="L5" s="1135"/>
      <c r="M5" s="1135"/>
      <c r="N5" s="1136"/>
      <c r="O5" s="316" t="s">
        <v>362</v>
      </c>
      <c r="P5" s="374" t="s">
        <v>373</v>
      </c>
    </row>
    <row r="6" spans="6:16" ht="38.25" x14ac:dyDescent="0.2">
      <c r="F6" s="317" t="s">
        <v>357</v>
      </c>
      <c r="G6" s="1137" t="s">
        <v>372</v>
      </c>
      <c r="H6" s="1138"/>
      <c r="I6" s="1138"/>
      <c r="J6" s="1138"/>
      <c r="K6" s="1138"/>
      <c r="L6" s="1138"/>
      <c r="M6" s="1138"/>
      <c r="N6" s="1139"/>
      <c r="O6" s="369" t="s">
        <v>424</v>
      </c>
      <c r="P6" s="373" t="s">
        <v>382</v>
      </c>
    </row>
    <row r="7" spans="6:16" ht="51" x14ac:dyDescent="0.2">
      <c r="F7" s="317" t="s">
        <v>358</v>
      </c>
      <c r="G7" s="1140" t="s">
        <v>359</v>
      </c>
      <c r="H7" s="1132"/>
      <c r="I7" s="1132"/>
      <c r="J7" s="1132"/>
      <c r="K7" s="1132"/>
      <c r="L7" s="1132"/>
      <c r="M7" s="1132"/>
      <c r="N7" s="1133"/>
      <c r="O7" s="369" t="s">
        <v>425</v>
      </c>
      <c r="P7" s="274" t="s">
        <v>381</v>
      </c>
    </row>
    <row r="8" spans="6:16" ht="76.5" x14ac:dyDescent="0.2">
      <c r="F8" s="226" t="s">
        <v>420</v>
      </c>
      <c r="G8" s="1131" t="s">
        <v>426</v>
      </c>
      <c r="H8" s="1141"/>
      <c r="I8" s="1141"/>
      <c r="J8" s="1141"/>
      <c r="K8" s="1141"/>
      <c r="L8" s="1141"/>
      <c r="M8" s="1141"/>
      <c r="N8" s="1142"/>
      <c r="O8" s="369" t="s">
        <v>379</v>
      </c>
      <c r="P8" s="274" t="s">
        <v>380</v>
      </c>
    </row>
    <row r="9" spans="6:16" ht="82.5" customHeight="1" x14ac:dyDescent="0.2">
      <c r="F9" s="226" t="s">
        <v>363</v>
      </c>
      <c r="G9" s="1140" t="s">
        <v>360</v>
      </c>
      <c r="H9" s="1132"/>
      <c r="I9" s="1132"/>
      <c r="J9" s="1132"/>
      <c r="K9" s="1132"/>
      <c r="L9" s="1132"/>
      <c r="M9" s="1132"/>
      <c r="N9" s="1133"/>
      <c r="O9" s="369" t="s">
        <v>364</v>
      </c>
      <c r="P9" s="274" t="s">
        <v>377</v>
      </c>
    </row>
    <row r="10" spans="6:16" ht="38.25" x14ac:dyDescent="0.2">
      <c r="F10" s="226" t="s">
        <v>376</v>
      </c>
      <c r="G10" s="1131" t="s">
        <v>374</v>
      </c>
      <c r="H10" s="1132"/>
      <c r="I10" s="1132"/>
      <c r="J10" s="1132"/>
      <c r="K10" s="1132"/>
      <c r="L10" s="1132"/>
      <c r="M10" s="1132"/>
      <c r="N10" s="1133"/>
      <c r="O10" s="369" t="s">
        <v>375</v>
      </c>
      <c r="P10" s="378" t="s">
        <v>385</v>
      </c>
    </row>
    <row r="11" spans="6:16" ht="51" x14ac:dyDescent="0.2">
      <c r="F11" s="226" t="s">
        <v>383</v>
      </c>
      <c r="G11" s="1131" t="s">
        <v>384</v>
      </c>
      <c r="H11" s="1132"/>
      <c r="I11" s="1132"/>
      <c r="J11" s="1132"/>
      <c r="K11" s="1132"/>
      <c r="L11" s="1132"/>
      <c r="M11" s="1132"/>
      <c r="N11" s="1133"/>
      <c r="O11" s="369" t="s">
        <v>423</v>
      </c>
      <c r="P11" s="378" t="s">
        <v>386</v>
      </c>
    </row>
    <row r="14" spans="6:16" x14ac:dyDescent="0.2">
      <c r="F14" s="377" t="s">
        <v>392</v>
      </c>
    </row>
    <row r="16" spans="6:16" x14ac:dyDescent="0.2">
      <c r="F16" s="49" t="s">
        <v>387</v>
      </c>
      <c r="J16" s="159"/>
    </row>
    <row r="17" spans="6:10" x14ac:dyDescent="0.2">
      <c r="F17" s="159" t="s">
        <v>427</v>
      </c>
      <c r="J17" s="159"/>
    </row>
    <row r="18" spans="6:10" x14ac:dyDescent="0.2">
      <c r="F18" s="49" t="s">
        <v>388</v>
      </c>
    </row>
    <row r="19" spans="6:10" x14ac:dyDescent="0.2">
      <c r="F19" s="159" t="s">
        <v>428</v>
      </c>
    </row>
    <row r="20" spans="6:10" x14ac:dyDescent="0.2">
      <c r="F20" s="159" t="s">
        <v>429</v>
      </c>
    </row>
    <row r="21" spans="6:10" x14ac:dyDescent="0.2">
      <c r="F21" s="49" t="s">
        <v>389</v>
      </c>
    </row>
    <row r="22" spans="6:10" x14ac:dyDescent="0.2">
      <c r="F22" s="159" t="s">
        <v>430</v>
      </c>
    </row>
    <row r="23" spans="6:10" x14ac:dyDescent="0.2">
      <c r="F23" s="49" t="s">
        <v>390</v>
      </c>
    </row>
    <row r="24" spans="6:10" x14ac:dyDescent="0.2">
      <c r="F24" s="49" t="s">
        <v>391</v>
      </c>
    </row>
    <row r="25" spans="6:10" x14ac:dyDescent="0.2">
      <c r="F25" s="159" t="s">
        <v>431</v>
      </c>
    </row>
    <row r="26" spans="6:10" x14ac:dyDescent="0.2">
      <c r="F26" s="159" t="s">
        <v>432</v>
      </c>
    </row>
    <row r="27" spans="6:10" x14ac:dyDescent="0.2">
      <c r="F27" s="49" t="s">
        <v>393</v>
      </c>
    </row>
    <row r="28" spans="6:10" x14ac:dyDescent="0.2">
      <c r="F28" s="159" t="s">
        <v>433</v>
      </c>
    </row>
    <row r="29" spans="6:10" x14ac:dyDescent="0.2">
      <c r="F29" s="159" t="s">
        <v>400</v>
      </c>
    </row>
    <row r="31" spans="6:10" x14ac:dyDescent="0.2">
      <c r="F31" s="377" t="s">
        <v>394</v>
      </c>
    </row>
    <row r="32" spans="6:10" x14ac:dyDescent="0.2">
      <c r="F32" s="159" t="s">
        <v>395</v>
      </c>
    </row>
    <row r="33" spans="6:21" x14ac:dyDescent="0.2">
      <c r="F33" s="159" t="s">
        <v>437</v>
      </c>
    </row>
    <row r="34" spans="6:21" x14ac:dyDescent="0.2">
      <c r="F34" s="159" t="s">
        <v>398</v>
      </c>
    </row>
    <row r="35" spans="6:21" x14ac:dyDescent="0.2">
      <c r="F35" s="159" t="s">
        <v>399</v>
      </c>
    </row>
    <row r="36" spans="6:21" x14ac:dyDescent="0.2">
      <c r="F36" s="159" t="s">
        <v>396</v>
      </c>
    </row>
    <row r="37" spans="6:21" x14ac:dyDescent="0.2">
      <c r="F37" s="159" t="s">
        <v>397</v>
      </c>
    </row>
    <row r="38" spans="6:21" x14ac:dyDescent="0.2">
      <c r="F38" s="159" t="s">
        <v>434</v>
      </c>
    </row>
    <row r="39" spans="6:21" x14ac:dyDescent="0.2">
      <c r="F39" s="159" t="s">
        <v>436</v>
      </c>
    </row>
    <row r="40" spans="6:21" x14ac:dyDescent="0.2">
      <c r="F40" s="159" t="s">
        <v>435</v>
      </c>
    </row>
    <row r="42" spans="6:21" x14ac:dyDescent="0.2">
      <c r="F42" s="377" t="s">
        <v>401</v>
      </c>
      <c r="U42" s="170">
        <f>19.5/15-1</f>
        <v>0.30000000000000004</v>
      </c>
    </row>
    <row r="44" spans="6:21" x14ac:dyDescent="0.2">
      <c r="F44" s="159" t="s">
        <v>403</v>
      </c>
    </row>
    <row r="45" spans="6:21" x14ac:dyDescent="0.2">
      <c r="F45" s="159" t="s">
        <v>417</v>
      </c>
    </row>
    <row r="46" spans="6:21" x14ac:dyDescent="0.2">
      <c r="F46" s="159" t="s">
        <v>402</v>
      </c>
    </row>
    <row r="47" spans="6:21" x14ac:dyDescent="0.2">
      <c r="F47" s="159" t="s">
        <v>404</v>
      </c>
    </row>
    <row r="49" spans="6:17" x14ac:dyDescent="0.2">
      <c r="F49" s="159"/>
    </row>
    <row r="50" spans="6:17" x14ac:dyDescent="0.2">
      <c r="F50" s="159" t="s">
        <v>405</v>
      </c>
      <c r="K50" s="181" t="e">
        <f>#REF!</f>
        <v>#REF!</v>
      </c>
      <c r="M50" s="159" t="s">
        <v>419</v>
      </c>
      <c r="O50" t="e">
        <f>K50*1.3</f>
        <v>#REF!</v>
      </c>
      <c r="P50" s="375">
        <v>0.2</v>
      </c>
      <c r="Q50" t="e">
        <f>O50*P50+O51*P51</f>
        <v>#REF!</v>
      </c>
    </row>
    <row r="51" spans="6:17" x14ac:dyDescent="0.2">
      <c r="F51" s="159" t="s">
        <v>406</v>
      </c>
      <c r="K51" s="52">
        <f>24.98%-5.29%</f>
        <v>0.19689999999999999</v>
      </c>
      <c r="M51" s="159" t="s">
        <v>418</v>
      </c>
      <c r="O51" t="e">
        <f>#REF!</f>
        <v>#REF!</v>
      </c>
      <c r="P51" s="375">
        <f>1-P50</f>
        <v>0.8</v>
      </c>
    </row>
    <row r="52" spans="6:17" x14ac:dyDescent="0.2">
      <c r="F52" s="159" t="s">
        <v>407</v>
      </c>
      <c r="K52" s="181" t="e">
        <f>K50*(1-K51)</f>
        <v>#REF!</v>
      </c>
      <c r="M52" s="159" t="s">
        <v>281</v>
      </c>
      <c r="O52" s="181" t="e">
        <f>K50</f>
        <v>#REF!</v>
      </c>
    </row>
    <row r="53" spans="6:17" x14ac:dyDescent="0.2">
      <c r="F53" s="159" t="s">
        <v>408</v>
      </c>
      <c r="K53" s="375">
        <v>0.2</v>
      </c>
    </row>
    <row r="54" spans="6:17" x14ac:dyDescent="0.2">
      <c r="F54" s="159" t="s">
        <v>409</v>
      </c>
      <c r="K54" s="181" t="e">
        <f>(K50-((1-K53)*K52))/K53</f>
        <v>#REF!</v>
      </c>
    </row>
    <row r="55" spans="6:17" x14ac:dyDescent="0.2">
      <c r="F55" s="159" t="s">
        <v>410</v>
      </c>
      <c r="K55" s="52" t="e">
        <f>K54/K50-1</f>
        <v>#REF!</v>
      </c>
    </row>
    <row r="57" spans="6:17" x14ac:dyDescent="0.2">
      <c r="F57" s="159" t="s">
        <v>411</v>
      </c>
      <c r="K57" s="51" t="e">
        <f>#REF!</f>
        <v>#REF!</v>
      </c>
    </row>
    <row r="58" spans="6:17" x14ac:dyDescent="0.2">
      <c r="F58" s="159" t="s">
        <v>412</v>
      </c>
      <c r="K58" s="51">
        <v>35425</v>
      </c>
    </row>
    <row r="59" spans="6:17" s="382" customFormat="1" ht="25.5" x14ac:dyDescent="0.2">
      <c r="F59" s="381" t="s">
        <v>413</v>
      </c>
      <c r="K59" s="383">
        <f>52.29%</f>
        <v>0.52290000000000003</v>
      </c>
    </row>
    <row r="60" spans="6:17" x14ac:dyDescent="0.2">
      <c r="F60" s="159" t="s">
        <v>414</v>
      </c>
      <c r="K60" s="52" t="e">
        <f>K59*K57/K58</f>
        <v>#REF!</v>
      </c>
    </row>
    <row r="61" spans="6:17" x14ac:dyDescent="0.2">
      <c r="F61" s="159" t="s">
        <v>415</v>
      </c>
      <c r="K61">
        <f>0.28*4</f>
        <v>1.1200000000000001</v>
      </c>
    </row>
    <row r="62" spans="6:17" x14ac:dyDescent="0.2">
      <c r="F62" s="159"/>
    </row>
  </sheetData>
  <mergeCells count="8">
    <mergeCell ref="G11:N11"/>
    <mergeCell ref="F4:P4"/>
    <mergeCell ref="G10:N10"/>
    <mergeCell ref="G5:N5"/>
    <mergeCell ref="G6:N6"/>
    <mergeCell ref="G7:N7"/>
    <mergeCell ref="G9:N9"/>
    <mergeCell ref="G8:N8"/>
  </mergeCells>
  <pageMargins left="0.7" right="0.7" top="0.75" bottom="0.75" header="0.3" footer="0.3"/>
  <pageSetup paperSize="9"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גיליון31"/>
  <dimension ref="B4:B26"/>
  <sheetViews>
    <sheetView showGridLines="0" rightToLeft="1" workbookViewId="0">
      <selection activeCell="B8" sqref="B8"/>
    </sheetView>
  </sheetViews>
  <sheetFormatPr defaultRowHeight="12.75" x14ac:dyDescent="0.2"/>
  <sheetData>
    <row r="4" spans="2:2" x14ac:dyDescent="0.2">
      <c r="B4" s="161" t="s">
        <v>182</v>
      </c>
    </row>
    <row r="5" spans="2:2" x14ac:dyDescent="0.2">
      <c r="B5" s="161"/>
    </row>
    <row r="6" spans="2:2" x14ac:dyDescent="0.2">
      <c r="B6" s="160" t="s">
        <v>183</v>
      </c>
    </row>
    <row r="7" spans="2:2" x14ac:dyDescent="0.2">
      <c r="B7" s="160" t="s">
        <v>184</v>
      </c>
    </row>
    <row r="8" spans="2:2" x14ac:dyDescent="0.2">
      <c r="B8" s="160" t="s">
        <v>185</v>
      </c>
    </row>
    <row r="9" spans="2:2" x14ac:dyDescent="0.2">
      <c r="B9" s="160"/>
    </row>
    <row r="10" spans="2:2" x14ac:dyDescent="0.2">
      <c r="B10" s="161" t="s">
        <v>186</v>
      </c>
    </row>
    <row r="11" spans="2:2" x14ac:dyDescent="0.2">
      <c r="B11" s="161" t="s">
        <v>187</v>
      </c>
    </row>
    <row r="12" spans="2:2" x14ac:dyDescent="0.2">
      <c r="B12" s="160" t="s">
        <v>188</v>
      </c>
    </row>
    <row r="13" spans="2:2" x14ac:dyDescent="0.2">
      <c r="B13" s="160" t="s">
        <v>189</v>
      </c>
    </row>
    <row r="14" spans="2:2" x14ac:dyDescent="0.2">
      <c r="B14" s="160" t="s">
        <v>190</v>
      </c>
    </row>
    <row r="15" spans="2:2" x14ac:dyDescent="0.2">
      <c r="B15" s="160" t="s">
        <v>191</v>
      </c>
    </row>
    <row r="16" spans="2:2" x14ac:dyDescent="0.2">
      <c r="B16" s="160" t="s">
        <v>192</v>
      </c>
    </row>
    <row r="17" spans="2:2" x14ac:dyDescent="0.2">
      <c r="B17" s="160" t="s">
        <v>193</v>
      </c>
    </row>
    <row r="18" spans="2:2" x14ac:dyDescent="0.2">
      <c r="B18" s="160" t="s">
        <v>194</v>
      </c>
    </row>
    <row r="19" spans="2:2" x14ac:dyDescent="0.2">
      <c r="B19" s="160" t="s">
        <v>195</v>
      </c>
    </row>
    <row r="20" spans="2:2" x14ac:dyDescent="0.2">
      <c r="B20" s="160" t="s">
        <v>196</v>
      </c>
    </row>
    <row r="21" spans="2:2" x14ac:dyDescent="0.2">
      <c r="B21" s="160" t="s">
        <v>197</v>
      </c>
    </row>
    <row r="22" spans="2:2" x14ac:dyDescent="0.2">
      <c r="B22" s="160" t="s">
        <v>198</v>
      </c>
    </row>
    <row r="23" spans="2:2" x14ac:dyDescent="0.2">
      <c r="B23" s="160" t="s">
        <v>199</v>
      </c>
    </row>
    <row r="24" spans="2:2" x14ac:dyDescent="0.2">
      <c r="B24" s="160" t="s">
        <v>200</v>
      </c>
    </row>
    <row r="25" spans="2:2" x14ac:dyDescent="0.2">
      <c r="B25" s="160" t="s">
        <v>201</v>
      </c>
    </row>
    <row r="26" spans="2:2" x14ac:dyDescent="0.2">
      <c r="B26" s="160" t="s">
        <v>202</v>
      </c>
    </row>
  </sheetData>
  <printOptions horizontalCentered="1"/>
  <pageMargins left="0.70866141732283472" right="0.70866141732283472" top="0.74803149606299213" bottom="0.74803149606299213" header="0.31496062992125984" footer="0.31496062992125984"/>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גיליון37"/>
  <dimension ref="B1:N62"/>
  <sheetViews>
    <sheetView showGridLines="0" rightToLeft="1" topLeftCell="C16" workbookViewId="0">
      <selection activeCell="G20" sqref="G20:G26"/>
    </sheetView>
  </sheetViews>
  <sheetFormatPr defaultColWidth="9.140625" defaultRowHeight="12.75" x14ac:dyDescent="0.2"/>
  <cols>
    <col min="1" max="1" width="9.140625" style="275"/>
    <col min="2" max="2" width="13.85546875" style="275" bestFit="1" customWidth="1"/>
    <col min="3" max="3" width="16.85546875" style="275" bestFit="1" customWidth="1"/>
    <col min="4" max="6" width="9.140625" style="275"/>
    <col min="7" max="7" width="8.140625" style="275" customWidth="1"/>
    <col min="8" max="12" width="9.140625" style="275"/>
    <col min="13" max="13" width="12.85546875" style="275" customWidth="1"/>
    <col min="14" max="14" width="10.7109375" style="275" customWidth="1"/>
    <col min="15" max="16384" width="9.140625" style="275"/>
  </cols>
  <sheetData>
    <row r="1" spans="3:9" ht="13.5" thickBot="1" x14ac:dyDescent="0.25"/>
    <row r="2" spans="3:9" ht="15.75" thickTop="1" x14ac:dyDescent="0.2">
      <c r="C2" s="1143" t="s">
        <v>331</v>
      </c>
      <c r="D2" s="1143"/>
      <c r="E2" s="1143"/>
      <c r="F2" s="1143"/>
      <c r="G2" s="1143"/>
      <c r="H2" s="1143"/>
      <c r="I2" s="1143"/>
    </row>
    <row r="3" spans="3:9" ht="2.25" customHeight="1" x14ac:dyDescent="0.2">
      <c r="C3" s="1146"/>
      <c r="D3" s="1146"/>
      <c r="E3" s="1146"/>
      <c r="F3" s="1146"/>
      <c r="G3" s="1146"/>
      <c r="H3" s="1146"/>
      <c r="I3" s="1146"/>
    </row>
    <row r="4" spans="3:9" ht="25.5" customHeight="1" x14ac:dyDescent="0.2">
      <c r="C4" s="1144" t="s">
        <v>325</v>
      </c>
      <c r="D4" s="290" t="s">
        <v>326</v>
      </c>
      <c r="E4" s="291">
        <f>E5/$C$56</f>
        <v>804.72103004291841</v>
      </c>
      <c r="F4" s="291">
        <f>F5/$C$56</f>
        <v>1072.9613733905578</v>
      </c>
      <c r="G4" s="296">
        <f>G5/$C$56</f>
        <v>1341.2017167381973</v>
      </c>
      <c r="H4" s="291">
        <f>H5/$C$56</f>
        <v>1609.4420600858368</v>
      </c>
      <c r="I4" s="292">
        <f>I5/$C$56</f>
        <v>1877.6824034334763</v>
      </c>
    </row>
    <row r="5" spans="3:9" x14ac:dyDescent="0.2">
      <c r="C5" s="1145"/>
      <c r="D5" s="299" t="s">
        <v>327</v>
      </c>
      <c r="E5" s="300">
        <v>3000</v>
      </c>
      <c r="F5" s="300">
        <v>4000</v>
      </c>
      <c r="G5" s="300">
        <v>5000</v>
      </c>
      <c r="H5" s="300">
        <v>6000</v>
      </c>
      <c r="I5" s="301">
        <v>7000</v>
      </c>
    </row>
    <row r="6" spans="3:9" x14ac:dyDescent="0.2">
      <c r="C6" s="279" t="s">
        <v>328</v>
      </c>
      <c r="D6" s="280">
        <v>0.4</v>
      </c>
      <c r="E6" s="282">
        <f t="shared" ref="E6:E12" si="0">$E$4*D6</f>
        <v>321.88841201716741</v>
      </c>
      <c r="F6" s="282">
        <f t="shared" ref="F6:F12" si="1">$F$4*D6</f>
        <v>429.18454935622316</v>
      </c>
      <c r="G6" s="297">
        <f t="shared" ref="G6:G12" si="2">$G$4*D6</f>
        <v>536.48068669527891</v>
      </c>
      <c r="H6" s="282">
        <f t="shared" ref="H6:H12" si="3">$H$4*D6</f>
        <v>643.77682403433482</v>
      </c>
      <c r="I6" s="283">
        <f>$I$4*D6</f>
        <v>751.07296137339063</v>
      </c>
    </row>
    <row r="7" spans="3:9" x14ac:dyDescent="0.2">
      <c r="C7" s="281"/>
      <c r="D7" s="280">
        <v>0.5</v>
      </c>
      <c r="E7" s="282">
        <f t="shared" si="0"/>
        <v>402.36051502145921</v>
      </c>
      <c r="F7" s="282">
        <f t="shared" si="1"/>
        <v>536.48068669527891</v>
      </c>
      <c r="G7" s="297">
        <f t="shared" si="2"/>
        <v>670.60085836909866</v>
      </c>
      <c r="H7" s="282">
        <f t="shared" si="3"/>
        <v>804.72103004291841</v>
      </c>
      <c r="I7" s="283">
        <f t="shared" ref="I7:I12" si="4">$I$4*D7</f>
        <v>938.84120171673817</v>
      </c>
    </row>
    <row r="8" spans="3:9" x14ac:dyDescent="0.2">
      <c r="C8" s="281"/>
      <c r="D8" s="280">
        <v>0.6</v>
      </c>
      <c r="E8" s="282">
        <f t="shared" si="0"/>
        <v>482.832618025751</v>
      </c>
      <c r="F8" s="282">
        <f t="shared" si="1"/>
        <v>643.77682403433471</v>
      </c>
      <c r="G8" s="297">
        <f t="shared" si="2"/>
        <v>804.72103004291841</v>
      </c>
      <c r="H8" s="282">
        <f t="shared" si="3"/>
        <v>965.66523605150201</v>
      </c>
      <c r="I8" s="283">
        <f t="shared" si="4"/>
        <v>1126.6094420600857</v>
      </c>
    </row>
    <row r="9" spans="3:9" x14ac:dyDescent="0.2">
      <c r="C9" s="281"/>
      <c r="D9" s="280">
        <v>0.7</v>
      </c>
      <c r="E9" s="282">
        <f t="shared" si="0"/>
        <v>563.30472103004286</v>
      </c>
      <c r="F9" s="282">
        <f t="shared" si="1"/>
        <v>751.0729613733904</v>
      </c>
      <c r="G9" s="297">
        <f t="shared" si="2"/>
        <v>938.84120171673806</v>
      </c>
      <c r="H9" s="282">
        <f t="shared" si="3"/>
        <v>1126.6094420600857</v>
      </c>
      <c r="I9" s="283">
        <f t="shared" si="4"/>
        <v>1314.3776824034333</v>
      </c>
    </row>
    <row r="10" spans="3:9" x14ac:dyDescent="0.2">
      <c r="C10" s="281"/>
      <c r="D10" s="280">
        <v>0.8</v>
      </c>
      <c r="E10" s="282">
        <f t="shared" si="0"/>
        <v>643.77682403433482</v>
      </c>
      <c r="F10" s="282">
        <f t="shared" si="1"/>
        <v>858.36909871244632</v>
      </c>
      <c r="G10" s="297">
        <f t="shared" si="2"/>
        <v>1072.9613733905578</v>
      </c>
      <c r="H10" s="282">
        <f t="shared" si="3"/>
        <v>1287.5536480686696</v>
      </c>
      <c r="I10" s="283">
        <f t="shared" si="4"/>
        <v>1502.1459227467813</v>
      </c>
    </row>
    <row r="11" spans="3:9" x14ac:dyDescent="0.2">
      <c r="C11" s="281"/>
      <c r="D11" s="280">
        <v>0.9</v>
      </c>
      <c r="E11" s="282">
        <f t="shared" si="0"/>
        <v>724.24892703862656</v>
      </c>
      <c r="F11" s="282">
        <f t="shared" si="1"/>
        <v>965.66523605150201</v>
      </c>
      <c r="G11" s="297">
        <f t="shared" si="2"/>
        <v>1207.0815450643777</v>
      </c>
      <c r="H11" s="282">
        <f t="shared" si="3"/>
        <v>1448.4978540772531</v>
      </c>
      <c r="I11" s="283">
        <f t="shared" si="4"/>
        <v>1689.9141630901288</v>
      </c>
    </row>
    <row r="12" spans="3:9" x14ac:dyDescent="0.2">
      <c r="C12" s="285"/>
      <c r="D12" s="286">
        <v>1</v>
      </c>
      <c r="E12" s="282">
        <f t="shared" si="0"/>
        <v>804.72103004291841</v>
      </c>
      <c r="F12" s="287">
        <f t="shared" si="1"/>
        <v>1072.9613733905578</v>
      </c>
      <c r="G12" s="298">
        <f t="shared" si="2"/>
        <v>1341.2017167381973</v>
      </c>
      <c r="H12" s="287">
        <f t="shared" si="3"/>
        <v>1609.4420600858368</v>
      </c>
      <c r="I12" s="288">
        <f t="shared" si="4"/>
        <v>1877.6824034334763</v>
      </c>
    </row>
    <row r="13" spans="3:9" ht="25.5" x14ac:dyDescent="0.2">
      <c r="C13" s="226" t="s">
        <v>329</v>
      </c>
      <c r="D13" s="280">
        <v>0.4</v>
      </c>
      <c r="E13" s="321">
        <f t="shared" ref="E13:E19" si="5">$E$4*D13/$C$14</f>
        <v>32.188841201716741</v>
      </c>
      <c r="F13" s="282">
        <f t="shared" ref="F13:F19" si="6">$F$4*D13/$C$14</f>
        <v>42.918454935622314</v>
      </c>
      <c r="G13" s="297">
        <f t="shared" ref="G13:G19" si="7">$G$4*D13/$C$14</f>
        <v>53.648068669527888</v>
      </c>
      <c r="H13" s="282">
        <f t="shared" ref="H13:H19" si="8">$H$4*D13/$C$14</f>
        <v>64.377682403433482</v>
      </c>
      <c r="I13" s="283">
        <f t="shared" ref="I13:I19" si="9">$I$4*D13/$C$14</f>
        <v>75.107296137339063</v>
      </c>
    </row>
    <row r="14" spans="3:9" x14ac:dyDescent="0.2">
      <c r="C14" s="293">
        <v>10</v>
      </c>
      <c r="D14" s="280">
        <v>0.5</v>
      </c>
      <c r="E14" s="282">
        <f t="shared" si="5"/>
        <v>40.236051502145919</v>
      </c>
      <c r="F14" s="282">
        <f t="shared" si="6"/>
        <v>53.648068669527888</v>
      </c>
      <c r="G14" s="297">
        <f t="shared" si="7"/>
        <v>67.060085836909863</v>
      </c>
      <c r="H14" s="282">
        <f t="shared" si="8"/>
        <v>80.472103004291839</v>
      </c>
      <c r="I14" s="283">
        <f t="shared" si="9"/>
        <v>93.884120171673814</v>
      </c>
    </row>
    <row r="15" spans="3:9" x14ac:dyDescent="0.2">
      <c r="C15" s="281"/>
      <c r="D15" s="280">
        <v>0.6</v>
      </c>
      <c r="E15" s="282">
        <f t="shared" si="5"/>
        <v>48.283261802575097</v>
      </c>
      <c r="F15" s="282">
        <f t="shared" si="6"/>
        <v>64.377682403433468</v>
      </c>
      <c r="G15" s="297">
        <f t="shared" si="7"/>
        <v>80.472103004291839</v>
      </c>
      <c r="H15" s="282">
        <f t="shared" si="8"/>
        <v>96.566523605150195</v>
      </c>
      <c r="I15" s="283">
        <f t="shared" si="9"/>
        <v>112.66094420600857</v>
      </c>
    </row>
    <row r="16" spans="3:9" x14ac:dyDescent="0.2">
      <c r="C16" s="281"/>
      <c r="D16" s="280">
        <v>0.7</v>
      </c>
      <c r="E16" s="282">
        <f t="shared" si="5"/>
        <v>56.330472103004283</v>
      </c>
      <c r="F16" s="282">
        <f t="shared" si="6"/>
        <v>75.107296137339034</v>
      </c>
      <c r="G16" s="297">
        <f t="shared" si="7"/>
        <v>93.8841201716738</v>
      </c>
      <c r="H16" s="282">
        <f t="shared" si="8"/>
        <v>112.66094420600857</v>
      </c>
      <c r="I16" s="283">
        <f t="shared" si="9"/>
        <v>131.43776824034333</v>
      </c>
    </row>
    <row r="17" spans="3:12" x14ac:dyDescent="0.2">
      <c r="C17" s="281"/>
      <c r="D17" s="280">
        <v>0.8</v>
      </c>
      <c r="E17" s="282">
        <f t="shared" si="5"/>
        <v>64.377682403433482</v>
      </c>
      <c r="F17" s="282">
        <f t="shared" si="6"/>
        <v>85.836909871244629</v>
      </c>
      <c r="G17" s="297">
        <f t="shared" si="7"/>
        <v>107.29613733905578</v>
      </c>
      <c r="H17" s="282">
        <f t="shared" si="8"/>
        <v>128.75536480686696</v>
      </c>
      <c r="I17" s="283">
        <f t="shared" si="9"/>
        <v>150.21459227467813</v>
      </c>
    </row>
    <row r="18" spans="3:12" x14ac:dyDescent="0.2">
      <c r="C18" s="281"/>
      <c r="D18" s="280">
        <v>0.9</v>
      </c>
      <c r="E18" s="282">
        <f t="shared" si="5"/>
        <v>72.424892703862653</v>
      </c>
      <c r="F18" s="282">
        <f t="shared" si="6"/>
        <v>96.566523605150195</v>
      </c>
      <c r="G18" s="297">
        <f t="shared" si="7"/>
        <v>120.70815450643777</v>
      </c>
      <c r="H18" s="282">
        <f t="shared" si="8"/>
        <v>144.84978540772531</v>
      </c>
      <c r="I18" s="283">
        <f t="shared" si="9"/>
        <v>168.99141630901289</v>
      </c>
    </row>
    <row r="19" spans="3:12" x14ac:dyDescent="0.2">
      <c r="C19" s="285"/>
      <c r="D19" s="286">
        <v>1</v>
      </c>
      <c r="E19" s="287">
        <f t="shared" si="5"/>
        <v>80.472103004291839</v>
      </c>
      <c r="F19" s="287">
        <f t="shared" si="6"/>
        <v>107.29613733905578</v>
      </c>
      <c r="G19" s="298">
        <f t="shared" si="7"/>
        <v>134.12017167381973</v>
      </c>
      <c r="H19" s="287">
        <f t="shared" si="8"/>
        <v>160.94420600858368</v>
      </c>
      <c r="I19" s="288">
        <f t="shared" si="9"/>
        <v>187.76824034334763</v>
      </c>
    </row>
    <row r="20" spans="3:12" ht="25.5" x14ac:dyDescent="0.2">
      <c r="C20" s="226" t="s">
        <v>336</v>
      </c>
      <c r="D20" s="280">
        <v>0.4</v>
      </c>
      <c r="E20" s="282">
        <f t="shared" ref="E20:E26" si="10">$E$4*D20/$C$21</f>
        <v>16.941495369324599</v>
      </c>
      <c r="F20" s="282">
        <f t="shared" ref="F20:F26" si="11">$F$4*D20/$C$21</f>
        <v>22.588660492432798</v>
      </c>
      <c r="G20" s="297">
        <f>$G$4*D20/$C$21</f>
        <v>28.235825615540996</v>
      </c>
      <c r="H20" s="282">
        <f>$H$4*D20/$C$21</f>
        <v>33.882990738649198</v>
      </c>
      <c r="I20" s="283">
        <f t="shared" ref="I20:I26" si="12">$I$4*D20/$C$21</f>
        <v>39.5301558617574</v>
      </c>
    </row>
    <row r="21" spans="3:12" x14ac:dyDescent="0.2">
      <c r="C21" s="293">
        <v>19</v>
      </c>
      <c r="D21" s="280">
        <v>0.5</v>
      </c>
      <c r="E21" s="282">
        <f t="shared" si="10"/>
        <v>21.176869211655749</v>
      </c>
      <c r="F21" s="282">
        <f t="shared" si="11"/>
        <v>28.235825615540996</v>
      </c>
      <c r="G21" s="297">
        <f t="shared" ref="G21:G26" si="13">$G$4*D21/$C$21</f>
        <v>35.294782019426243</v>
      </c>
      <c r="H21" s="282">
        <f t="shared" ref="H21:H26" si="14">$H$4*D21/$C$21</f>
        <v>42.353738423311498</v>
      </c>
      <c r="I21" s="283">
        <f t="shared" si="12"/>
        <v>49.412694827196745</v>
      </c>
    </row>
    <row r="22" spans="3:12" ht="14.25" x14ac:dyDescent="0.2">
      <c r="C22" s="281"/>
      <c r="D22" s="280">
        <v>0.6</v>
      </c>
      <c r="E22" s="282">
        <f t="shared" si="10"/>
        <v>25.412243053986895</v>
      </c>
      <c r="F22" s="282">
        <f t="shared" si="11"/>
        <v>33.882990738649198</v>
      </c>
      <c r="G22" s="297">
        <f t="shared" si="13"/>
        <v>42.353738423311498</v>
      </c>
      <c r="H22" s="282">
        <f t="shared" si="14"/>
        <v>50.82448610797379</v>
      </c>
      <c r="I22" s="283">
        <f t="shared" si="12"/>
        <v>59.29523379263609</v>
      </c>
      <c r="J22" s="46"/>
      <c r="K22" s="46"/>
      <c r="L22" s="46"/>
    </row>
    <row r="23" spans="3:12" x14ac:dyDescent="0.2">
      <c r="C23" s="281"/>
      <c r="D23" s="280">
        <v>0.7</v>
      </c>
      <c r="E23" s="282">
        <f t="shared" si="10"/>
        <v>29.647616896318045</v>
      </c>
      <c r="F23" s="282">
        <f t="shared" si="11"/>
        <v>39.530155861757386</v>
      </c>
      <c r="G23" s="297">
        <f t="shared" si="13"/>
        <v>49.412694827196738</v>
      </c>
      <c r="H23" s="282">
        <f t="shared" si="14"/>
        <v>59.29523379263609</v>
      </c>
      <c r="I23" s="283">
        <f t="shared" si="12"/>
        <v>69.177772758075434</v>
      </c>
    </row>
    <row r="24" spans="3:12" x14ac:dyDescent="0.2">
      <c r="C24" s="281"/>
      <c r="D24" s="280">
        <v>0.8</v>
      </c>
      <c r="E24" s="282">
        <f t="shared" si="10"/>
        <v>33.882990738649198</v>
      </c>
      <c r="F24" s="282">
        <f t="shared" si="11"/>
        <v>45.177320984865595</v>
      </c>
      <c r="G24" s="297">
        <f t="shared" si="13"/>
        <v>56.471651231081992</v>
      </c>
      <c r="H24" s="282">
        <f t="shared" si="14"/>
        <v>67.765981477298396</v>
      </c>
      <c r="I24" s="283">
        <f t="shared" si="12"/>
        <v>79.060311723514801</v>
      </c>
    </row>
    <row r="25" spans="3:12" x14ac:dyDescent="0.2">
      <c r="C25" s="281"/>
      <c r="D25" s="280">
        <v>0.9</v>
      </c>
      <c r="E25" s="282">
        <f t="shared" si="10"/>
        <v>38.118364580980348</v>
      </c>
      <c r="F25" s="282">
        <f t="shared" si="11"/>
        <v>50.82448610797379</v>
      </c>
      <c r="G25" s="297">
        <f t="shared" si="13"/>
        <v>63.530607634967247</v>
      </c>
      <c r="H25" s="282">
        <f t="shared" si="14"/>
        <v>76.236729161960696</v>
      </c>
      <c r="I25" s="283">
        <f t="shared" si="12"/>
        <v>88.942850688954152</v>
      </c>
    </row>
    <row r="26" spans="3:12" x14ac:dyDescent="0.2">
      <c r="C26" s="285"/>
      <c r="D26" s="280">
        <v>1</v>
      </c>
      <c r="E26" s="282">
        <f t="shared" si="10"/>
        <v>42.353738423311498</v>
      </c>
      <c r="F26" s="282">
        <f t="shared" si="11"/>
        <v>56.471651231081992</v>
      </c>
      <c r="G26" s="298">
        <f t="shared" si="13"/>
        <v>70.589564038852487</v>
      </c>
      <c r="H26" s="287">
        <f t="shared" si="14"/>
        <v>84.707476846622995</v>
      </c>
      <c r="I26" s="288">
        <f t="shared" si="12"/>
        <v>98.82538965439349</v>
      </c>
    </row>
    <row r="27" spans="3:12" ht="25.5" x14ac:dyDescent="0.2">
      <c r="C27" s="302" t="s">
        <v>330</v>
      </c>
      <c r="D27" s="322">
        <v>0.4</v>
      </c>
      <c r="E27" s="321">
        <f t="shared" ref="E27:I33" si="15">-PV($C$57,$C$14,E13*0.75)</f>
        <v>169.56071316629141</v>
      </c>
      <c r="F27" s="321">
        <f t="shared" si="15"/>
        <v>226.08095088838849</v>
      </c>
      <c r="G27" s="297">
        <f t="shared" si="15"/>
        <v>282.60118861048556</v>
      </c>
      <c r="H27" s="282">
        <f t="shared" si="15"/>
        <v>339.12142633258281</v>
      </c>
      <c r="I27" s="308">
        <f t="shared" si="15"/>
        <v>395.64166405467989</v>
      </c>
    </row>
    <row r="28" spans="3:12" x14ac:dyDescent="0.2">
      <c r="C28" s="281"/>
      <c r="D28" s="280">
        <v>0.5</v>
      </c>
      <c r="E28" s="282">
        <f t="shared" si="15"/>
        <v>211.95089145786417</v>
      </c>
      <c r="F28" s="282">
        <f t="shared" si="15"/>
        <v>282.60118861048556</v>
      </c>
      <c r="G28" s="297">
        <f t="shared" si="15"/>
        <v>353.25148576310693</v>
      </c>
      <c r="H28" s="282">
        <f t="shared" si="15"/>
        <v>423.90178291572835</v>
      </c>
      <c r="I28" s="283">
        <f t="shared" si="15"/>
        <v>494.55208006834977</v>
      </c>
    </row>
    <row r="29" spans="3:12" x14ac:dyDescent="0.2">
      <c r="C29" s="281"/>
      <c r="D29" s="280">
        <v>0.6</v>
      </c>
      <c r="E29" s="282">
        <f t="shared" si="15"/>
        <v>254.34106974943697</v>
      </c>
      <c r="F29" s="282">
        <f t="shared" si="15"/>
        <v>339.1214263325827</v>
      </c>
      <c r="G29" s="297">
        <f t="shared" si="15"/>
        <v>423.90178291572835</v>
      </c>
      <c r="H29" s="282">
        <f t="shared" si="15"/>
        <v>508.68213949887394</v>
      </c>
      <c r="I29" s="283">
        <f t="shared" si="15"/>
        <v>593.4624960820197</v>
      </c>
    </row>
    <row r="30" spans="3:12" x14ac:dyDescent="0.2">
      <c r="C30" s="281"/>
      <c r="D30" s="280">
        <v>0.7</v>
      </c>
      <c r="E30" s="282">
        <f t="shared" si="15"/>
        <v>296.73124804100985</v>
      </c>
      <c r="F30" s="282">
        <f t="shared" si="15"/>
        <v>395.64166405467972</v>
      </c>
      <c r="G30" s="297">
        <f t="shared" si="15"/>
        <v>494.55208006834977</v>
      </c>
      <c r="H30" s="282">
        <f t="shared" si="15"/>
        <v>593.4624960820197</v>
      </c>
      <c r="I30" s="283">
        <f t="shared" si="15"/>
        <v>692.3729120956898</v>
      </c>
    </row>
    <row r="31" spans="3:12" x14ac:dyDescent="0.2">
      <c r="C31" s="281"/>
      <c r="D31" s="280">
        <v>0.8</v>
      </c>
      <c r="E31" s="282">
        <f t="shared" si="15"/>
        <v>339.12142633258281</v>
      </c>
      <c r="F31" s="282">
        <f t="shared" si="15"/>
        <v>452.16190177677697</v>
      </c>
      <c r="G31" s="297">
        <f t="shared" si="15"/>
        <v>565.20237722097113</v>
      </c>
      <c r="H31" s="282">
        <f t="shared" si="15"/>
        <v>678.24285266516563</v>
      </c>
      <c r="I31" s="283">
        <f t="shared" si="15"/>
        <v>791.28332810935979</v>
      </c>
    </row>
    <row r="32" spans="3:12" x14ac:dyDescent="0.2">
      <c r="C32" s="281"/>
      <c r="D32" s="280">
        <v>0.9</v>
      </c>
      <c r="E32" s="282">
        <f t="shared" si="15"/>
        <v>381.5116046241555</v>
      </c>
      <c r="F32" s="282">
        <f t="shared" si="15"/>
        <v>508.68213949887394</v>
      </c>
      <c r="G32" s="297">
        <f t="shared" si="15"/>
        <v>635.85267437359266</v>
      </c>
      <c r="H32" s="282">
        <f t="shared" si="15"/>
        <v>763.02320924831099</v>
      </c>
      <c r="I32" s="283">
        <f t="shared" si="15"/>
        <v>890.19374412302977</v>
      </c>
    </row>
    <row r="33" spans="3:11" x14ac:dyDescent="0.2">
      <c r="C33" s="285"/>
      <c r="D33" s="303">
        <v>1</v>
      </c>
      <c r="E33" s="304">
        <f t="shared" si="15"/>
        <v>423.90178291572835</v>
      </c>
      <c r="F33" s="304">
        <f t="shared" si="15"/>
        <v>565.20237722097113</v>
      </c>
      <c r="G33" s="304">
        <f t="shared" si="15"/>
        <v>706.50297152621386</v>
      </c>
      <c r="H33" s="304">
        <f t="shared" si="15"/>
        <v>847.80356583145669</v>
      </c>
      <c r="I33" s="309">
        <f t="shared" si="15"/>
        <v>989.10416013669953</v>
      </c>
    </row>
    <row r="34" spans="3:11" ht="25.5" x14ac:dyDescent="0.2">
      <c r="C34" s="302" t="s">
        <v>335</v>
      </c>
      <c r="D34" s="280">
        <v>0.4</v>
      </c>
      <c r="E34" s="282">
        <f t="shared" ref="E34:I40" si="16">-PV($C$57,$C$21,E20*0.75)</f>
        <v>131.32532920759067</v>
      </c>
      <c r="F34" s="282">
        <f t="shared" si="16"/>
        <v>175.10043894345424</v>
      </c>
      <c r="G34" s="297">
        <f t="shared" si="16"/>
        <v>218.87554867931777</v>
      </c>
      <c r="H34" s="282">
        <f t="shared" si="16"/>
        <v>262.65065841518134</v>
      </c>
      <c r="I34" s="283">
        <f t="shared" si="16"/>
        <v>306.42576815104491</v>
      </c>
    </row>
    <row r="35" spans="3:11" x14ac:dyDescent="0.2">
      <c r="C35" s="284"/>
      <c r="D35" s="280">
        <v>0.5</v>
      </c>
      <c r="E35" s="282">
        <f t="shared" si="16"/>
        <v>164.15666150948834</v>
      </c>
      <c r="F35" s="282">
        <f t="shared" si="16"/>
        <v>218.87554867931777</v>
      </c>
      <c r="G35" s="297">
        <f t="shared" si="16"/>
        <v>273.5944358491472</v>
      </c>
      <c r="H35" s="282">
        <f t="shared" si="16"/>
        <v>328.31332301897669</v>
      </c>
      <c r="I35" s="283">
        <f t="shared" si="16"/>
        <v>383.03221018880618</v>
      </c>
    </row>
    <row r="36" spans="3:11" x14ac:dyDescent="0.2">
      <c r="C36" s="284"/>
      <c r="D36" s="280">
        <v>0.6</v>
      </c>
      <c r="E36" s="282">
        <f t="shared" si="16"/>
        <v>196.98799381138596</v>
      </c>
      <c r="F36" s="282">
        <f t="shared" si="16"/>
        <v>262.65065841518134</v>
      </c>
      <c r="G36" s="297">
        <f t="shared" si="16"/>
        <v>328.31332301897669</v>
      </c>
      <c r="H36" s="282">
        <f t="shared" si="16"/>
        <v>393.97598762277192</v>
      </c>
      <c r="I36" s="283">
        <f t="shared" si="16"/>
        <v>459.63865222656727</v>
      </c>
      <c r="K36" s="162"/>
    </row>
    <row r="37" spans="3:11" x14ac:dyDescent="0.2">
      <c r="C37" s="284"/>
      <c r="D37" s="280">
        <v>0.7</v>
      </c>
      <c r="E37" s="282">
        <f t="shared" si="16"/>
        <v>229.81932611328364</v>
      </c>
      <c r="F37" s="282">
        <f t="shared" si="16"/>
        <v>306.42576815104485</v>
      </c>
      <c r="G37" s="297">
        <f t="shared" si="16"/>
        <v>383.03221018880612</v>
      </c>
      <c r="H37" s="282">
        <f t="shared" si="16"/>
        <v>459.63865222656727</v>
      </c>
      <c r="I37" s="283">
        <f t="shared" si="16"/>
        <v>536.24509426432849</v>
      </c>
    </row>
    <row r="38" spans="3:11" x14ac:dyDescent="0.2">
      <c r="C38" s="284"/>
      <c r="D38" s="280">
        <v>0.8</v>
      </c>
      <c r="E38" s="282">
        <f t="shared" si="16"/>
        <v>262.65065841518134</v>
      </c>
      <c r="F38" s="282">
        <f t="shared" si="16"/>
        <v>350.20087788690847</v>
      </c>
      <c r="G38" s="297">
        <f t="shared" si="16"/>
        <v>437.75109735863555</v>
      </c>
      <c r="H38" s="282">
        <f t="shared" si="16"/>
        <v>525.30131683036268</v>
      </c>
      <c r="I38" s="283">
        <f t="shared" si="16"/>
        <v>612.85153630208981</v>
      </c>
    </row>
    <row r="39" spans="3:11" x14ac:dyDescent="0.2">
      <c r="C39" s="284"/>
      <c r="D39" s="280">
        <v>0.9</v>
      </c>
      <c r="E39" s="282">
        <f t="shared" si="16"/>
        <v>295.48199071707904</v>
      </c>
      <c r="F39" s="282">
        <f t="shared" si="16"/>
        <v>393.97598762277192</v>
      </c>
      <c r="G39" s="297">
        <f t="shared" si="16"/>
        <v>492.46998452846498</v>
      </c>
      <c r="H39" s="282">
        <f t="shared" si="16"/>
        <v>590.96398143415809</v>
      </c>
      <c r="I39" s="283">
        <f t="shared" si="16"/>
        <v>689.45797833985114</v>
      </c>
    </row>
    <row r="40" spans="3:11" x14ac:dyDescent="0.2">
      <c r="C40" s="289"/>
      <c r="D40" s="286">
        <v>1</v>
      </c>
      <c r="E40" s="287">
        <f t="shared" si="16"/>
        <v>328.31332301897669</v>
      </c>
      <c r="F40" s="287">
        <f t="shared" si="16"/>
        <v>437.75109735863555</v>
      </c>
      <c r="G40" s="298">
        <f t="shared" si="16"/>
        <v>547.18887169829441</v>
      </c>
      <c r="H40" s="287">
        <f t="shared" si="16"/>
        <v>656.62664603795338</v>
      </c>
      <c r="I40" s="288">
        <f t="shared" si="16"/>
        <v>766.06442037761235</v>
      </c>
    </row>
    <row r="41" spans="3:11" ht="25.5" x14ac:dyDescent="0.2">
      <c r="C41" s="302" t="s">
        <v>332</v>
      </c>
      <c r="D41" s="280">
        <v>0.4</v>
      </c>
      <c r="E41" s="294" t="e">
        <f>-E27*#REF!/#REF!</f>
        <v>#REF!</v>
      </c>
      <c r="F41" s="294" t="e">
        <f>-F27*#REF!/#REF!</f>
        <v>#REF!</v>
      </c>
      <c r="G41" s="306" t="e">
        <f>-G27*#REF!/#REF!</f>
        <v>#REF!</v>
      </c>
      <c r="H41" s="294" t="e">
        <f>-H27*#REF!/#REF!</f>
        <v>#REF!</v>
      </c>
      <c r="I41" s="295" t="e">
        <f>-I27*#REF!/#REF!</f>
        <v>#REF!</v>
      </c>
    </row>
    <row r="42" spans="3:11" x14ac:dyDescent="0.2">
      <c r="C42" s="278"/>
      <c r="D42" s="280">
        <v>0.5</v>
      </c>
      <c r="E42" s="294" t="e">
        <f>-E28*#REF!/#REF!</f>
        <v>#REF!</v>
      </c>
      <c r="F42" s="294" t="e">
        <f>-F28*#REF!/#REF!</f>
        <v>#REF!</v>
      </c>
      <c r="G42" s="306" t="e">
        <f>-G28*#REF!/#REF!</f>
        <v>#REF!</v>
      </c>
      <c r="H42" s="294" t="e">
        <f>-H28*#REF!/#REF!</f>
        <v>#REF!</v>
      </c>
      <c r="I42" s="295" t="e">
        <f>-I28*#REF!/#REF!</f>
        <v>#REF!</v>
      </c>
    </row>
    <row r="43" spans="3:11" x14ac:dyDescent="0.2">
      <c r="D43" s="280">
        <v>0.6</v>
      </c>
      <c r="E43" s="294" t="e">
        <f>-E29*#REF!/#REF!</f>
        <v>#REF!</v>
      </c>
      <c r="F43" s="294" t="e">
        <f>-F29*#REF!/#REF!</f>
        <v>#REF!</v>
      </c>
      <c r="G43" s="306" t="e">
        <f>-G29*#REF!/#REF!</f>
        <v>#REF!</v>
      </c>
      <c r="H43" s="294" t="e">
        <f>-H29*#REF!/#REF!</f>
        <v>#REF!</v>
      </c>
      <c r="I43" s="295" t="e">
        <f>-I29*#REF!/#REF!</f>
        <v>#REF!</v>
      </c>
    </row>
    <row r="44" spans="3:11" x14ac:dyDescent="0.2">
      <c r="D44" s="280">
        <v>0.7</v>
      </c>
      <c r="E44" s="294" t="e">
        <f>-E30*#REF!/#REF!</f>
        <v>#REF!</v>
      </c>
      <c r="F44" s="294" t="e">
        <f>-F30*#REF!/#REF!</f>
        <v>#REF!</v>
      </c>
      <c r="G44" s="306" t="e">
        <f>-G30*#REF!/#REF!</f>
        <v>#REF!</v>
      </c>
      <c r="H44" s="294" t="e">
        <f>-H30*#REF!/#REF!</f>
        <v>#REF!</v>
      </c>
      <c r="I44" s="295" t="e">
        <f>-I30*#REF!/#REF!</f>
        <v>#REF!</v>
      </c>
    </row>
    <row r="45" spans="3:11" x14ac:dyDescent="0.2">
      <c r="D45" s="326">
        <v>0.8</v>
      </c>
      <c r="E45" s="327" t="e">
        <f>-E31*#REF!/#REF!</f>
        <v>#REF!</v>
      </c>
      <c r="F45" s="327" t="e">
        <f>-F31*#REF!/#REF!</f>
        <v>#REF!</v>
      </c>
      <c r="G45" s="327" t="e">
        <f>-G31*#REF!/#REF!</f>
        <v>#REF!</v>
      </c>
      <c r="H45" s="327" t="e">
        <f>-H31*#REF!/#REF!</f>
        <v>#REF!</v>
      </c>
      <c r="I45" s="328" t="e">
        <f>-I31*#REF!/#REF!</f>
        <v>#REF!</v>
      </c>
    </row>
    <row r="46" spans="3:11" x14ac:dyDescent="0.2">
      <c r="D46" s="280">
        <v>0.9</v>
      </c>
      <c r="E46" s="294" t="e">
        <f>-E32*#REF!/#REF!</f>
        <v>#REF!</v>
      </c>
      <c r="F46" s="294" t="e">
        <f>-F32*#REF!/#REF!</f>
        <v>#REF!</v>
      </c>
      <c r="G46" s="306" t="e">
        <f>-G32*#REF!/#REF!</f>
        <v>#REF!</v>
      </c>
      <c r="H46" s="294" t="e">
        <f>-H32*#REF!/#REF!</f>
        <v>#REF!</v>
      </c>
      <c r="I46" s="295" t="e">
        <f>-I32*#REF!/#REF!</f>
        <v>#REF!</v>
      </c>
    </row>
    <row r="47" spans="3:11" x14ac:dyDescent="0.2">
      <c r="C47" s="285"/>
      <c r="D47" s="286">
        <v>1</v>
      </c>
      <c r="E47" s="324" t="e">
        <f>-E33*#REF!/#REF!</f>
        <v>#REF!</v>
      </c>
      <c r="F47" s="294" t="e">
        <f>-F33*#REF!/#REF!</f>
        <v>#REF!</v>
      </c>
      <c r="G47" s="306" t="e">
        <f>-G33*#REF!/#REF!</f>
        <v>#REF!</v>
      </c>
      <c r="H47" s="294" t="e">
        <f>-H33*#REF!/#REF!</f>
        <v>#REF!</v>
      </c>
      <c r="I47" s="325" t="e">
        <f>-I33*#REF!/#REF!</f>
        <v>#REF!</v>
      </c>
    </row>
    <row r="48" spans="3:11" ht="25.5" x14ac:dyDescent="0.2">
      <c r="C48" s="302" t="s">
        <v>337</v>
      </c>
      <c r="D48" s="280">
        <v>0.4</v>
      </c>
      <c r="E48" s="294" t="e">
        <f>-E34*#REF!/#REF!</f>
        <v>#REF!</v>
      </c>
      <c r="F48" s="329" t="e">
        <f>-F34*#REF!/#REF!</f>
        <v>#REF!</v>
      </c>
      <c r="G48" s="330" t="e">
        <f>-G34*#REF!/#REF!</f>
        <v>#REF!</v>
      </c>
      <c r="H48" s="329" t="e">
        <f>-H34*#REF!/#REF!</f>
        <v>#REF!</v>
      </c>
      <c r="I48" s="295" t="e">
        <f>-I34*#REF!/#REF!</f>
        <v>#REF!</v>
      </c>
    </row>
    <row r="49" spans="2:14" x14ac:dyDescent="0.2">
      <c r="C49" s="278"/>
      <c r="D49" s="280">
        <v>0.5</v>
      </c>
      <c r="E49" s="294" t="e">
        <f>-E35*#REF!/#REF!</f>
        <v>#REF!</v>
      </c>
      <c r="F49" s="294" t="e">
        <f>-F35*#REF!/#REF!</f>
        <v>#REF!</v>
      </c>
      <c r="G49" s="306" t="e">
        <f>-G35*#REF!/#REF!</f>
        <v>#REF!</v>
      </c>
      <c r="H49" s="294" t="e">
        <f>-H35*#REF!/#REF!</f>
        <v>#REF!</v>
      </c>
      <c r="I49" s="295" t="e">
        <f>-I35*#REF!/#REF!</f>
        <v>#REF!</v>
      </c>
    </row>
    <row r="50" spans="2:14" x14ac:dyDescent="0.2">
      <c r="D50" s="280">
        <v>0.6</v>
      </c>
      <c r="E50" s="294" t="e">
        <f>-E36*#REF!/#REF!</f>
        <v>#REF!</v>
      </c>
      <c r="F50" s="294" t="e">
        <f>-F36*#REF!/#REF!</f>
        <v>#REF!</v>
      </c>
      <c r="G50" s="306" t="e">
        <f>-G36*#REF!/#REF!</f>
        <v>#REF!</v>
      </c>
      <c r="H50" s="294" t="e">
        <f>-H36*#REF!/#REF!</f>
        <v>#REF!</v>
      </c>
      <c r="I50" s="295" t="e">
        <f>-I36*#REF!/#REF!</f>
        <v>#REF!</v>
      </c>
    </row>
    <row r="51" spans="2:14" x14ac:dyDescent="0.2">
      <c r="D51" s="280">
        <v>0.7</v>
      </c>
      <c r="E51" s="294" t="e">
        <f>-E37*#REF!/#REF!</f>
        <v>#REF!</v>
      </c>
      <c r="F51" s="294" t="e">
        <f>-F37*#REF!/#REF!</f>
        <v>#REF!</v>
      </c>
      <c r="G51" s="306" t="e">
        <f>-G37*#REF!/#REF!</f>
        <v>#REF!</v>
      </c>
      <c r="H51" s="294" t="e">
        <f>-H37*#REF!/#REF!</f>
        <v>#REF!</v>
      </c>
      <c r="I51" s="295" t="e">
        <f>-I37*#REF!/#REF!</f>
        <v>#REF!</v>
      </c>
    </row>
    <row r="52" spans="2:14" x14ac:dyDescent="0.2">
      <c r="D52" s="326">
        <v>0.8</v>
      </c>
      <c r="E52" s="327" t="e">
        <f>-E38*#REF!/#REF!</f>
        <v>#REF!</v>
      </c>
      <c r="F52" s="327" t="e">
        <f>-F38*#REF!/#REF!</f>
        <v>#REF!</v>
      </c>
      <c r="G52" s="327" t="e">
        <f>-G38*#REF!/#REF!</f>
        <v>#REF!</v>
      </c>
      <c r="H52" s="327" t="e">
        <f>-H38*#REF!/#REF!</f>
        <v>#REF!</v>
      </c>
      <c r="I52" s="328" t="e">
        <f>-I38*#REF!/#REF!</f>
        <v>#REF!</v>
      </c>
    </row>
    <row r="53" spans="2:14" x14ac:dyDescent="0.2">
      <c r="D53" s="280">
        <v>0.9</v>
      </c>
      <c r="E53" s="294" t="e">
        <f>-E39*#REF!/#REF!</f>
        <v>#REF!</v>
      </c>
      <c r="F53" s="294" t="e">
        <f>-F39*#REF!/#REF!</f>
        <v>#REF!</v>
      </c>
      <c r="G53" s="306" t="e">
        <f>-G39*#REF!/#REF!</f>
        <v>#REF!</v>
      </c>
      <c r="H53" s="294" t="e">
        <f>-H39*#REF!/#REF!</f>
        <v>#REF!</v>
      </c>
      <c r="I53" s="295" t="e">
        <f>-I39*#REF!/#REF!</f>
        <v>#REF!</v>
      </c>
    </row>
    <row r="54" spans="2:14" x14ac:dyDescent="0.2">
      <c r="C54" s="285"/>
      <c r="D54" s="286">
        <v>1</v>
      </c>
      <c r="E54" s="324" t="e">
        <f>-E40*#REF!/#REF!</f>
        <v>#REF!</v>
      </c>
      <c r="F54" s="324" t="e">
        <f>-F40*#REF!/#REF!</f>
        <v>#REF!</v>
      </c>
      <c r="G54" s="323" t="e">
        <f>-G40*#REF!/#REF!</f>
        <v>#REF!</v>
      </c>
      <c r="H54" s="324" t="e">
        <f>-H40*#REF!/#REF!</f>
        <v>#REF!</v>
      </c>
      <c r="I54" s="325" t="e">
        <f>-I40*#REF!/#REF!</f>
        <v>#REF!</v>
      </c>
    </row>
    <row r="55" spans="2:14" x14ac:dyDescent="0.2">
      <c r="M55" s="2"/>
      <c r="N55" s="2"/>
    </row>
    <row r="56" spans="2:14" x14ac:dyDescent="0.2">
      <c r="B56" s="274" t="s">
        <v>309</v>
      </c>
      <c r="C56" s="276">
        <v>3.7280000000000002</v>
      </c>
      <c r="M56" s="318"/>
      <c r="N56" s="307"/>
    </row>
    <row r="57" spans="2:14" x14ac:dyDescent="0.2">
      <c r="B57" s="277" t="s">
        <v>333</v>
      </c>
      <c r="C57" s="307">
        <v>7.0000000000000007E-2</v>
      </c>
      <c r="J57" s="318"/>
      <c r="K57" s="319"/>
      <c r="M57" s="318"/>
      <c r="N57" s="307"/>
    </row>
    <row r="58" spans="2:14" x14ac:dyDescent="0.2">
      <c r="J58" s="318"/>
      <c r="K58" s="319"/>
      <c r="M58" s="318"/>
      <c r="N58" s="307"/>
    </row>
    <row r="59" spans="2:14" x14ac:dyDescent="0.2">
      <c r="J59" s="318"/>
      <c r="K59" s="319"/>
      <c r="M59" s="318"/>
      <c r="N59" s="307"/>
    </row>
    <row r="60" spans="2:14" x14ac:dyDescent="0.2">
      <c r="J60" s="318"/>
      <c r="K60" s="319"/>
      <c r="M60" s="318"/>
      <c r="N60" s="319"/>
    </row>
    <row r="61" spans="2:14" x14ac:dyDescent="0.2">
      <c r="J61" s="318"/>
      <c r="K61" s="319"/>
      <c r="M61" s="318"/>
      <c r="N61" s="319"/>
    </row>
    <row r="62" spans="2:14" x14ac:dyDescent="0.2">
      <c r="M62" s="318"/>
      <c r="N62" s="320"/>
    </row>
  </sheetData>
  <mergeCells count="4">
    <mergeCell ref="C2:I2"/>
    <mergeCell ref="C4:C5"/>
    <mergeCell ref="C3:I3"/>
    <mergeCell ref="M55:N55"/>
  </mergeCells>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גיליון39"/>
  <dimension ref="A1:AM135"/>
  <sheetViews>
    <sheetView zoomScale="90" zoomScaleNormal="90" workbookViewId="0">
      <pane xSplit="1" ySplit="6" topLeftCell="K114" activePane="bottomRight" state="frozen"/>
      <selection pane="topRight" activeCell="B1" sqref="B1"/>
      <selection pane="bottomLeft" activeCell="A6" sqref="A6"/>
      <selection pane="bottomRight" activeCell="U123" sqref="U123"/>
    </sheetView>
  </sheetViews>
  <sheetFormatPr defaultRowHeight="12.75" x14ac:dyDescent="0.2"/>
  <cols>
    <col min="1" max="1" width="5" style="81" bestFit="1" customWidth="1"/>
    <col min="2" max="2" width="10.28515625" style="81" bestFit="1" customWidth="1"/>
    <col min="3" max="3" width="9.28515625" style="81" bestFit="1" customWidth="1"/>
    <col min="4" max="5" width="7.85546875" style="81" bestFit="1" customWidth="1"/>
    <col min="6" max="7" width="12" style="81" bestFit="1" customWidth="1"/>
    <col min="8" max="8" width="15" style="81" bestFit="1" customWidth="1"/>
    <col min="9" max="9" width="11" style="81" bestFit="1" customWidth="1"/>
    <col min="10" max="10" width="12" style="81" bestFit="1" customWidth="1"/>
    <col min="11" max="11" width="11.5703125" style="81" bestFit="1" customWidth="1"/>
    <col min="12" max="12" width="9.7109375" style="81" bestFit="1" customWidth="1"/>
    <col min="13" max="13" width="9.5703125" style="81" bestFit="1" customWidth="1"/>
    <col min="14" max="14" width="12" style="81" bestFit="1" customWidth="1"/>
    <col min="15" max="16" width="10.7109375" style="81" bestFit="1" customWidth="1"/>
    <col min="17" max="17" width="12.85546875" style="81" bestFit="1" customWidth="1"/>
    <col min="18" max="18" width="11.5703125" style="81" bestFit="1" customWidth="1"/>
    <col min="19" max="21" width="12.42578125" style="81" bestFit="1" customWidth="1"/>
    <col min="22" max="22" width="10.28515625" style="81" bestFit="1" customWidth="1"/>
    <col min="23" max="23" width="11.140625" style="81" bestFit="1" customWidth="1"/>
    <col min="24" max="24" width="10.5703125" style="81" bestFit="1" customWidth="1"/>
    <col min="25" max="25" width="9.140625" style="81"/>
    <col min="26" max="26" width="12" style="81" bestFit="1" customWidth="1"/>
    <col min="27" max="27" width="11.5703125" style="81" bestFit="1" customWidth="1"/>
    <col min="28" max="28" width="6.28515625" style="81" bestFit="1" customWidth="1"/>
    <col min="29" max="29" width="13" style="81" bestFit="1" customWidth="1"/>
    <col min="30" max="30" width="12.140625" style="81" bestFit="1" customWidth="1"/>
    <col min="31" max="31" width="11.5703125" style="81" bestFit="1" customWidth="1"/>
    <col min="32" max="32" width="6.28515625" style="81" bestFit="1" customWidth="1"/>
    <col min="33" max="33" width="8.140625" style="81" bestFit="1" customWidth="1"/>
    <col min="34" max="34" width="11.7109375" style="81" bestFit="1" customWidth="1"/>
    <col min="35" max="35" width="11.5703125" style="81" bestFit="1" customWidth="1"/>
    <col min="36" max="37" width="9.140625" style="81"/>
    <col min="38" max="38" width="11.140625" style="81" bestFit="1" customWidth="1"/>
    <col min="39" max="39" width="10" style="81" bestFit="1" customWidth="1"/>
    <col min="40" max="256" width="9.140625" style="81"/>
    <col min="257" max="257" width="5" style="81" bestFit="1" customWidth="1"/>
    <col min="258" max="258" width="9.5703125" style="81" bestFit="1" customWidth="1"/>
    <col min="259" max="259" width="8.140625" style="81" customWidth="1"/>
    <col min="260" max="260" width="6.85546875" style="81" bestFit="1" customWidth="1"/>
    <col min="261" max="261" width="6.5703125" style="81" bestFit="1" customWidth="1"/>
    <col min="262" max="262" width="10.85546875" style="81" bestFit="1" customWidth="1"/>
    <col min="263" max="263" width="8.7109375" style="81" bestFit="1" customWidth="1"/>
    <col min="264" max="269" width="8.7109375" style="81" customWidth="1"/>
    <col min="270" max="271" width="8.7109375" style="81" bestFit="1" customWidth="1"/>
    <col min="272" max="272" width="9.85546875" style="81" bestFit="1" customWidth="1"/>
    <col min="273" max="273" width="9.140625" style="81"/>
    <col min="274" max="276" width="9.140625" style="81" customWidth="1"/>
    <col min="277" max="277" width="9.85546875" style="81" bestFit="1" customWidth="1"/>
    <col min="278" max="278" width="9.85546875" style="81" customWidth="1"/>
    <col min="279" max="512" width="9.140625" style="81"/>
    <col min="513" max="513" width="5" style="81" bestFit="1" customWidth="1"/>
    <col min="514" max="514" width="9.5703125" style="81" bestFit="1" customWidth="1"/>
    <col min="515" max="515" width="8.140625" style="81" customWidth="1"/>
    <col min="516" max="516" width="6.85546875" style="81" bestFit="1" customWidth="1"/>
    <col min="517" max="517" width="6.5703125" style="81" bestFit="1" customWidth="1"/>
    <col min="518" max="518" width="10.85546875" style="81" bestFit="1" customWidth="1"/>
    <col min="519" max="519" width="8.7109375" style="81" bestFit="1" customWidth="1"/>
    <col min="520" max="525" width="8.7109375" style="81" customWidth="1"/>
    <col min="526" max="527" width="8.7109375" style="81" bestFit="1" customWidth="1"/>
    <col min="528" max="528" width="9.85546875" style="81" bestFit="1" customWidth="1"/>
    <col min="529" max="529" width="9.140625" style="81"/>
    <col min="530" max="532" width="9.140625" style="81" customWidth="1"/>
    <col min="533" max="533" width="9.85546875" style="81" bestFit="1" customWidth="1"/>
    <col min="534" max="534" width="9.85546875" style="81" customWidth="1"/>
    <col min="535" max="768" width="9.140625" style="81"/>
    <col min="769" max="769" width="5" style="81" bestFit="1" customWidth="1"/>
    <col min="770" max="770" width="9.5703125" style="81" bestFit="1" customWidth="1"/>
    <col min="771" max="771" width="8.140625" style="81" customWidth="1"/>
    <col min="772" max="772" width="6.85546875" style="81" bestFit="1" customWidth="1"/>
    <col min="773" max="773" width="6.5703125" style="81" bestFit="1" customWidth="1"/>
    <col min="774" max="774" width="10.85546875" style="81" bestFit="1" customWidth="1"/>
    <col min="775" max="775" width="8.7109375" style="81" bestFit="1" customWidth="1"/>
    <col min="776" max="781" width="8.7109375" style="81" customWidth="1"/>
    <col min="782" max="783" width="8.7109375" style="81" bestFit="1" customWidth="1"/>
    <col min="784" max="784" width="9.85546875" style="81" bestFit="1" customWidth="1"/>
    <col min="785" max="785" width="9.140625" style="81"/>
    <col min="786" max="788" width="9.140625" style="81" customWidth="1"/>
    <col min="789" max="789" width="9.85546875" style="81" bestFit="1" customWidth="1"/>
    <col min="790" max="790" width="9.85546875" style="81" customWidth="1"/>
    <col min="791" max="1024" width="9.140625" style="81"/>
    <col min="1025" max="1025" width="5" style="81" bestFit="1" customWidth="1"/>
    <col min="1026" max="1026" width="9.5703125" style="81" bestFit="1" customWidth="1"/>
    <col min="1027" max="1027" width="8.140625" style="81" customWidth="1"/>
    <col min="1028" max="1028" width="6.85546875" style="81" bestFit="1" customWidth="1"/>
    <col min="1029" max="1029" width="6.5703125" style="81" bestFit="1" customWidth="1"/>
    <col min="1030" max="1030" width="10.85546875" style="81" bestFit="1" customWidth="1"/>
    <col min="1031" max="1031" width="8.7109375" style="81" bestFit="1" customWidth="1"/>
    <col min="1032" max="1037" width="8.7109375" style="81" customWidth="1"/>
    <col min="1038" max="1039" width="8.7109375" style="81" bestFit="1" customWidth="1"/>
    <col min="1040" max="1040" width="9.85546875" style="81" bestFit="1" customWidth="1"/>
    <col min="1041" max="1041" width="9.140625" style="81"/>
    <col min="1042" max="1044" width="9.140625" style="81" customWidth="1"/>
    <col min="1045" max="1045" width="9.85546875" style="81" bestFit="1" customWidth="1"/>
    <col min="1046" max="1046" width="9.85546875" style="81" customWidth="1"/>
    <col min="1047" max="1280" width="9.140625" style="81"/>
    <col min="1281" max="1281" width="5" style="81" bestFit="1" customWidth="1"/>
    <col min="1282" max="1282" width="9.5703125" style="81" bestFit="1" customWidth="1"/>
    <col min="1283" max="1283" width="8.140625" style="81" customWidth="1"/>
    <col min="1284" max="1284" width="6.85546875" style="81" bestFit="1" customWidth="1"/>
    <col min="1285" max="1285" width="6.5703125" style="81" bestFit="1" customWidth="1"/>
    <col min="1286" max="1286" width="10.85546875" style="81" bestFit="1" customWidth="1"/>
    <col min="1287" max="1287" width="8.7109375" style="81" bestFit="1" customWidth="1"/>
    <col min="1288" max="1293" width="8.7109375" style="81" customWidth="1"/>
    <col min="1294" max="1295" width="8.7109375" style="81" bestFit="1" customWidth="1"/>
    <col min="1296" max="1296" width="9.85546875" style="81" bestFit="1" customWidth="1"/>
    <col min="1297" max="1297" width="9.140625" style="81"/>
    <col min="1298" max="1300" width="9.140625" style="81" customWidth="1"/>
    <col min="1301" max="1301" width="9.85546875" style="81" bestFit="1" customWidth="1"/>
    <col min="1302" max="1302" width="9.85546875" style="81" customWidth="1"/>
    <col min="1303" max="1536" width="9.140625" style="81"/>
    <col min="1537" max="1537" width="5" style="81" bestFit="1" customWidth="1"/>
    <col min="1538" max="1538" width="9.5703125" style="81" bestFit="1" customWidth="1"/>
    <col min="1539" max="1539" width="8.140625" style="81" customWidth="1"/>
    <col min="1540" max="1540" width="6.85546875" style="81" bestFit="1" customWidth="1"/>
    <col min="1541" max="1541" width="6.5703125" style="81" bestFit="1" customWidth="1"/>
    <col min="1542" max="1542" width="10.85546875" style="81" bestFit="1" customWidth="1"/>
    <col min="1543" max="1543" width="8.7109375" style="81" bestFit="1" customWidth="1"/>
    <col min="1544" max="1549" width="8.7109375" style="81" customWidth="1"/>
    <col min="1550" max="1551" width="8.7109375" style="81" bestFit="1" customWidth="1"/>
    <col min="1552" max="1552" width="9.85546875" style="81" bestFit="1" customWidth="1"/>
    <col min="1553" max="1553" width="9.140625" style="81"/>
    <col min="1554" max="1556" width="9.140625" style="81" customWidth="1"/>
    <col min="1557" max="1557" width="9.85546875" style="81" bestFit="1" customWidth="1"/>
    <col min="1558" max="1558" width="9.85546875" style="81" customWidth="1"/>
    <col min="1559" max="1792" width="9.140625" style="81"/>
    <col min="1793" max="1793" width="5" style="81" bestFit="1" customWidth="1"/>
    <col min="1794" max="1794" width="9.5703125" style="81" bestFit="1" customWidth="1"/>
    <col min="1795" max="1795" width="8.140625" style="81" customWidth="1"/>
    <col min="1796" max="1796" width="6.85546875" style="81" bestFit="1" customWidth="1"/>
    <col min="1797" max="1797" width="6.5703125" style="81" bestFit="1" customWidth="1"/>
    <col min="1798" max="1798" width="10.85546875" style="81" bestFit="1" customWidth="1"/>
    <col min="1799" max="1799" width="8.7109375" style="81" bestFit="1" customWidth="1"/>
    <col min="1800" max="1805" width="8.7109375" style="81" customWidth="1"/>
    <col min="1806" max="1807" width="8.7109375" style="81" bestFit="1" customWidth="1"/>
    <col min="1808" max="1808" width="9.85546875" style="81" bestFit="1" customWidth="1"/>
    <col min="1809" max="1809" width="9.140625" style="81"/>
    <col min="1810" max="1812" width="9.140625" style="81" customWidth="1"/>
    <col min="1813" max="1813" width="9.85546875" style="81" bestFit="1" customWidth="1"/>
    <col min="1814" max="1814" width="9.85546875" style="81" customWidth="1"/>
    <col min="1815" max="2048" width="9.140625" style="81"/>
    <col min="2049" max="2049" width="5" style="81" bestFit="1" customWidth="1"/>
    <col min="2050" max="2050" width="9.5703125" style="81" bestFit="1" customWidth="1"/>
    <col min="2051" max="2051" width="8.140625" style="81" customWidth="1"/>
    <col min="2052" max="2052" width="6.85546875" style="81" bestFit="1" customWidth="1"/>
    <col min="2053" max="2053" width="6.5703125" style="81" bestFit="1" customWidth="1"/>
    <col min="2054" max="2054" width="10.85546875" style="81" bestFit="1" customWidth="1"/>
    <col min="2055" max="2055" width="8.7109375" style="81" bestFit="1" customWidth="1"/>
    <col min="2056" max="2061" width="8.7109375" style="81" customWidth="1"/>
    <col min="2062" max="2063" width="8.7109375" style="81" bestFit="1" customWidth="1"/>
    <col min="2064" max="2064" width="9.85546875" style="81" bestFit="1" customWidth="1"/>
    <col min="2065" max="2065" width="9.140625" style="81"/>
    <col min="2066" max="2068" width="9.140625" style="81" customWidth="1"/>
    <col min="2069" max="2069" width="9.85546875" style="81" bestFit="1" customWidth="1"/>
    <col min="2070" max="2070" width="9.85546875" style="81" customWidth="1"/>
    <col min="2071" max="2304" width="9.140625" style="81"/>
    <col min="2305" max="2305" width="5" style="81" bestFit="1" customWidth="1"/>
    <col min="2306" max="2306" width="9.5703125" style="81" bestFit="1" customWidth="1"/>
    <col min="2307" max="2307" width="8.140625" style="81" customWidth="1"/>
    <col min="2308" max="2308" width="6.85546875" style="81" bestFit="1" customWidth="1"/>
    <col min="2309" max="2309" width="6.5703125" style="81" bestFit="1" customWidth="1"/>
    <col min="2310" max="2310" width="10.85546875" style="81" bestFit="1" customWidth="1"/>
    <col min="2311" max="2311" width="8.7109375" style="81" bestFit="1" customWidth="1"/>
    <col min="2312" max="2317" width="8.7109375" style="81" customWidth="1"/>
    <col min="2318" max="2319" width="8.7109375" style="81" bestFit="1" customWidth="1"/>
    <col min="2320" max="2320" width="9.85546875" style="81" bestFit="1" customWidth="1"/>
    <col min="2321" max="2321" width="9.140625" style="81"/>
    <col min="2322" max="2324" width="9.140625" style="81" customWidth="1"/>
    <col min="2325" max="2325" width="9.85546875" style="81" bestFit="1" customWidth="1"/>
    <col min="2326" max="2326" width="9.85546875" style="81" customWidth="1"/>
    <col min="2327" max="2560" width="9.140625" style="81"/>
    <col min="2561" max="2561" width="5" style="81" bestFit="1" customWidth="1"/>
    <col min="2562" max="2562" width="9.5703125" style="81" bestFit="1" customWidth="1"/>
    <col min="2563" max="2563" width="8.140625" style="81" customWidth="1"/>
    <col min="2564" max="2564" width="6.85546875" style="81" bestFit="1" customWidth="1"/>
    <col min="2565" max="2565" width="6.5703125" style="81" bestFit="1" customWidth="1"/>
    <col min="2566" max="2566" width="10.85546875" style="81" bestFit="1" customWidth="1"/>
    <col min="2567" max="2567" width="8.7109375" style="81" bestFit="1" customWidth="1"/>
    <col min="2568" max="2573" width="8.7109375" style="81" customWidth="1"/>
    <col min="2574" max="2575" width="8.7109375" style="81" bestFit="1" customWidth="1"/>
    <col min="2576" max="2576" width="9.85546875" style="81" bestFit="1" customWidth="1"/>
    <col min="2577" max="2577" width="9.140625" style="81"/>
    <col min="2578" max="2580" width="9.140625" style="81" customWidth="1"/>
    <col min="2581" max="2581" width="9.85546875" style="81" bestFit="1" customWidth="1"/>
    <col min="2582" max="2582" width="9.85546875" style="81" customWidth="1"/>
    <col min="2583" max="2816" width="9.140625" style="81"/>
    <col min="2817" max="2817" width="5" style="81" bestFit="1" customWidth="1"/>
    <col min="2818" max="2818" width="9.5703125" style="81" bestFit="1" customWidth="1"/>
    <col min="2819" max="2819" width="8.140625" style="81" customWidth="1"/>
    <col min="2820" max="2820" width="6.85546875" style="81" bestFit="1" customWidth="1"/>
    <col min="2821" max="2821" width="6.5703125" style="81" bestFit="1" customWidth="1"/>
    <col min="2822" max="2822" width="10.85546875" style="81" bestFit="1" customWidth="1"/>
    <col min="2823" max="2823" width="8.7109375" style="81" bestFit="1" customWidth="1"/>
    <col min="2824" max="2829" width="8.7109375" style="81" customWidth="1"/>
    <col min="2830" max="2831" width="8.7109375" style="81" bestFit="1" customWidth="1"/>
    <col min="2832" max="2832" width="9.85546875" style="81" bestFit="1" customWidth="1"/>
    <col min="2833" max="2833" width="9.140625" style="81"/>
    <col min="2834" max="2836" width="9.140625" style="81" customWidth="1"/>
    <col min="2837" max="2837" width="9.85546875" style="81" bestFit="1" customWidth="1"/>
    <col min="2838" max="2838" width="9.85546875" style="81" customWidth="1"/>
    <col min="2839" max="3072" width="9.140625" style="81"/>
    <col min="3073" max="3073" width="5" style="81" bestFit="1" customWidth="1"/>
    <col min="3074" max="3074" width="9.5703125" style="81" bestFit="1" customWidth="1"/>
    <col min="3075" max="3075" width="8.140625" style="81" customWidth="1"/>
    <col min="3076" max="3076" width="6.85546875" style="81" bestFit="1" customWidth="1"/>
    <col min="3077" max="3077" width="6.5703125" style="81" bestFit="1" customWidth="1"/>
    <col min="3078" max="3078" width="10.85546875" style="81" bestFit="1" customWidth="1"/>
    <col min="3079" max="3079" width="8.7109375" style="81" bestFit="1" customWidth="1"/>
    <col min="3080" max="3085" width="8.7109375" style="81" customWidth="1"/>
    <col min="3086" max="3087" width="8.7109375" style="81" bestFit="1" customWidth="1"/>
    <col min="3088" max="3088" width="9.85546875" style="81" bestFit="1" customWidth="1"/>
    <col min="3089" max="3089" width="9.140625" style="81"/>
    <col min="3090" max="3092" width="9.140625" style="81" customWidth="1"/>
    <col min="3093" max="3093" width="9.85546875" style="81" bestFit="1" customWidth="1"/>
    <col min="3094" max="3094" width="9.85546875" style="81" customWidth="1"/>
    <col min="3095" max="3328" width="9.140625" style="81"/>
    <col min="3329" max="3329" width="5" style="81" bestFit="1" customWidth="1"/>
    <col min="3330" max="3330" width="9.5703125" style="81" bestFit="1" customWidth="1"/>
    <col min="3331" max="3331" width="8.140625" style="81" customWidth="1"/>
    <col min="3332" max="3332" width="6.85546875" style="81" bestFit="1" customWidth="1"/>
    <col min="3333" max="3333" width="6.5703125" style="81" bestFit="1" customWidth="1"/>
    <col min="3334" max="3334" width="10.85546875" style="81" bestFit="1" customWidth="1"/>
    <col min="3335" max="3335" width="8.7109375" style="81" bestFit="1" customWidth="1"/>
    <col min="3336" max="3341" width="8.7109375" style="81" customWidth="1"/>
    <col min="3342" max="3343" width="8.7109375" style="81" bestFit="1" customWidth="1"/>
    <col min="3344" max="3344" width="9.85546875" style="81" bestFit="1" customWidth="1"/>
    <col min="3345" max="3345" width="9.140625" style="81"/>
    <col min="3346" max="3348" width="9.140625" style="81" customWidth="1"/>
    <col min="3349" max="3349" width="9.85546875" style="81" bestFit="1" customWidth="1"/>
    <col min="3350" max="3350" width="9.85546875" style="81" customWidth="1"/>
    <col min="3351" max="3584" width="9.140625" style="81"/>
    <col min="3585" max="3585" width="5" style="81" bestFit="1" customWidth="1"/>
    <col min="3586" max="3586" width="9.5703125" style="81" bestFit="1" customWidth="1"/>
    <col min="3587" max="3587" width="8.140625" style="81" customWidth="1"/>
    <col min="3588" max="3588" width="6.85546875" style="81" bestFit="1" customWidth="1"/>
    <col min="3589" max="3589" width="6.5703125" style="81" bestFit="1" customWidth="1"/>
    <col min="3590" max="3590" width="10.85546875" style="81" bestFit="1" customWidth="1"/>
    <col min="3591" max="3591" width="8.7109375" style="81" bestFit="1" customWidth="1"/>
    <col min="3592" max="3597" width="8.7109375" style="81" customWidth="1"/>
    <col min="3598" max="3599" width="8.7109375" style="81" bestFit="1" customWidth="1"/>
    <col min="3600" max="3600" width="9.85546875" style="81" bestFit="1" customWidth="1"/>
    <col min="3601" max="3601" width="9.140625" style="81"/>
    <col min="3602" max="3604" width="9.140625" style="81" customWidth="1"/>
    <col min="3605" max="3605" width="9.85546875" style="81" bestFit="1" customWidth="1"/>
    <col min="3606" max="3606" width="9.85546875" style="81" customWidth="1"/>
    <col min="3607" max="3840" width="9.140625" style="81"/>
    <col min="3841" max="3841" width="5" style="81" bestFit="1" customWidth="1"/>
    <col min="3842" max="3842" width="9.5703125" style="81" bestFit="1" customWidth="1"/>
    <col min="3843" max="3843" width="8.140625" style="81" customWidth="1"/>
    <col min="3844" max="3844" width="6.85546875" style="81" bestFit="1" customWidth="1"/>
    <col min="3845" max="3845" width="6.5703125" style="81" bestFit="1" customWidth="1"/>
    <col min="3846" max="3846" width="10.85546875" style="81" bestFit="1" customWidth="1"/>
    <col min="3847" max="3847" width="8.7109375" style="81" bestFit="1" customWidth="1"/>
    <col min="3848" max="3853" width="8.7109375" style="81" customWidth="1"/>
    <col min="3854" max="3855" width="8.7109375" style="81" bestFit="1" customWidth="1"/>
    <col min="3856" max="3856" width="9.85546875" style="81" bestFit="1" customWidth="1"/>
    <col min="3857" max="3857" width="9.140625" style="81"/>
    <col min="3858" max="3860" width="9.140625" style="81" customWidth="1"/>
    <col min="3861" max="3861" width="9.85546875" style="81" bestFit="1" customWidth="1"/>
    <col min="3862" max="3862" width="9.85546875" style="81" customWidth="1"/>
    <col min="3863" max="4096" width="9.140625" style="81"/>
    <col min="4097" max="4097" width="5" style="81" bestFit="1" customWidth="1"/>
    <col min="4098" max="4098" width="9.5703125" style="81" bestFit="1" customWidth="1"/>
    <col min="4099" max="4099" width="8.140625" style="81" customWidth="1"/>
    <col min="4100" max="4100" width="6.85546875" style="81" bestFit="1" customWidth="1"/>
    <col min="4101" max="4101" width="6.5703125" style="81" bestFit="1" customWidth="1"/>
    <col min="4102" max="4102" width="10.85546875" style="81" bestFit="1" customWidth="1"/>
    <col min="4103" max="4103" width="8.7109375" style="81" bestFit="1" customWidth="1"/>
    <col min="4104" max="4109" width="8.7109375" style="81" customWidth="1"/>
    <col min="4110" max="4111" width="8.7109375" style="81" bestFit="1" customWidth="1"/>
    <col min="4112" max="4112" width="9.85546875" style="81" bestFit="1" customWidth="1"/>
    <col min="4113" max="4113" width="9.140625" style="81"/>
    <col min="4114" max="4116" width="9.140625" style="81" customWidth="1"/>
    <col min="4117" max="4117" width="9.85546875" style="81" bestFit="1" customWidth="1"/>
    <col min="4118" max="4118" width="9.85546875" style="81" customWidth="1"/>
    <col min="4119" max="4352" width="9.140625" style="81"/>
    <col min="4353" max="4353" width="5" style="81" bestFit="1" customWidth="1"/>
    <col min="4354" max="4354" width="9.5703125" style="81" bestFit="1" customWidth="1"/>
    <col min="4355" max="4355" width="8.140625" style="81" customWidth="1"/>
    <col min="4356" max="4356" width="6.85546875" style="81" bestFit="1" customWidth="1"/>
    <col min="4357" max="4357" width="6.5703125" style="81" bestFit="1" customWidth="1"/>
    <col min="4358" max="4358" width="10.85546875" style="81" bestFit="1" customWidth="1"/>
    <col min="4359" max="4359" width="8.7109375" style="81" bestFit="1" customWidth="1"/>
    <col min="4360" max="4365" width="8.7109375" style="81" customWidth="1"/>
    <col min="4366" max="4367" width="8.7109375" style="81" bestFit="1" customWidth="1"/>
    <col min="4368" max="4368" width="9.85546875" style="81" bestFit="1" customWidth="1"/>
    <col min="4369" max="4369" width="9.140625" style="81"/>
    <col min="4370" max="4372" width="9.140625" style="81" customWidth="1"/>
    <col min="4373" max="4373" width="9.85546875" style="81" bestFit="1" customWidth="1"/>
    <col min="4374" max="4374" width="9.85546875" style="81" customWidth="1"/>
    <col min="4375" max="4608" width="9.140625" style="81"/>
    <col min="4609" max="4609" width="5" style="81" bestFit="1" customWidth="1"/>
    <col min="4610" max="4610" width="9.5703125" style="81" bestFit="1" customWidth="1"/>
    <col min="4611" max="4611" width="8.140625" style="81" customWidth="1"/>
    <col min="4612" max="4612" width="6.85546875" style="81" bestFit="1" customWidth="1"/>
    <col min="4613" max="4613" width="6.5703125" style="81" bestFit="1" customWidth="1"/>
    <col min="4614" max="4614" width="10.85546875" style="81" bestFit="1" customWidth="1"/>
    <col min="4615" max="4615" width="8.7109375" style="81" bestFit="1" customWidth="1"/>
    <col min="4616" max="4621" width="8.7109375" style="81" customWidth="1"/>
    <col min="4622" max="4623" width="8.7109375" style="81" bestFit="1" customWidth="1"/>
    <col min="4624" max="4624" width="9.85546875" style="81" bestFit="1" customWidth="1"/>
    <col min="4625" max="4625" width="9.140625" style="81"/>
    <col min="4626" max="4628" width="9.140625" style="81" customWidth="1"/>
    <col min="4629" max="4629" width="9.85546875" style="81" bestFit="1" customWidth="1"/>
    <col min="4630" max="4630" width="9.85546875" style="81" customWidth="1"/>
    <col min="4631" max="4864" width="9.140625" style="81"/>
    <col min="4865" max="4865" width="5" style="81" bestFit="1" customWidth="1"/>
    <col min="4866" max="4866" width="9.5703125" style="81" bestFit="1" customWidth="1"/>
    <col min="4867" max="4867" width="8.140625" style="81" customWidth="1"/>
    <col min="4868" max="4868" width="6.85546875" style="81" bestFit="1" customWidth="1"/>
    <col min="4869" max="4869" width="6.5703125" style="81" bestFit="1" customWidth="1"/>
    <col min="4870" max="4870" width="10.85546875" style="81" bestFit="1" customWidth="1"/>
    <col min="4871" max="4871" width="8.7109375" style="81" bestFit="1" customWidth="1"/>
    <col min="4872" max="4877" width="8.7109375" style="81" customWidth="1"/>
    <col min="4878" max="4879" width="8.7109375" style="81" bestFit="1" customWidth="1"/>
    <col min="4880" max="4880" width="9.85546875" style="81" bestFit="1" customWidth="1"/>
    <col min="4881" max="4881" width="9.140625" style="81"/>
    <col min="4882" max="4884" width="9.140625" style="81" customWidth="1"/>
    <col min="4885" max="4885" width="9.85546875" style="81" bestFit="1" customWidth="1"/>
    <col min="4886" max="4886" width="9.85546875" style="81" customWidth="1"/>
    <col min="4887" max="5120" width="9.140625" style="81"/>
    <col min="5121" max="5121" width="5" style="81" bestFit="1" customWidth="1"/>
    <col min="5122" max="5122" width="9.5703125" style="81" bestFit="1" customWidth="1"/>
    <col min="5123" max="5123" width="8.140625" style="81" customWidth="1"/>
    <col min="5124" max="5124" width="6.85546875" style="81" bestFit="1" customWidth="1"/>
    <col min="5125" max="5125" width="6.5703125" style="81" bestFit="1" customWidth="1"/>
    <col min="5126" max="5126" width="10.85546875" style="81" bestFit="1" customWidth="1"/>
    <col min="5127" max="5127" width="8.7109375" style="81" bestFit="1" customWidth="1"/>
    <col min="5128" max="5133" width="8.7109375" style="81" customWidth="1"/>
    <col min="5134" max="5135" width="8.7109375" style="81" bestFit="1" customWidth="1"/>
    <col min="5136" max="5136" width="9.85546875" style="81" bestFit="1" customWidth="1"/>
    <col min="5137" max="5137" width="9.140625" style="81"/>
    <col min="5138" max="5140" width="9.140625" style="81" customWidth="1"/>
    <col min="5141" max="5141" width="9.85546875" style="81" bestFit="1" customWidth="1"/>
    <col min="5142" max="5142" width="9.85546875" style="81" customWidth="1"/>
    <col min="5143" max="5376" width="9.140625" style="81"/>
    <col min="5377" max="5377" width="5" style="81" bestFit="1" customWidth="1"/>
    <col min="5378" max="5378" width="9.5703125" style="81" bestFit="1" customWidth="1"/>
    <col min="5379" max="5379" width="8.140625" style="81" customWidth="1"/>
    <col min="5380" max="5380" width="6.85546875" style="81" bestFit="1" customWidth="1"/>
    <col min="5381" max="5381" width="6.5703125" style="81" bestFit="1" customWidth="1"/>
    <col min="5382" max="5382" width="10.85546875" style="81" bestFit="1" customWidth="1"/>
    <col min="5383" max="5383" width="8.7109375" style="81" bestFit="1" customWidth="1"/>
    <col min="5384" max="5389" width="8.7109375" style="81" customWidth="1"/>
    <col min="5390" max="5391" width="8.7109375" style="81" bestFit="1" customWidth="1"/>
    <col min="5392" max="5392" width="9.85546875" style="81" bestFit="1" customWidth="1"/>
    <col min="5393" max="5393" width="9.140625" style="81"/>
    <col min="5394" max="5396" width="9.140625" style="81" customWidth="1"/>
    <col min="5397" max="5397" width="9.85546875" style="81" bestFit="1" customWidth="1"/>
    <col min="5398" max="5398" width="9.85546875" style="81" customWidth="1"/>
    <col min="5399" max="5632" width="9.140625" style="81"/>
    <col min="5633" max="5633" width="5" style="81" bestFit="1" customWidth="1"/>
    <col min="5634" max="5634" width="9.5703125" style="81" bestFit="1" customWidth="1"/>
    <col min="5635" max="5635" width="8.140625" style="81" customWidth="1"/>
    <col min="5636" max="5636" width="6.85546875" style="81" bestFit="1" customWidth="1"/>
    <col min="5637" max="5637" width="6.5703125" style="81" bestFit="1" customWidth="1"/>
    <col min="5638" max="5638" width="10.85546875" style="81" bestFit="1" customWidth="1"/>
    <col min="5639" max="5639" width="8.7109375" style="81" bestFit="1" customWidth="1"/>
    <col min="5640" max="5645" width="8.7109375" style="81" customWidth="1"/>
    <col min="5646" max="5647" width="8.7109375" style="81" bestFit="1" customWidth="1"/>
    <col min="5648" max="5648" width="9.85546875" style="81" bestFit="1" customWidth="1"/>
    <col min="5649" max="5649" width="9.140625" style="81"/>
    <col min="5650" max="5652" width="9.140625" style="81" customWidth="1"/>
    <col min="5653" max="5653" width="9.85546875" style="81" bestFit="1" customWidth="1"/>
    <col min="5654" max="5654" width="9.85546875" style="81" customWidth="1"/>
    <col min="5655" max="5888" width="9.140625" style="81"/>
    <col min="5889" max="5889" width="5" style="81" bestFit="1" customWidth="1"/>
    <col min="5890" max="5890" width="9.5703125" style="81" bestFit="1" customWidth="1"/>
    <col min="5891" max="5891" width="8.140625" style="81" customWidth="1"/>
    <col min="5892" max="5892" width="6.85546875" style="81" bestFit="1" customWidth="1"/>
    <col min="5893" max="5893" width="6.5703125" style="81" bestFit="1" customWidth="1"/>
    <col min="5894" max="5894" width="10.85546875" style="81" bestFit="1" customWidth="1"/>
    <col min="5895" max="5895" width="8.7109375" style="81" bestFit="1" customWidth="1"/>
    <col min="5896" max="5901" width="8.7109375" style="81" customWidth="1"/>
    <col min="5902" max="5903" width="8.7109375" style="81" bestFit="1" customWidth="1"/>
    <col min="5904" max="5904" width="9.85546875" style="81" bestFit="1" customWidth="1"/>
    <col min="5905" max="5905" width="9.140625" style="81"/>
    <col min="5906" max="5908" width="9.140625" style="81" customWidth="1"/>
    <col min="5909" max="5909" width="9.85546875" style="81" bestFit="1" customWidth="1"/>
    <col min="5910" max="5910" width="9.85546875" style="81" customWidth="1"/>
    <col min="5911" max="6144" width="9.140625" style="81"/>
    <col min="6145" max="6145" width="5" style="81" bestFit="1" customWidth="1"/>
    <col min="6146" max="6146" width="9.5703125" style="81" bestFit="1" customWidth="1"/>
    <col min="6147" max="6147" width="8.140625" style="81" customWidth="1"/>
    <col min="6148" max="6148" width="6.85546875" style="81" bestFit="1" customWidth="1"/>
    <col min="6149" max="6149" width="6.5703125" style="81" bestFit="1" customWidth="1"/>
    <col min="6150" max="6150" width="10.85546875" style="81" bestFit="1" customWidth="1"/>
    <col min="6151" max="6151" width="8.7109375" style="81" bestFit="1" customWidth="1"/>
    <col min="6152" max="6157" width="8.7109375" style="81" customWidth="1"/>
    <col min="6158" max="6159" width="8.7109375" style="81" bestFit="1" customWidth="1"/>
    <col min="6160" max="6160" width="9.85546875" style="81" bestFit="1" customWidth="1"/>
    <col min="6161" max="6161" width="9.140625" style="81"/>
    <col min="6162" max="6164" width="9.140625" style="81" customWidth="1"/>
    <col min="6165" max="6165" width="9.85546875" style="81" bestFit="1" customWidth="1"/>
    <col min="6166" max="6166" width="9.85546875" style="81" customWidth="1"/>
    <col min="6167" max="6400" width="9.140625" style="81"/>
    <col min="6401" max="6401" width="5" style="81" bestFit="1" customWidth="1"/>
    <col min="6402" max="6402" width="9.5703125" style="81" bestFit="1" customWidth="1"/>
    <col min="6403" max="6403" width="8.140625" style="81" customWidth="1"/>
    <col min="6404" max="6404" width="6.85546875" style="81" bestFit="1" customWidth="1"/>
    <col min="6405" max="6405" width="6.5703125" style="81" bestFit="1" customWidth="1"/>
    <col min="6406" max="6406" width="10.85546875" style="81" bestFit="1" customWidth="1"/>
    <col min="6407" max="6407" width="8.7109375" style="81" bestFit="1" customWidth="1"/>
    <col min="6408" max="6413" width="8.7109375" style="81" customWidth="1"/>
    <col min="6414" max="6415" width="8.7109375" style="81" bestFit="1" customWidth="1"/>
    <col min="6416" max="6416" width="9.85546875" style="81" bestFit="1" customWidth="1"/>
    <col min="6417" max="6417" width="9.140625" style="81"/>
    <col min="6418" max="6420" width="9.140625" style="81" customWidth="1"/>
    <col min="6421" max="6421" width="9.85546875" style="81" bestFit="1" customWidth="1"/>
    <col min="6422" max="6422" width="9.85546875" style="81" customWidth="1"/>
    <col min="6423" max="6656" width="9.140625" style="81"/>
    <col min="6657" max="6657" width="5" style="81" bestFit="1" customWidth="1"/>
    <col min="6658" max="6658" width="9.5703125" style="81" bestFit="1" customWidth="1"/>
    <col min="6659" max="6659" width="8.140625" style="81" customWidth="1"/>
    <col min="6660" max="6660" width="6.85546875" style="81" bestFit="1" customWidth="1"/>
    <col min="6661" max="6661" width="6.5703125" style="81" bestFit="1" customWidth="1"/>
    <col min="6662" max="6662" width="10.85546875" style="81" bestFit="1" customWidth="1"/>
    <col min="6663" max="6663" width="8.7109375" style="81" bestFit="1" customWidth="1"/>
    <col min="6664" max="6669" width="8.7109375" style="81" customWidth="1"/>
    <col min="6670" max="6671" width="8.7109375" style="81" bestFit="1" customWidth="1"/>
    <col min="6672" max="6672" width="9.85546875" style="81" bestFit="1" customWidth="1"/>
    <col min="6673" max="6673" width="9.140625" style="81"/>
    <col min="6674" max="6676" width="9.140625" style="81" customWidth="1"/>
    <col min="6677" max="6677" width="9.85546875" style="81" bestFit="1" customWidth="1"/>
    <col min="6678" max="6678" width="9.85546875" style="81" customWidth="1"/>
    <col min="6679" max="6912" width="9.140625" style="81"/>
    <col min="6913" max="6913" width="5" style="81" bestFit="1" customWidth="1"/>
    <col min="6914" max="6914" width="9.5703125" style="81" bestFit="1" customWidth="1"/>
    <col min="6915" max="6915" width="8.140625" style="81" customWidth="1"/>
    <col min="6916" max="6916" width="6.85546875" style="81" bestFit="1" customWidth="1"/>
    <col min="6917" max="6917" width="6.5703125" style="81" bestFit="1" customWidth="1"/>
    <col min="6918" max="6918" width="10.85546875" style="81" bestFit="1" customWidth="1"/>
    <col min="6919" max="6919" width="8.7109375" style="81" bestFit="1" customWidth="1"/>
    <col min="6920" max="6925" width="8.7109375" style="81" customWidth="1"/>
    <col min="6926" max="6927" width="8.7109375" style="81" bestFit="1" customWidth="1"/>
    <col min="6928" max="6928" width="9.85546875" style="81" bestFit="1" customWidth="1"/>
    <col min="6929" max="6929" width="9.140625" style="81"/>
    <col min="6930" max="6932" width="9.140625" style="81" customWidth="1"/>
    <col min="6933" max="6933" width="9.85546875" style="81" bestFit="1" customWidth="1"/>
    <col min="6934" max="6934" width="9.85546875" style="81" customWidth="1"/>
    <col min="6935" max="7168" width="9.140625" style="81"/>
    <col min="7169" max="7169" width="5" style="81" bestFit="1" customWidth="1"/>
    <col min="7170" max="7170" width="9.5703125" style="81" bestFit="1" customWidth="1"/>
    <col min="7171" max="7171" width="8.140625" style="81" customWidth="1"/>
    <col min="7172" max="7172" width="6.85546875" style="81" bestFit="1" customWidth="1"/>
    <col min="7173" max="7173" width="6.5703125" style="81" bestFit="1" customWidth="1"/>
    <col min="7174" max="7174" width="10.85546875" style="81" bestFit="1" customWidth="1"/>
    <col min="7175" max="7175" width="8.7109375" style="81" bestFit="1" customWidth="1"/>
    <col min="7176" max="7181" width="8.7109375" style="81" customWidth="1"/>
    <col min="7182" max="7183" width="8.7109375" style="81" bestFit="1" customWidth="1"/>
    <col min="7184" max="7184" width="9.85546875" style="81" bestFit="1" customWidth="1"/>
    <col min="7185" max="7185" width="9.140625" style="81"/>
    <col min="7186" max="7188" width="9.140625" style="81" customWidth="1"/>
    <col min="7189" max="7189" width="9.85546875" style="81" bestFit="1" customWidth="1"/>
    <col min="7190" max="7190" width="9.85546875" style="81" customWidth="1"/>
    <col min="7191" max="7424" width="9.140625" style="81"/>
    <col min="7425" max="7425" width="5" style="81" bestFit="1" customWidth="1"/>
    <col min="7426" max="7426" width="9.5703125" style="81" bestFit="1" customWidth="1"/>
    <col min="7427" max="7427" width="8.140625" style="81" customWidth="1"/>
    <col min="7428" max="7428" width="6.85546875" style="81" bestFit="1" customWidth="1"/>
    <col min="7429" max="7429" width="6.5703125" style="81" bestFit="1" customWidth="1"/>
    <col min="7430" max="7430" width="10.85546875" style="81" bestFit="1" customWidth="1"/>
    <col min="7431" max="7431" width="8.7109375" style="81" bestFit="1" customWidth="1"/>
    <col min="7432" max="7437" width="8.7109375" style="81" customWidth="1"/>
    <col min="7438" max="7439" width="8.7109375" style="81" bestFit="1" customWidth="1"/>
    <col min="7440" max="7440" width="9.85546875" style="81" bestFit="1" customWidth="1"/>
    <col min="7441" max="7441" width="9.140625" style="81"/>
    <col min="7442" max="7444" width="9.140625" style="81" customWidth="1"/>
    <col min="7445" max="7445" width="9.85546875" style="81" bestFit="1" customWidth="1"/>
    <col min="7446" max="7446" width="9.85546875" style="81" customWidth="1"/>
    <col min="7447" max="7680" width="9.140625" style="81"/>
    <col min="7681" max="7681" width="5" style="81" bestFit="1" customWidth="1"/>
    <col min="7682" max="7682" width="9.5703125" style="81" bestFit="1" customWidth="1"/>
    <col min="7683" max="7683" width="8.140625" style="81" customWidth="1"/>
    <col min="7684" max="7684" width="6.85546875" style="81" bestFit="1" customWidth="1"/>
    <col min="7685" max="7685" width="6.5703125" style="81" bestFit="1" customWidth="1"/>
    <col min="7686" max="7686" width="10.85546875" style="81" bestFit="1" customWidth="1"/>
    <col min="7687" max="7687" width="8.7109375" style="81" bestFit="1" customWidth="1"/>
    <col min="7688" max="7693" width="8.7109375" style="81" customWidth="1"/>
    <col min="7694" max="7695" width="8.7109375" style="81" bestFit="1" customWidth="1"/>
    <col min="7696" max="7696" width="9.85546875" style="81" bestFit="1" customWidth="1"/>
    <col min="7697" max="7697" width="9.140625" style="81"/>
    <col min="7698" max="7700" width="9.140625" style="81" customWidth="1"/>
    <col min="7701" max="7701" width="9.85546875" style="81" bestFit="1" customWidth="1"/>
    <col min="7702" max="7702" width="9.85546875" style="81" customWidth="1"/>
    <col min="7703" max="7936" width="9.140625" style="81"/>
    <col min="7937" max="7937" width="5" style="81" bestFit="1" customWidth="1"/>
    <col min="7938" max="7938" width="9.5703125" style="81" bestFit="1" customWidth="1"/>
    <col min="7939" max="7939" width="8.140625" style="81" customWidth="1"/>
    <col min="7940" max="7940" width="6.85546875" style="81" bestFit="1" customWidth="1"/>
    <col min="7941" max="7941" width="6.5703125" style="81" bestFit="1" customWidth="1"/>
    <col min="7942" max="7942" width="10.85546875" style="81" bestFit="1" customWidth="1"/>
    <col min="7943" max="7943" width="8.7109375" style="81" bestFit="1" customWidth="1"/>
    <col min="7944" max="7949" width="8.7109375" style="81" customWidth="1"/>
    <col min="7950" max="7951" width="8.7109375" style="81" bestFit="1" customWidth="1"/>
    <col min="7952" max="7952" width="9.85546875" style="81" bestFit="1" customWidth="1"/>
    <col min="7953" max="7953" width="9.140625" style="81"/>
    <col min="7954" max="7956" width="9.140625" style="81" customWidth="1"/>
    <col min="7957" max="7957" width="9.85546875" style="81" bestFit="1" customWidth="1"/>
    <col min="7958" max="7958" width="9.85546875" style="81" customWidth="1"/>
    <col min="7959" max="8192" width="9.140625" style="81"/>
    <col min="8193" max="8193" width="5" style="81" bestFit="1" customWidth="1"/>
    <col min="8194" max="8194" width="9.5703125" style="81" bestFit="1" customWidth="1"/>
    <col min="8195" max="8195" width="8.140625" style="81" customWidth="1"/>
    <col min="8196" max="8196" width="6.85546875" style="81" bestFit="1" customWidth="1"/>
    <col min="8197" max="8197" width="6.5703125" style="81" bestFit="1" customWidth="1"/>
    <col min="8198" max="8198" width="10.85546875" style="81" bestFit="1" customWidth="1"/>
    <col min="8199" max="8199" width="8.7109375" style="81" bestFit="1" customWidth="1"/>
    <col min="8200" max="8205" width="8.7109375" style="81" customWidth="1"/>
    <col min="8206" max="8207" width="8.7109375" style="81" bestFit="1" customWidth="1"/>
    <col min="8208" max="8208" width="9.85546875" style="81" bestFit="1" customWidth="1"/>
    <col min="8209" max="8209" width="9.140625" style="81"/>
    <col min="8210" max="8212" width="9.140625" style="81" customWidth="1"/>
    <col min="8213" max="8213" width="9.85546875" style="81" bestFit="1" customWidth="1"/>
    <col min="8214" max="8214" width="9.85546875" style="81" customWidth="1"/>
    <col min="8215" max="8448" width="9.140625" style="81"/>
    <col min="8449" max="8449" width="5" style="81" bestFit="1" customWidth="1"/>
    <col min="8450" max="8450" width="9.5703125" style="81" bestFit="1" customWidth="1"/>
    <col min="8451" max="8451" width="8.140625" style="81" customWidth="1"/>
    <col min="8452" max="8452" width="6.85546875" style="81" bestFit="1" customWidth="1"/>
    <col min="8453" max="8453" width="6.5703125" style="81" bestFit="1" customWidth="1"/>
    <col min="8454" max="8454" width="10.85546875" style="81" bestFit="1" customWidth="1"/>
    <col min="8455" max="8455" width="8.7109375" style="81" bestFit="1" customWidth="1"/>
    <col min="8456" max="8461" width="8.7109375" style="81" customWidth="1"/>
    <col min="8462" max="8463" width="8.7109375" style="81" bestFit="1" customWidth="1"/>
    <col min="8464" max="8464" width="9.85546875" style="81" bestFit="1" customWidth="1"/>
    <col min="8465" max="8465" width="9.140625" style="81"/>
    <col min="8466" max="8468" width="9.140625" style="81" customWidth="1"/>
    <col min="8469" max="8469" width="9.85546875" style="81" bestFit="1" customWidth="1"/>
    <col min="8470" max="8470" width="9.85546875" style="81" customWidth="1"/>
    <col min="8471" max="8704" width="9.140625" style="81"/>
    <col min="8705" max="8705" width="5" style="81" bestFit="1" customWidth="1"/>
    <col min="8706" max="8706" width="9.5703125" style="81" bestFit="1" customWidth="1"/>
    <col min="8707" max="8707" width="8.140625" style="81" customWidth="1"/>
    <col min="8708" max="8708" width="6.85546875" style="81" bestFit="1" customWidth="1"/>
    <col min="8709" max="8709" width="6.5703125" style="81" bestFit="1" customWidth="1"/>
    <col min="8710" max="8710" width="10.85546875" style="81" bestFit="1" customWidth="1"/>
    <col min="8711" max="8711" width="8.7109375" style="81" bestFit="1" customWidth="1"/>
    <col min="8712" max="8717" width="8.7109375" style="81" customWidth="1"/>
    <col min="8718" max="8719" width="8.7109375" style="81" bestFit="1" customWidth="1"/>
    <col min="8720" max="8720" width="9.85546875" style="81" bestFit="1" customWidth="1"/>
    <col min="8721" max="8721" width="9.140625" style="81"/>
    <col min="8722" max="8724" width="9.140625" style="81" customWidth="1"/>
    <col min="8725" max="8725" width="9.85546875" style="81" bestFit="1" customWidth="1"/>
    <col min="8726" max="8726" width="9.85546875" style="81" customWidth="1"/>
    <col min="8727" max="8960" width="9.140625" style="81"/>
    <col min="8961" max="8961" width="5" style="81" bestFit="1" customWidth="1"/>
    <col min="8962" max="8962" width="9.5703125" style="81" bestFit="1" customWidth="1"/>
    <col min="8963" max="8963" width="8.140625" style="81" customWidth="1"/>
    <col min="8964" max="8964" width="6.85546875" style="81" bestFit="1" customWidth="1"/>
    <col min="8965" max="8965" width="6.5703125" style="81" bestFit="1" customWidth="1"/>
    <col min="8966" max="8966" width="10.85546875" style="81" bestFit="1" customWidth="1"/>
    <col min="8967" max="8967" width="8.7109375" style="81" bestFit="1" customWidth="1"/>
    <col min="8968" max="8973" width="8.7109375" style="81" customWidth="1"/>
    <col min="8974" max="8975" width="8.7109375" style="81" bestFit="1" customWidth="1"/>
    <col min="8976" max="8976" width="9.85546875" style="81" bestFit="1" customWidth="1"/>
    <col min="8977" max="8977" width="9.140625" style="81"/>
    <col min="8978" max="8980" width="9.140625" style="81" customWidth="1"/>
    <col min="8981" max="8981" width="9.85546875" style="81" bestFit="1" customWidth="1"/>
    <col min="8982" max="8982" width="9.85546875" style="81" customWidth="1"/>
    <col min="8983" max="9216" width="9.140625" style="81"/>
    <col min="9217" max="9217" width="5" style="81" bestFit="1" customWidth="1"/>
    <col min="9218" max="9218" width="9.5703125" style="81" bestFit="1" customWidth="1"/>
    <col min="9219" max="9219" width="8.140625" style="81" customWidth="1"/>
    <col min="9220" max="9220" width="6.85546875" style="81" bestFit="1" customWidth="1"/>
    <col min="9221" max="9221" width="6.5703125" style="81" bestFit="1" customWidth="1"/>
    <col min="9222" max="9222" width="10.85546875" style="81" bestFit="1" customWidth="1"/>
    <col min="9223" max="9223" width="8.7109375" style="81" bestFit="1" customWidth="1"/>
    <col min="9224" max="9229" width="8.7109375" style="81" customWidth="1"/>
    <col min="9230" max="9231" width="8.7109375" style="81" bestFit="1" customWidth="1"/>
    <col min="9232" max="9232" width="9.85546875" style="81" bestFit="1" customWidth="1"/>
    <col min="9233" max="9233" width="9.140625" style="81"/>
    <col min="9234" max="9236" width="9.140625" style="81" customWidth="1"/>
    <col min="9237" max="9237" width="9.85546875" style="81" bestFit="1" customWidth="1"/>
    <col min="9238" max="9238" width="9.85546875" style="81" customWidth="1"/>
    <col min="9239" max="9472" width="9.140625" style="81"/>
    <col min="9473" max="9473" width="5" style="81" bestFit="1" customWidth="1"/>
    <col min="9474" max="9474" width="9.5703125" style="81" bestFit="1" customWidth="1"/>
    <col min="9475" max="9475" width="8.140625" style="81" customWidth="1"/>
    <col min="9476" max="9476" width="6.85546875" style="81" bestFit="1" customWidth="1"/>
    <col min="9477" max="9477" width="6.5703125" style="81" bestFit="1" customWidth="1"/>
    <col min="9478" max="9478" width="10.85546875" style="81" bestFit="1" customWidth="1"/>
    <col min="9479" max="9479" width="8.7109375" style="81" bestFit="1" customWidth="1"/>
    <col min="9480" max="9485" width="8.7109375" style="81" customWidth="1"/>
    <col min="9486" max="9487" width="8.7109375" style="81" bestFit="1" customWidth="1"/>
    <col min="9488" max="9488" width="9.85546875" style="81" bestFit="1" customWidth="1"/>
    <col min="9489" max="9489" width="9.140625" style="81"/>
    <col min="9490" max="9492" width="9.140625" style="81" customWidth="1"/>
    <col min="9493" max="9493" width="9.85546875" style="81" bestFit="1" customWidth="1"/>
    <col min="9494" max="9494" width="9.85546875" style="81" customWidth="1"/>
    <col min="9495" max="9728" width="9.140625" style="81"/>
    <col min="9729" max="9729" width="5" style="81" bestFit="1" customWidth="1"/>
    <col min="9730" max="9730" width="9.5703125" style="81" bestFit="1" customWidth="1"/>
    <col min="9731" max="9731" width="8.140625" style="81" customWidth="1"/>
    <col min="9732" max="9732" width="6.85546875" style="81" bestFit="1" customWidth="1"/>
    <col min="9733" max="9733" width="6.5703125" style="81" bestFit="1" customWidth="1"/>
    <col min="9734" max="9734" width="10.85546875" style="81" bestFit="1" customWidth="1"/>
    <col min="9735" max="9735" width="8.7109375" style="81" bestFit="1" customWidth="1"/>
    <col min="9736" max="9741" width="8.7109375" style="81" customWidth="1"/>
    <col min="9742" max="9743" width="8.7109375" style="81" bestFit="1" customWidth="1"/>
    <col min="9744" max="9744" width="9.85546875" style="81" bestFit="1" customWidth="1"/>
    <col min="9745" max="9745" width="9.140625" style="81"/>
    <col min="9746" max="9748" width="9.140625" style="81" customWidth="1"/>
    <col min="9749" max="9749" width="9.85546875" style="81" bestFit="1" customWidth="1"/>
    <col min="9750" max="9750" width="9.85546875" style="81" customWidth="1"/>
    <col min="9751" max="9984" width="9.140625" style="81"/>
    <col min="9985" max="9985" width="5" style="81" bestFit="1" customWidth="1"/>
    <col min="9986" max="9986" width="9.5703125" style="81" bestFit="1" customWidth="1"/>
    <col min="9987" max="9987" width="8.140625" style="81" customWidth="1"/>
    <col min="9988" max="9988" width="6.85546875" style="81" bestFit="1" customWidth="1"/>
    <col min="9989" max="9989" width="6.5703125" style="81" bestFit="1" customWidth="1"/>
    <col min="9990" max="9990" width="10.85546875" style="81" bestFit="1" customWidth="1"/>
    <col min="9991" max="9991" width="8.7109375" style="81" bestFit="1" customWidth="1"/>
    <col min="9992" max="9997" width="8.7109375" style="81" customWidth="1"/>
    <col min="9998" max="9999" width="8.7109375" style="81" bestFit="1" customWidth="1"/>
    <col min="10000" max="10000" width="9.85546875" style="81" bestFit="1" customWidth="1"/>
    <col min="10001" max="10001" width="9.140625" style="81"/>
    <col min="10002" max="10004" width="9.140625" style="81" customWidth="1"/>
    <col min="10005" max="10005" width="9.85546875" style="81" bestFit="1" customWidth="1"/>
    <col min="10006" max="10006" width="9.85546875" style="81" customWidth="1"/>
    <col min="10007" max="10240" width="9.140625" style="81"/>
    <col min="10241" max="10241" width="5" style="81" bestFit="1" customWidth="1"/>
    <col min="10242" max="10242" width="9.5703125" style="81" bestFit="1" customWidth="1"/>
    <col min="10243" max="10243" width="8.140625" style="81" customWidth="1"/>
    <col min="10244" max="10244" width="6.85546875" style="81" bestFit="1" customWidth="1"/>
    <col min="10245" max="10245" width="6.5703125" style="81" bestFit="1" customWidth="1"/>
    <col min="10246" max="10246" width="10.85546875" style="81" bestFit="1" customWidth="1"/>
    <col min="10247" max="10247" width="8.7109375" style="81" bestFit="1" customWidth="1"/>
    <col min="10248" max="10253" width="8.7109375" style="81" customWidth="1"/>
    <col min="10254" max="10255" width="8.7109375" style="81" bestFit="1" customWidth="1"/>
    <col min="10256" max="10256" width="9.85546875" style="81" bestFit="1" customWidth="1"/>
    <col min="10257" max="10257" width="9.140625" style="81"/>
    <col min="10258" max="10260" width="9.140625" style="81" customWidth="1"/>
    <col min="10261" max="10261" width="9.85546875" style="81" bestFit="1" customWidth="1"/>
    <col min="10262" max="10262" width="9.85546875" style="81" customWidth="1"/>
    <col min="10263" max="10496" width="9.140625" style="81"/>
    <col min="10497" max="10497" width="5" style="81" bestFit="1" customWidth="1"/>
    <col min="10498" max="10498" width="9.5703125" style="81" bestFit="1" customWidth="1"/>
    <col min="10499" max="10499" width="8.140625" style="81" customWidth="1"/>
    <col min="10500" max="10500" width="6.85546875" style="81" bestFit="1" customWidth="1"/>
    <col min="10501" max="10501" width="6.5703125" style="81" bestFit="1" customWidth="1"/>
    <col min="10502" max="10502" width="10.85546875" style="81" bestFit="1" customWidth="1"/>
    <col min="10503" max="10503" width="8.7109375" style="81" bestFit="1" customWidth="1"/>
    <col min="10504" max="10509" width="8.7109375" style="81" customWidth="1"/>
    <col min="10510" max="10511" width="8.7109375" style="81" bestFit="1" customWidth="1"/>
    <col min="10512" max="10512" width="9.85546875" style="81" bestFit="1" customWidth="1"/>
    <col min="10513" max="10513" width="9.140625" style="81"/>
    <col min="10514" max="10516" width="9.140625" style="81" customWidth="1"/>
    <col min="10517" max="10517" width="9.85546875" style="81" bestFit="1" customWidth="1"/>
    <col min="10518" max="10518" width="9.85546875" style="81" customWidth="1"/>
    <col min="10519" max="10752" width="9.140625" style="81"/>
    <col min="10753" max="10753" width="5" style="81" bestFit="1" customWidth="1"/>
    <col min="10754" max="10754" width="9.5703125" style="81" bestFit="1" customWidth="1"/>
    <col min="10755" max="10755" width="8.140625" style="81" customWidth="1"/>
    <col min="10756" max="10756" width="6.85546875" style="81" bestFit="1" customWidth="1"/>
    <col min="10757" max="10757" width="6.5703125" style="81" bestFit="1" customWidth="1"/>
    <col min="10758" max="10758" width="10.85546875" style="81" bestFit="1" customWidth="1"/>
    <col min="10759" max="10759" width="8.7109375" style="81" bestFit="1" customWidth="1"/>
    <col min="10760" max="10765" width="8.7109375" style="81" customWidth="1"/>
    <col min="10766" max="10767" width="8.7109375" style="81" bestFit="1" customWidth="1"/>
    <col min="10768" max="10768" width="9.85546875" style="81" bestFit="1" customWidth="1"/>
    <col min="10769" max="10769" width="9.140625" style="81"/>
    <col min="10770" max="10772" width="9.140625" style="81" customWidth="1"/>
    <col min="10773" max="10773" width="9.85546875" style="81" bestFit="1" customWidth="1"/>
    <col min="10774" max="10774" width="9.85546875" style="81" customWidth="1"/>
    <col min="10775" max="11008" width="9.140625" style="81"/>
    <col min="11009" max="11009" width="5" style="81" bestFit="1" customWidth="1"/>
    <col min="11010" max="11010" width="9.5703125" style="81" bestFit="1" customWidth="1"/>
    <col min="11011" max="11011" width="8.140625" style="81" customWidth="1"/>
    <col min="11012" max="11012" width="6.85546875" style="81" bestFit="1" customWidth="1"/>
    <col min="11013" max="11013" width="6.5703125" style="81" bestFit="1" customWidth="1"/>
    <col min="11014" max="11014" width="10.85546875" style="81" bestFit="1" customWidth="1"/>
    <col min="11015" max="11015" width="8.7109375" style="81" bestFit="1" customWidth="1"/>
    <col min="11016" max="11021" width="8.7109375" style="81" customWidth="1"/>
    <col min="11022" max="11023" width="8.7109375" style="81" bestFit="1" customWidth="1"/>
    <col min="11024" max="11024" width="9.85546875" style="81" bestFit="1" customWidth="1"/>
    <col min="11025" max="11025" width="9.140625" style="81"/>
    <col min="11026" max="11028" width="9.140625" style="81" customWidth="1"/>
    <col min="11029" max="11029" width="9.85546875" style="81" bestFit="1" customWidth="1"/>
    <col min="11030" max="11030" width="9.85546875" style="81" customWidth="1"/>
    <col min="11031" max="11264" width="9.140625" style="81"/>
    <col min="11265" max="11265" width="5" style="81" bestFit="1" customWidth="1"/>
    <col min="11266" max="11266" width="9.5703125" style="81" bestFit="1" customWidth="1"/>
    <col min="11267" max="11267" width="8.140625" style="81" customWidth="1"/>
    <col min="11268" max="11268" width="6.85546875" style="81" bestFit="1" customWidth="1"/>
    <col min="11269" max="11269" width="6.5703125" style="81" bestFit="1" customWidth="1"/>
    <col min="11270" max="11270" width="10.85546875" style="81" bestFit="1" customWidth="1"/>
    <col min="11271" max="11271" width="8.7109375" style="81" bestFit="1" customWidth="1"/>
    <col min="11272" max="11277" width="8.7109375" style="81" customWidth="1"/>
    <col min="11278" max="11279" width="8.7109375" style="81" bestFit="1" customWidth="1"/>
    <col min="11280" max="11280" width="9.85546875" style="81" bestFit="1" customWidth="1"/>
    <col min="11281" max="11281" width="9.140625" style="81"/>
    <col min="11282" max="11284" width="9.140625" style="81" customWidth="1"/>
    <col min="11285" max="11285" width="9.85546875" style="81" bestFit="1" customWidth="1"/>
    <col min="11286" max="11286" width="9.85546875" style="81" customWidth="1"/>
    <col min="11287" max="11520" width="9.140625" style="81"/>
    <col min="11521" max="11521" width="5" style="81" bestFit="1" customWidth="1"/>
    <col min="11522" max="11522" width="9.5703125" style="81" bestFit="1" customWidth="1"/>
    <col min="11523" max="11523" width="8.140625" style="81" customWidth="1"/>
    <col min="11524" max="11524" width="6.85546875" style="81" bestFit="1" customWidth="1"/>
    <col min="11525" max="11525" width="6.5703125" style="81" bestFit="1" customWidth="1"/>
    <col min="11526" max="11526" width="10.85546875" style="81" bestFit="1" customWidth="1"/>
    <col min="11527" max="11527" width="8.7109375" style="81" bestFit="1" customWidth="1"/>
    <col min="11528" max="11533" width="8.7109375" style="81" customWidth="1"/>
    <col min="11534" max="11535" width="8.7109375" style="81" bestFit="1" customWidth="1"/>
    <col min="11536" max="11536" width="9.85546875" style="81" bestFit="1" customWidth="1"/>
    <col min="11537" max="11537" width="9.140625" style="81"/>
    <col min="11538" max="11540" width="9.140625" style="81" customWidth="1"/>
    <col min="11541" max="11541" width="9.85546875" style="81" bestFit="1" customWidth="1"/>
    <col min="11542" max="11542" width="9.85546875" style="81" customWidth="1"/>
    <col min="11543" max="11776" width="9.140625" style="81"/>
    <col min="11777" max="11777" width="5" style="81" bestFit="1" customWidth="1"/>
    <col min="11778" max="11778" width="9.5703125" style="81" bestFit="1" customWidth="1"/>
    <col min="11779" max="11779" width="8.140625" style="81" customWidth="1"/>
    <col min="11780" max="11780" width="6.85546875" style="81" bestFit="1" customWidth="1"/>
    <col min="11781" max="11781" width="6.5703125" style="81" bestFit="1" customWidth="1"/>
    <col min="11782" max="11782" width="10.85546875" style="81" bestFit="1" customWidth="1"/>
    <col min="11783" max="11783" width="8.7109375" style="81" bestFit="1" customWidth="1"/>
    <col min="11784" max="11789" width="8.7109375" style="81" customWidth="1"/>
    <col min="11790" max="11791" width="8.7109375" style="81" bestFit="1" customWidth="1"/>
    <col min="11792" max="11792" width="9.85546875" style="81" bestFit="1" customWidth="1"/>
    <col min="11793" max="11793" width="9.140625" style="81"/>
    <col min="11794" max="11796" width="9.140625" style="81" customWidth="1"/>
    <col min="11797" max="11797" width="9.85546875" style="81" bestFit="1" customWidth="1"/>
    <col min="11798" max="11798" width="9.85546875" style="81" customWidth="1"/>
    <col min="11799" max="12032" width="9.140625" style="81"/>
    <col min="12033" max="12033" width="5" style="81" bestFit="1" customWidth="1"/>
    <col min="12034" max="12034" width="9.5703125" style="81" bestFit="1" customWidth="1"/>
    <col min="12035" max="12035" width="8.140625" style="81" customWidth="1"/>
    <col min="12036" max="12036" width="6.85546875" style="81" bestFit="1" customWidth="1"/>
    <col min="12037" max="12037" width="6.5703125" style="81" bestFit="1" customWidth="1"/>
    <col min="12038" max="12038" width="10.85546875" style="81" bestFit="1" customWidth="1"/>
    <col min="12039" max="12039" width="8.7109375" style="81" bestFit="1" customWidth="1"/>
    <col min="12040" max="12045" width="8.7109375" style="81" customWidth="1"/>
    <col min="12046" max="12047" width="8.7109375" style="81" bestFit="1" customWidth="1"/>
    <col min="12048" max="12048" width="9.85546875" style="81" bestFit="1" customWidth="1"/>
    <col min="12049" max="12049" width="9.140625" style="81"/>
    <col min="12050" max="12052" width="9.140625" style="81" customWidth="1"/>
    <col min="12053" max="12053" width="9.85546875" style="81" bestFit="1" customWidth="1"/>
    <col min="12054" max="12054" width="9.85546875" style="81" customWidth="1"/>
    <col min="12055" max="12288" width="9.140625" style="81"/>
    <col min="12289" max="12289" width="5" style="81" bestFit="1" customWidth="1"/>
    <col min="12290" max="12290" width="9.5703125" style="81" bestFit="1" customWidth="1"/>
    <col min="12291" max="12291" width="8.140625" style="81" customWidth="1"/>
    <col min="12292" max="12292" width="6.85546875" style="81" bestFit="1" customWidth="1"/>
    <col min="12293" max="12293" width="6.5703125" style="81" bestFit="1" customWidth="1"/>
    <col min="12294" max="12294" width="10.85546875" style="81" bestFit="1" customWidth="1"/>
    <col min="12295" max="12295" width="8.7109375" style="81" bestFit="1" customWidth="1"/>
    <col min="12296" max="12301" width="8.7109375" style="81" customWidth="1"/>
    <col min="12302" max="12303" width="8.7109375" style="81" bestFit="1" customWidth="1"/>
    <col min="12304" max="12304" width="9.85546875" style="81" bestFit="1" customWidth="1"/>
    <col min="12305" max="12305" width="9.140625" style="81"/>
    <col min="12306" max="12308" width="9.140625" style="81" customWidth="1"/>
    <col min="12309" max="12309" width="9.85546875" style="81" bestFit="1" customWidth="1"/>
    <col min="12310" max="12310" width="9.85546875" style="81" customWidth="1"/>
    <col min="12311" max="12544" width="9.140625" style="81"/>
    <col min="12545" max="12545" width="5" style="81" bestFit="1" customWidth="1"/>
    <col min="12546" max="12546" width="9.5703125" style="81" bestFit="1" customWidth="1"/>
    <col min="12547" max="12547" width="8.140625" style="81" customWidth="1"/>
    <col min="12548" max="12548" width="6.85546875" style="81" bestFit="1" customWidth="1"/>
    <col min="12549" max="12549" width="6.5703125" style="81" bestFit="1" customWidth="1"/>
    <col min="12550" max="12550" width="10.85546875" style="81" bestFit="1" customWidth="1"/>
    <col min="12551" max="12551" width="8.7109375" style="81" bestFit="1" customWidth="1"/>
    <col min="12552" max="12557" width="8.7109375" style="81" customWidth="1"/>
    <col min="12558" max="12559" width="8.7109375" style="81" bestFit="1" customWidth="1"/>
    <col min="12560" max="12560" width="9.85546875" style="81" bestFit="1" customWidth="1"/>
    <col min="12561" max="12561" width="9.140625" style="81"/>
    <col min="12562" max="12564" width="9.140625" style="81" customWidth="1"/>
    <col min="12565" max="12565" width="9.85546875" style="81" bestFit="1" customWidth="1"/>
    <col min="12566" max="12566" width="9.85546875" style="81" customWidth="1"/>
    <col min="12567" max="12800" width="9.140625" style="81"/>
    <col min="12801" max="12801" width="5" style="81" bestFit="1" customWidth="1"/>
    <col min="12802" max="12802" width="9.5703125" style="81" bestFit="1" customWidth="1"/>
    <col min="12803" max="12803" width="8.140625" style="81" customWidth="1"/>
    <col min="12804" max="12804" width="6.85546875" style="81" bestFit="1" customWidth="1"/>
    <col min="12805" max="12805" width="6.5703125" style="81" bestFit="1" customWidth="1"/>
    <col min="12806" max="12806" width="10.85546875" style="81" bestFit="1" customWidth="1"/>
    <col min="12807" max="12807" width="8.7109375" style="81" bestFit="1" customWidth="1"/>
    <col min="12808" max="12813" width="8.7109375" style="81" customWidth="1"/>
    <col min="12814" max="12815" width="8.7109375" style="81" bestFit="1" customWidth="1"/>
    <col min="12816" max="12816" width="9.85546875" style="81" bestFit="1" customWidth="1"/>
    <col min="12817" max="12817" width="9.140625" style="81"/>
    <col min="12818" max="12820" width="9.140625" style="81" customWidth="1"/>
    <col min="12821" max="12821" width="9.85546875" style="81" bestFit="1" customWidth="1"/>
    <col min="12822" max="12822" width="9.85546875" style="81" customWidth="1"/>
    <col min="12823" max="13056" width="9.140625" style="81"/>
    <col min="13057" max="13057" width="5" style="81" bestFit="1" customWidth="1"/>
    <col min="13058" max="13058" width="9.5703125" style="81" bestFit="1" customWidth="1"/>
    <col min="13059" max="13059" width="8.140625" style="81" customWidth="1"/>
    <col min="13060" max="13060" width="6.85546875" style="81" bestFit="1" customWidth="1"/>
    <col min="13061" max="13061" width="6.5703125" style="81" bestFit="1" customWidth="1"/>
    <col min="13062" max="13062" width="10.85546875" style="81" bestFit="1" customWidth="1"/>
    <col min="13063" max="13063" width="8.7109375" style="81" bestFit="1" customWidth="1"/>
    <col min="13064" max="13069" width="8.7109375" style="81" customWidth="1"/>
    <col min="13070" max="13071" width="8.7109375" style="81" bestFit="1" customWidth="1"/>
    <col min="13072" max="13072" width="9.85546875" style="81" bestFit="1" customWidth="1"/>
    <col min="13073" max="13073" width="9.140625" style="81"/>
    <col min="13074" max="13076" width="9.140625" style="81" customWidth="1"/>
    <col min="13077" max="13077" width="9.85546875" style="81" bestFit="1" customWidth="1"/>
    <col min="13078" max="13078" width="9.85546875" style="81" customWidth="1"/>
    <col min="13079" max="13312" width="9.140625" style="81"/>
    <col min="13313" max="13313" width="5" style="81" bestFit="1" customWidth="1"/>
    <col min="13314" max="13314" width="9.5703125" style="81" bestFit="1" customWidth="1"/>
    <col min="13315" max="13315" width="8.140625" style="81" customWidth="1"/>
    <col min="13316" max="13316" width="6.85546875" style="81" bestFit="1" customWidth="1"/>
    <col min="13317" max="13317" width="6.5703125" style="81" bestFit="1" customWidth="1"/>
    <col min="13318" max="13318" width="10.85546875" style="81" bestFit="1" customWidth="1"/>
    <col min="13319" max="13319" width="8.7109375" style="81" bestFit="1" customWidth="1"/>
    <col min="13320" max="13325" width="8.7109375" style="81" customWidth="1"/>
    <col min="13326" max="13327" width="8.7109375" style="81" bestFit="1" customWidth="1"/>
    <col min="13328" max="13328" width="9.85546875" style="81" bestFit="1" customWidth="1"/>
    <col min="13329" max="13329" width="9.140625" style="81"/>
    <col min="13330" max="13332" width="9.140625" style="81" customWidth="1"/>
    <col min="13333" max="13333" width="9.85546875" style="81" bestFit="1" customWidth="1"/>
    <col min="13334" max="13334" width="9.85546875" style="81" customWidth="1"/>
    <col min="13335" max="13568" width="9.140625" style="81"/>
    <col min="13569" max="13569" width="5" style="81" bestFit="1" customWidth="1"/>
    <col min="13570" max="13570" width="9.5703125" style="81" bestFit="1" customWidth="1"/>
    <col min="13571" max="13571" width="8.140625" style="81" customWidth="1"/>
    <col min="13572" max="13572" width="6.85546875" style="81" bestFit="1" customWidth="1"/>
    <col min="13573" max="13573" width="6.5703125" style="81" bestFit="1" customWidth="1"/>
    <col min="13574" max="13574" width="10.85546875" style="81" bestFit="1" customWidth="1"/>
    <col min="13575" max="13575" width="8.7109375" style="81" bestFit="1" customWidth="1"/>
    <col min="13576" max="13581" width="8.7109375" style="81" customWidth="1"/>
    <col min="13582" max="13583" width="8.7109375" style="81" bestFit="1" customWidth="1"/>
    <col min="13584" max="13584" width="9.85546875" style="81" bestFit="1" customWidth="1"/>
    <col min="13585" max="13585" width="9.140625" style="81"/>
    <col min="13586" max="13588" width="9.140625" style="81" customWidth="1"/>
    <col min="13589" max="13589" width="9.85546875" style="81" bestFit="1" customWidth="1"/>
    <col min="13590" max="13590" width="9.85546875" style="81" customWidth="1"/>
    <col min="13591" max="13824" width="9.140625" style="81"/>
    <col min="13825" max="13825" width="5" style="81" bestFit="1" customWidth="1"/>
    <col min="13826" max="13826" width="9.5703125" style="81" bestFit="1" customWidth="1"/>
    <col min="13827" max="13827" width="8.140625" style="81" customWidth="1"/>
    <col min="13828" max="13828" width="6.85546875" style="81" bestFit="1" customWidth="1"/>
    <col min="13829" max="13829" width="6.5703125" style="81" bestFit="1" customWidth="1"/>
    <col min="13830" max="13830" width="10.85546875" style="81" bestFit="1" customWidth="1"/>
    <col min="13831" max="13831" width="8.7109375" style="81" bestFit="1" customWidth="1"/>
    <col min="13832" max="13837" width="8.7109375" style="81" customWidth="1"/>
    <col min="13838" max="13839" width="8.7109375" style="81" bestFit="1" customWidth="1"/>
    <col min="13840" max="13840" width="9.85546875" style="81" bestFit="1" customWidth="1"/>
    <col min="13841" max="13841" width="9.140625" style="81"/>
    <col min="13842" max="13844" width="9.140625" style="81" customWidth="1"/>
    <col min="13845" max="13845" width="9.85546875" style="81" bestFit="1" customWidth="1"/>
    <col min="13846" max="13846" width="9.85546875" style="81" customWidth="1"/>
    <col min="13847" max="14080" width="9.140625" style="81"/>
    <col min="14081" max="14081" width="5" style="81" bestFit="1" customWidth="1"/>
    <col min="14082" max="14082" width="9.5703125" style="81" bestFit="1" customWidth="1"/>
    <col min="14083" max="14083" width="8.140625" style="81" customWidth="1"/>
    <col min="14084" max="14084" width="6.85546875" style="81" bestFit="1" customWidth="1"/>
    <col min="14085" max="14085" width="6.5703125" style="81" bestFit="1" customWidth="1"/>
    <col min="14086" max="14086" width="10.85546875" style="81" bestFit="1" customWidth="1"/>
    <col min="14087" max="14087" width="8.7109375" style="81" bestFit="1" customWidth="1"/>
    <col min="14088" max="14093" width="8.7109375" style="81" customWidth="1"/>
    <col min="14094" max="14095" width="8.7109375" style="81" bestFit="1" customWidth="1"/>
    <col min="14096" max="14096" width="9.85546875" style="81" bestFit="1" customWidth="1"/>
    <col min="14097" max="14097" width="9.140625" style="81"/>
    <col min="14098" max="14100" width="9.140625" style="81" customWidth="1"/>
    <col min="14101" max="14101" width="9.85546875" style="81" bestFit="1" customWidth="1"/>
    <col min="14102" max="14102" width="9.85546875" style="81" customWidth="1"/>
    <col min="14103" max="14336" width="9.140625" style="81"/>
    <col min="14337" max="14337" width="5" style="81" bestFit="1" customWidth="1"/>
    <col min="14338" max="14338" width="9.5703125" style="81" bestFit="1" customWidth="1"/>
    <col min="14339" max="14339" width="8.140625" style="81" customWidth="1"/>
    <col min="14340" max="14340" width="6.85546875" style="81" bestFit="1" customWidth="1"/>
    <col min="14341" max="14341" width="6.5703125" style="81" bestFit="1" customWidth="1"/>
    <col min="14342" max="14342" width="10.85546875" style="81" bestFit="1" customWidth="1"/>
    <col min="14343" max="14343" width="8.7109375" style="81" bestFit="1" customWidth="1"/>
    <col min="14344" max="14349" width="8.7109375" style="81" customWidth="1"/>
    <col min="14350" max="14351" width="8.7109375" style="81" bestFit="1" customWidth="1"/>
    <col min="14352" max="14352" width="9.85546875" style="81" bestFit="1" customWidth="1"/>
    <col min="14353" max="14353" width="9.140625" style="81"/>
    <col min="14354" max="14356" width="9.140625" style="81" customWidth="1"/>
    <col min="14357" max="14357" width="9.85546875" style="81" bestFit="1" customWidth="1"/>
    <col min="14358" max="14358" width="9.85546875" style="81" customWidth="1"/>
    <col min="14359" max="14592" width="9.140625" style="81"/>
    <col min="14593" max="14593" width="5" style="81" bestFit="1" customWidth="1"/>
    <col min="14594" max="14594" width="9.5703125" style="81" bestFit="1" customWidth="1"/>
    <col min="14595" max="14595" width="8.140625" style="81" customWidth="1"/>
    <col min="14596" max="14596" width="6.85546875" style="81" bestFit="1" customWidth="1"/>
    <col min="14597" max="14597" width="6.5703125" style="81" bestFit="1" customWidth="1"/>
    <col min="14598" max="14598" width="10.85546875" style="81" bestFit="1" customWidth="1"/>
    <col min="14599" max="14599" width="8.7109375" style="81" bestFit="1" customWidth="1"/>
    <col min="14600" max="14605" width="8.7109375" style="81" customWidth="1"/>
    <col min="14606" max="14607" width="8.7109375" style="81" bestFit="1" customWidth="1"/>
    <col min="14608" max="14608" width="9.85546875" style="81" bestFit="1" customWidth="1"/>
    <col min="14609" max="14609" width="9.140625" style="81"/>
    <col min="14610" max="14612" width="9.140625" style="81" customWidth="1"/>
    <col min="14613" max="14613" width="9.85546875" style="81" bestFit="1" customWidth="1"/>
    <col min="14614" max="14614" width="9.85546875" style="81" customWidth="1"/>
    <col min="14615" max="14848" width="9.140625" style="81"/>
    <col min="14849" max="14849" width="5" style="81" bestFit="1" customWidth="1"/>
    <col min="14850" max="14850" width="9.5703125" style="81" bestFit="1" customWidth="1"/>
    <col min="14851" max="14851" width="8.140625" style="81" customWidth="1"/>
    <col min="14852" max="14852" width="6.85546875" style="81" bestFit="1" customWidth="1"/>
    <col min="14853" max="14853" width="6.5703125" style="81" bestFit="1" customWidth="1"/>
    <col min="14854" max="14854" width="10.85546875" style="81" bestFit="1" customWidth="1"/>
    <col min="14855" max="14855" width="8.7109375" style="81" bestFit="1" customWidth="1"/>
    <col min="14856" max="14861" width="8.7109375" style="81" customWidth="1"/>
    <col min="14862" max="14863" width="8.7109375" style="81" bestFit="1" customWidth="1"/>
    <col min="14864" max="14864" width="9.85546875" style="81" bestFit="1" customWidth="1"/>
    <col min="14865" max="14865" width="9.140625" style="81"/>
    <col min="14866" max="14868" width="9.140625" style="81" customWidth="1"/>
    <col min="14869" max="14869" width="9.85546875" style="81" bestFit="1" customWidth="1"/>
    <col min="14870" max="14870" width="9.85546875" style="81" customWidth="1"/>
    <col min="14871" max="15104" width="9.140625" style="81"/>
    <col min="15105" max="15105" width="5" style="81" bestFit="1" customWidth="1"/>
    <col min="15106" max="15106" width="9.5703125" style="81" bestFit="1" customWidth="1"/>
    <col min="15107" max="15107" width="8.140625" style="81" customWidth="1"/>
    <col min="15108" max="15108" width="6.85546875" style="81" bestFit="1" customWidth="1"/>
    <col min="15109" max="15109" width="6.5703125" style="81" bestFit="1" customWidth="1"/>
    <col min="15110" max="15110" width="10.85546875" style="81" bestFit="1" customWidth="1"/>
    <col min="15111" max="15111" width="8.7109375" style="81" bestFit="1" customWidth="1"/>
    <col min="15112" max="15117" width="8.7109375" style="81" customWidth="1"/>
    <col min="15118" max="15119" width="8.7109375" style="81" bestFit="1" customWidth="1"/>
    <col min="15120" max="15120" width="9.85546875" style="81" bestFit="1" customWidth="1"/>
    <col min="15121" max="15121" width="9.140625" style="81"/>
    <col min="15122" max="15124" width="9.140625" style="81" customWidth="1"/>
    <col min="15125" max="15125" width="9.85546875" style="81" bestFit="1" customWidth="1"/>
    <col min="15126" max="15126" width="9.85546875" style="81" customWidth="1"/>
    <col min="15127" max="15360" width="9.140625" style="81"/>
    <col min="15361" max="15361" width="5" style="81" bestFit="1" customWidth="1"/>
    <col min="15362" max="15362" width="9.5703125" style="81" bestFit="1" customWidth="1"/>
    <col min="15363" max="15363" width="8.140625" style="81" customWidth="1"/>
    <col min="15364" max="15364" width="6.85546875" style="81" bestFit="1" customWidth="1"/>
    <col min="15365" max="15365" width="6.5703125" style="81" bestFit="1" customWidth="1"/>
    <col min="15366" max="15366" width="10.85546875" style="81" bestFit="1" customWidth="1"/>
    <col min="15367" max="15367" width="8.7109375" style="81" bestFit="1" customWidth="1"/>
    <col min="15368" max="15373" width="8.7109375" style="81" customWidth="1"/>
    <col min="15374" max="15375" width="8.7109375" style="81" bestFit="1" customWidth="1"/>
    <col min="15376" max="15376" width="9.85546875" style="81" bestFit="1" customWidth="1"/>
    <col min="15377" max="15377" width="9.140625" style="81"/>
    <col min="15378" max="15380" width="9.140625" style="81" customWidth="1"/>
    <col min="15381" max="15381" width="9.85546875" style="81" bestFit="1" customWidth="1"/>
    <col min="15382" max="15382" width="9.85546875" style="81" customWidth="1"/>
    <col min="15383" max="15616" width="9.140625" style="81"/>
    <col min="15617" max="15617" width="5" style="81" bestFit="1" customWidth="1"/>
    <col min="15618" max="15618" width="9.5703125" style="81" bestFit="1" customWidth="1"/>
    <col min="15619" max="15619" width="8.140625" style="81" customWidth="1"/>
    <col min="15620" max="15620" width="6.85546875" style="81" bestFit="1" customWidth="1"/>
    <col min="15621" max="15621" width="6.5703125" style="81" bestFit="1" customWidth="1"/>
    <col min="15622" max="15622" width="10.85546875" style="81" bestFit="1" customWidth="1"/>
    <col min="15623" max="15623" width="8.7109375" style="81" bestFit="1" customWidth="1"/>
    <col min="15624" max="15629" width="8.7109375" style="81" customWidth="1"/>
    <col min="15630" max="15631" width="8.7109375" style="81" bestFit="1" customWidth="1"/>
    <col min="15632" max="15632" width="9.85546875" style="81" bestFit="1" customWidth="1"/>
    <col min="15633" max="15633" width="9.140625" style="81"/>
    <col min="15634" max="15636" width="9.140625" style="81" customWidth="1"/>
    <col min="15637" max="15637" width="9.85546875" style="81" bestFit="1" customWidth="1"/>
    <col min="15638" max="15638" width="9.85546875" style="81" customWidth="1"/>
    <col min="15639" max="15872" width="9.140625" style="81"/>
    <col min="15873" max="15873" width="5" style="81" bestFit="1" customWidth="1"/>
    <col min="15874" max="15874" width="9.5703125" style="81" bestFit="1" customWidth="1"/>
    <col min="15875" max="15875" width="8.140625" style="81" customWidth="1"/>
    <col min="15876" max="15876" width="6.85546875" style="81" bestFit="1" customWidth="1"/>
    <col min="15877" max="15877" width="6.5703125" style="81" bestFit="1" customWidth="1"/>
    <col min="15878" max="15878" width="10.85546875" style="81" bestFit="1" customWidth="1"/>
    <col min="15879" max="15879" width="8.7109375" style="81" bestFit="1" customWidth="1"/>
    <col min="15880" max="15885" width="8.7109375" style="81" customWidth="1"/>
    <col min="15886" max="15887" width="8.7109375" style="81" bestFit="1" customWidth="1"/>
    <col min="15888" max="15888" width="9.85546875" style="81" bestFit="1" customWidth="1"/>
    <col min="15889" max="15889" width="9.140625" style="81"/>
    <col min="15890" max="15892" width="9.140625" style="81" customWidth="1"/>
    <col min="15893" max="15893" width="9.85546875" style="81" bestFit="1" customWidth="1"/>
    <col min="15894" max="15894" width="9.85546875" style="81" customWidth="1"/>
    <col min="15895" max="16128" width="9.140625" style="81"/>
    <col min="16129" max="16129" width="5" style="81" bestFit="1" customWidth="1"/>
    <col min="16130" max="16130" width="9.5703125" style="81" bestFit="1" customWidth="1"/>
    <col min="16131" max="16131" width="8.140625" style="81" customWidth="1"/>
    <col min="16132" max="16132" width="6.85546875" style="81" bestFit="1" customWidth="1"/>
    <col min="16133" max="16133" width="6.5703125" style="81" bestFit="1" customWidth="1"/>
    <col min="16134" max="16134" width="10.85546875" style="81" bestFit="1" customWidth="1"/>
    <col min="16135" max="16135" width="8.7109375" style="81" bestFit="1" customWidth="1"/>
    <col min="16136" max="16141" width="8.7109375" style="81" customWidth="1"/>
    <col min="16142" max="16143" width="8.7109375" style="81" bestFit="1" customWidth="1"/>
    <col min="16144" max="16144" width="9.85546875" style="81" bestFit="1" customWidth="1"/>
    <col min="16145" max="16145" width="9.140625" style="81"/>
    <col min="16146" max="16148" width="9.140625" style="81" customWidth="1"/>
    <col min="16149" max="16149" width="9.85546875" style="81" bestFit="1" customWidth="1"/>
    <col min="16150" max="16150" width="9.85546875" style="81" customWidth="1"/>
    <col min="16151" max="16384" width="9.140625" style="81"/>
  </cols>
  <sheetData>
    <row r="1" spans="1:39" ht="12.75" customHeight="1" x14ac:dyDescent="0.2">
      <c r="A1" s="1153" t="s">
        <v>118</v>
      </c>
      <c r="B1" s="1153"/>
      <c r="C1" s="1153"/>
      <c r="D1" s="1153"/>
      <c r="E1" s="1153"/>
      <c r="F1" s="1153"/>
      <c r="G1" s="1153"/>
      <c r="H1" s="1153"/>
      <c r="I1" s="1153"/>
      <c r="J1" s="1153"/>
      <c r="K1" s="1153"/>
      <c r="L1" s="1153"/>
      <c r="M1" s="1153"/>
      <c r="N1" s="1153"/>
      <c r="O1" s="1153"/>
      <c r="P1" s="80"/>
      <c r="Q1" s="80"/>
      <c r="R1" s="80"/>
      <c r="S1" s="80"/>
      <c r="T1" s="80"/>
      <c r="U1" s="80"/>
      <c r="V1" s="80"/>
      <c r="W1" s="80"/>
      <c r="AB1" s="80"/>
    </row>
    <row r="2" spans="1:39" ht="12.75" customHeight="1" x14ac:dyDescent="0.2">
      <c r="A2" s="1154" t="s">
        <v>119</v>
      </c>
      <c r="B2" s="1154"/>
      <c r="C2" s="1154"/>
      <c r="D2" s="1154"/>
      <c r="E2" s="1154"/>
      <c r="F2" s="1154"/>
      <c r="G2" s="1154"/>
      <c r="H2" s="1154"/>
      <c r="I2" s="1154"/>
      <c r="J2" s="1154"/>
      <c r="K2" s="1154"/>
      <c r="L2" s="1154"/>
      <c r="M2" s="1154"/>
      <c r="N2" s="1154"/>
      <c r="O2" s="1154"/>
      <c r="P2" s="80"/>
      <c r="Q2" s="80"/>
      <c r="R2" s="80"/>
      <c r="S2" s="80"/>
      <c r="T2" s="80"/>
      <c r="U2" s="80"/>
      <c r="V2" s="80"/>
      <c r="W2" s="80"/>
      <c r="AB2" s="80"/>
    </row>
    <row r="3" spans="1:39" ht="12.75" customHeight="1" x14ac:dyDescent="0.25">
      <c r="A3" s="1155" t="s">
        <v>120</v>
      </c>
      <c r="B3" s="1153"/>
      <c r="C3" s="1153"/>
      <c r="D3" s="1153"/>
      <c r="E3" s="1153"/>
      <c r="F3" s="1153"/>
      <c r="G3" s="1153"/>
      <c r="H3" s="1153"/>
      <c r="I3" s="1153"/>
      <c r="J3" s="1153"/>
      <c r="K3" s="1153"/>
      <c r="L3" s="1153"/>
      <c r="M3" s="1153"/>
      <c r="N3" s="1153"/>
      <c r="O3" s="1153"/>
      <c r="P3" s="80"/>
      <c r="Q3" s="80"/>
      <c r="R3" s="80"/>
      <c r="S3" s="80"/>
      <c r="T3" s="80"/>
      <c r="U3" s="80"/>
      <c r="V3" s="80"/>
      <c r="W3" s="80"/>
      <c r="AB3" s="80"/>
    </row>
    <row r="4" spans="1:39" ht="12.75" customHeight="1" x14ac:dyDescent="0.2">
      <c r="A4" s="1153" t="s">
        <v>121</v>
      </c>
      <c r="B4" s="1153"/>
      <c r="C4" s="1153"/>
      <c r="D4" s="1153"/>
      <c r="E4" s="1153"/>
      <c r="F4" s="1153"/>
      <c r="G4" s="1153"/>
      <c r="H4" s="1153"/>
      <c r="I4" s="1153"/>
      <c r="J4" s="1153"/>
      <c r="K4" s="1153"/>
      <c r="L4" s="1153"/>
      <c r="M4" s="1153"/>
      <c r="N4" s="1153"/>
      <c r="O4" s="1153"/>
      <c r="P4" s="80"/>
      <c r="Q4" s="80"/>
      <c r="R4" s="80"/>
      <c r="S4" s="80"/>
      <c r="T4" s="80"/>
      <c r="U4" s="80"/>
      <c r="V4" s="80"/>
      <c r="W4" s="80"/>
      <c r="AB4" s="80"/>
    </row>
    <row r="5" spans="1:39" ht="25.5" customHeight="1" x14ac:dyDescent="0.2">
      <c r="A5" s="82"/>
      <c r="B5" s="1156" t="s">
        <v>122</v>
      </c>
      <c r="C5" s="1156"/>
      <c r="D5" s="1156"/>
      <c r="E5" s="1156"/>
      <c r="F5" s="1156"/>
      <c r="G5" s="1156"/>
      <c r="H5" s="1156"/>
      <c r="I5" s="1156"/>
      <c r="J5" s="1156"/>
      <c r="K5" s="1156"/>
      <c r="L5" s="1156"/>
      <c r="M5" s="1156"/>
      <c r="N5" s="1156"/>
      <c r="O5" s="1156"/>
      <c r="P5" s="1156"/>
      <c r="Q5" s="83"/>
      <c r="R5" s="83"/>
      <c r="S5" s="83"/>
      <c r="T5" s="83"/>
      <c r="U5" s="83"/>
      <c r="V5" s="83"/>
      <c r="W5" s="1152" t="s">
        <v>123</v>
      </c>
      <c r="X5" s="1152"/>
      <c r="Y5" s="1152"/>
      <c r="Z5" s="1152"/>
      <c r="AA5" s="1152"/>
      <c r="AB5" s="1147" t="s">
        <v>124</v>
      </c>
      <c r="AC5" s="1147"/>
      <c r="AD5" s="1147"/>
      <c r="AE5" s="1147"/>
      <c r="AF5" s="1148" t="s">
        <v>125</v>
      </c>
      <c r="AG5" s="1148"/>
      <c r="AH5" s="1148"/>
      <c r="AI5" s="1148"/>
    </row>
    <row r="6" spans="1:39" ht="51" x14ac:dyDescent="0.2">
      <c r="A6" s="132" t="s">
        <v>126</v>
      </c>
      <c r="B6" s="132" t="s">
        <v>127</v>
      </c>
      <c r="C6" s="132" t="s">
        <v>128</v>
      </c>
      <c r="D6" s="132" t="s">
        <v>129</v>
      </c>
      <c r="E6" s="132" t="s">
        <v>130</v>
      </c>
      <c r="F6" s="132" t="s">
        <v>131</v>
      </c>
      <c r="G6" s="132" t="s">
        <v>132</v>
      </c>
      <c r="H6" s="132" t="s">
        <v>133</v>
      </c>
      <c r="I6" s="132" t="s">
        <v>134</v>
      </c>
      <c r="J6" s="132" t="s">
        <v>135</v>
      </c>
      <c r="K6" s="132" t="s">
        <v>136</v>
      </c>
      <c r="L6" s="132" t="s">
        <v>137</v>
      </c>
      <c r="M6" s="132" t="s">
        <v>138</v>
      </c>
      <c r="N6" s="132" t="s">
        <v>139</v>
      </c>
      <c r="O6" s="132" t="s">
        <v>140</v>
      </c>
      <c r="P6" s="132" t="s">
        <v>141</v>
      </c>
      <c r="Q6" s="132" t="s">
        <v>142</v>
      </c>
      <c r="R6" s="132" t="s">
        <v>136</v>
      </c>
      <c r="S6" s="132" t="s">
        <v>143</v>
      </c>
      <c r="T6" s="132" t="s">
        <v>144</v>
      </c>
      <c r="U6" s="132" t="s">
        <v>145</v>
      </c>
      <c r="V6" s="132" t="s">
        <v>146</v>
      </c>
      <c r="W6" s="132" t="s">
        <v>126</v>
      </c>
      <c r="X6" s="132" t="s">
        <v>147</v>
      </c>
      <c r="Y6" s="132" t="s">
        <v>148</v>
      </c>
      <c r="Z6" s="132" t="s">
        <v>135</v>
      </c>
      <c r="AA6" s="132" t="s">
        <v>136</v>
      </c>
      <c r="AB6" s="132" t="s">
        <v>126</v>
      </c>
      <c r="AC6" s="132" t="s">
        <v>149</v>
      </c>
      <c r="AD6" s="132" t="s">
        <v>150</v>
      </c>
      <c r="AE6" s="132" t="s">
        <v>136</v>
      </c>
      <c r="AF6" s="132" t="s">
        <v>126</v>
      </c>
      <c r="AG6" s="132" t="s">
        <v>151</v>
      </c>
      <c r="AH6" s="132" t="s">
        <v>152</v>
      </c>
      <c r="AI6" s="132" t="s">
        <v>136</v>
      </c>
      <c r="AJ6" s="85"/>
      <c r="AK6" s="85"/>
    </row>
    <row r="7" spans="1:39" x14ac:dyDescent="0.2">
      <c r="A7" s="86">
        <v>1900</v>
      </c>
      <c r="B7" s="87">
        <v>877</v>
      </c>
      <c r="C7" s="87">
        <v>77000</v>
      </c>
      <c r="D7" s="87"/>
      <c r="E7" s="87"/>
      <c r="F7" s="87">
        <v>77900</v>
      </c>
      <c r="G7" s="88">
        <v>65.7</v>
      </c>
      <c r="H7" s="89">
        <v>7.8970910740000004</v>
      </c>
      <c r="I7" s="89">
        <f t="shared" ref="I7:I70" si="0">G7*$H$117/H7</f>
        <v>1809.3290131910157</v>
      </c>
      <c r="J7" s="89"/>
      <c r="K7" s="89"/>
      <c r="L7" s="89"/>
      <c r="M7" s="89"/>
      <c r="N7" s="89">
        <v>1290</v>
      </c>
      <c r="O7" s="87" t="s">
        <v>153</v>
      </c>
      <c r="P7" s="87" t="s">
        <v>154</v>
      </c>
      <c r="Q7" s="90"/>
      <c r="R7" s="90"/>
      <c r="S7" s="90"/>
      <c r="T7" s="90"/>
      <c r="U7" s="90"/>
      <c r="V7" s="90"/>
      <c r="W7" s="91">
        <v>1900</v>
      </c>
      <c r="X7" s="92">
        <v>0.35</v>
      </c>
      <c r="Y7" s="89">
        <f>X7*$H$117/H7</f>
        <v>9.6387390352641624</v>
      </c>
      <c r="Z7" s="93"/>
      <c r="AA7" s="93"/>
      <c r="AB7" s="91">
        <v>1900</v>
      </c>
      <c r="AC7" s="89" t="s">
        <v>155</v>
      </c>
      <c r="AD7" s="89"/>
      <c r="AE7" s="94"/>
      <c r="AF7" s="91">
        <v>1900</v>
      </c>
      <c r="AG7" s="95">
        <v>1.19</v>
      </c>
      <c r="AH7" s="96">
        <f t="shared" ref="AH7:AH70" si="1">AG7*$H$115/H7</f>
        <v>32.48992541630146</v>
      </c>
      <c r="AI7" s="94"/>
      <c r="AJ7" s="94"/>
      <c r="AK7" s="94"/>
      <c r="AL7" s="81">
        <v>1900</v>
      </c>
      <c r="AM7" s="97">
        <v>7.8970910740000004</v>
      </c>
    </row>
    <row r="8" spans="1:39" x14ac:dyDescent="0.2">
      <c r="A8" s="86">
        <v>1901</v>
      </c>
      <c r="B8" s="87"/>
      <c r="C8" s="87">
        <v>54400</v>
      </c>
      <c r="D8" s="87"/>
      <c r="E8" s="87"/>
      <c r="F8" s="87">
        <v>54400</v>
      </c>
      <c r="G8" s="88">
        <v>72.2</v>
      </c>
      <c r="H8" s="89">
        <v>7.7067928930000003</v>
      </c>
      <c r="I8" s="89">
        <f t="shared" si="0"/>
        <v>2037.4306430709996</v>
      </c>
      <c r="J8" s="89"/>
      <c r="K8" s="89"/>
      <c r="L8" s="89"/>
      <c r="M8" s="89"/>
      <c r="N8" s="89">
        <v>1420</v>
      </c>
      <c r="O8" s="87"/>
      <c r="P8" s="98">
        <v>0.61</v>
      </c>
      <c r="Q8" s="99"/>
      <c r="R8" s="99"/>
      <c r="S8" s="99"/>
      <c r="T8" s="99"/>
      <c r="U8" s="99"/>
      <c r="V8" s="99"/>
      <c r="W8" s="91">
        <v>1901</v>
      </c>
      <c r="X8" s="92">
        <v>0.6</v>
      </c>
      <c r="Y8" s="89">
        <f t="shared" ref="Y8:Y71" si="2">X8*$H$117/H8</f>
        <v>16.931556590617724</v>
      </c>
      <c r="Z8" s="93"/>
      <c r="AA8" s="93"/>
      <c r="AB8" s="91">
        <v>1901</v>
      </c>
      <c r="AC8" s="89" t="s">
        <v>155</v>
      </c>
      <c r="AD8" s="89"/>
      <c r="AE8" s="94"/>
      <c r="AF8" s="91">
        <v>1901</v>
      </c>
      <c r="AG8" s="95">
        <v>0.96</v>
      </c>
      <c r="AH8" s="96">
        <f t="shared" si="1"/>
        <v>26.857553183763748</v>
      </c>
      <c r="AI8" s="94"/>
      <c r="AJ8" s="94"/>
      <c r="AK8" s="94"/>
      <c r="AL8" s="81">
        <v>1901</v>
      </c>
      <c r="AM8" s="97">
        <v>7.7067928930000003</v>
      </c>
    </row>
    <row r="9" spans="1:39" x14ac:dyDescent="0.2">
      <c r="A9" s="86">
        <v>1902</v>
      </c>
      <c r="B9" s="87"/>
      <c r="C9" s="87">
        <v>18300</v>
      </c>
      <c r="D9" s="87"/>
      <c r="E9" s="87"/>
      <c r="F9" s="87">
        <v>18300</v>
      </c>
      <c r="G9" s="88">
        <v>55.5</v>
      </c>
      <c r="H9" s="89">
        <v>7.8970910740000004</v>
      </c>
      <c r="I9" s="89">
        <f t="shared" si="0"/>
        <v>1528.4286184490315</v>
      </c>
      <c r="J9" s="89"/>
      <c r="K9" s="89"/>
      <c r="L9" s="89"/>
      <c r="M9" s="89"/>
      <c r="N9" s="89">
        <v>1050</v>
      </c>
      <c r="O9" s="87"/>
      <c r="P9" s="87"/>
      <c r="Q9" s="90"/>
      <c r="R9" s="90"/>
      <c r="S9" s="90"/>
      <c r="T9" s="90"/>
      <c r="U9" s="90"/>
      <c r="V9" s="90"/>
      <c r="W9" s="91">
        <v>1902</v>
      </c>
      <c r="X9" s="92">
        <v>0.40100000000000002</v>
      </c>
      <c r="Y9" s="89">
        <f t="shared" si="2"/>
        <v>11.043241008974084</v>
      </c>
      <c r="Z9" s="93"/>
      <c r="AA9" s="93"/>
      <c r="AB9" s="91">
        <v>1902</v>
      </c>
      <c r="AC9" s="89" t="s">
        <v>155</v>
      </c>
      <c r="AD9" s="89"/>
      <c r="AE9" s="94"/>
      <c r="AF9" s="91">
        <v>1902</v>
      </c>
      <c r="AG9" s="95">
        <v>0.8</v>
      </c>
      <c r="AH9" s="96">
        <f t="shared" si="1"/>
        <v>21.84196666642115</v>
      </c>
      <c r="AI9" s="94"/>
      <c r="AJ9" s="94"/>
      <c r="AK9" s="94"/>
      <c r="AL9" s="81">
        <v>1902</v>
      </c>
      <c r="AM9" s="97">
        <v>7.8970910740000004</v>
      </c>
    </row>
    <row r="10" spans="1:39" x14ac:dyDescent="0.2">
      <c r="A10" s="86">
        <v>1903</v>
      </c>
      <c r="B10" s="87"/>
      <c r="C10" s="87">
        <v>12900</v>
      </c>
      <c r="D10" s="87"/>
      <c r="E10" s="87"/>
      <c r="F10" s="87">
        <v>12900</v>
      </c>
      <c r="G10" s="88">
        <v>60.1</v>
      </c>
      <c r="H10" s="89">
        <v>8.6582595040000001</v>
      </c>
      <c r="I10" s="89">
        <f t="shared" si="0"/>
        <v>1509.6045566619457</v>
      </c>
      <c r="J10" s="89"/>
      <c r="K10" s="89"/>
      <c r="L10" s="89"/>
      <c r="M10" s="89"/>
      <c r="N10" s="89">
        <v>1090</v>
      </c>
      <c r="O10" s="87"/>
      <c r="P10" s="87"/>
      <c r="Q10" s="90"/>
      <c r="R10" s="90"/>
      <c r="S10" s="90"/>
      <c r="T10" s="90"/>
      <c r="U10" s="90"/>
      <c r="V10" s="90"/>
      <c r="W10" s="91">
        <v>1903</v>
      </c>
      <c r="X10" s="92">
        <v>0.41899999999999998</v>
      </c>
      <c r="Y10" s="89">
        <f t="shared" si="2"/>
        <v>10.52453093579626</v>
      </c>
      <c r="Z10" s="93"/>
      <c r="AA10" s="93"/>
      <c r="AB10" s="91">
        <v>1903</v>
      </c>
      <c r="AC10" s="89" t="s">
        <v>155</v>
      </c>
      <c r="AD10" s="89"/>
      <c r="AE10" s="94"/>
      <c r="AF10" s="91">
        <v>1903</v>
      </c>
      <c r="AG10" s="95">
        <v>0.94</v>
      </c>
      <c r="AH10" s="96">
        <f t="shared" si="1"/>
        <v>23.408099503874606</v>
      </c>
      <c r="AI10" s="94"/>
      <c r="AJ10" s="94"/>
      <c r="AK10" s="94"/>
      <c r="AL10" s="81">
        <v>1903</v>
      </c>
      <c r="AM10" s="97">
        <v>8.6582595040000001</v>
      </c>
    </row>
    <row r="11" spans="1:39" x14ac:dyDescent="0.2">
      <c r="A11" s="86">
        <v>1904</v>
      </c>
      <c r="B11" s="87"/>
      <c r="C11" s="87">
        <v>73500</v>
      </c>
      <c r="D11" s="87"/>
      <c r="E11" s="87"/>
      <c r="F11" s="87">
        <v>73500</v>
      </c>
      <c r="G11" s="88">
        <v>72.400000000000006</v>
      </c>
      <c r="H11" s="89">
        <v>8.2776793390000005</v>
      </c>
      <c r="I11" s="89">
        <f t="shared" si="0"/>
        <v>1902.1698419526081</v>
      </c>
      <c r="J11" s="89"/>
      <c r="K11" s="89"/>
      <c r="L11" s="89"/>
      <c r="M11" s="89"/>
      <c r="N11" s="89">
        <v>1320</v>
      </c>
      <c r="O11" s="87"/>
      <c r="P11" s="87"/>
      <c r="Q11" s="90"/>
      <c r="R11" s="90"/>
      <c r="S11" s="90"/>
      <c r="T11" s="90"/>
      <c r="U11" s="90"/>
      <c r="V11" s="90"/>
      <c r="W11" s="91">
        <v>1904</v>
      </c>
      <c r="X11" s="92">
        <v>0.436</v>
      </c>
      <c r="Y11" s="89">
        <f t="shared" si="2"/>
        <v>11.455055954300237</v>
      </c>
      <c r="Z11" s="93"/>
      <c r="AA11" s="93"/>
      <c r="AB11" s="91">
        <v>1904</v>
      </c>
      <c r="AC11" s="89" t="s">
        <v>155</v>
      </c>
      <c r="AD11" s="89"/>
      <c r="AE11" s="94"/>
      <c r="AF11" s="91">
        <v>1904</v>
      </c>
      <c r="AG11" s="95">
        <v>0.86</v>
      </c>
      <c r="AH11" s="96">
        <f t="shared" si="1"/>
        <v>22.40055363420257</v>
      </c>
      <c r="AI11" s="94"/>
      <c r="AJ11" s="94"/>
      <c r="AK11" s="94"/>
      <c r="AL11" s="81">
        <v>1904</v>
      </c>
      <c r="AM11" s="97">
        <v>8.2776793390000005</v>
      </c>
    </row>
    <row r="12" spans="1:39" x14ac:dyDescent="0.2">
      <c r="A12" s="86">
        <v>1905</v>
      </c>
      <c r="B12" s="87">
        <v>411</v>
      </c>
      <c r="C12" s="87">
        <v>125000</v>
      </c>
      <c r="D12" s="87"/>
      <c r="E12" s="87"/>
      <c r="F12" s="87">
        <v>125000</v>
      </c>
      <c r="G12" s="88">
        <v>76.2</v>
      </c>
      <c r="H12" s="89">
        <v>8.4679289260000008</v>
      </c>
      <c r="I12" s="89">
        <f t="shared" si="0"/>
        <v>1957.0282349816687</v>
      </c>
      <c r="J12" s="89"/>
      <c r="K12" s="89"/>
      <c r="L12" s="89"/>
      <c r="M12" s="89"/>
      <c r="N12" s="89">
        <v>1380</v>
      </c>
      <c r="O12" s="87"/>
      <c r="P12" s="87"/>
      <c r="Q12" s="90"/>
      <c r="R12" s="90"/>
      <c r="S12" s="90"/>
      <c r="T12" s="90"/>
      <c r="U12" s="90"/>
      <c r="V12" s="90"/>
      <c r="W12" s="91">
        <v>1905</v>
      </c>
      <c r="X12" s="92">
        <v>0.40600000000000003</v>
      </c>
      <c r="Y12" s="89">
        <f t="shared" si="2"/>
        <v>10.427210805807842</v>
      </c>
      <c r="Z12" s="93"/>
      <c r="AA12" s="93"/>
      <c r="AB12" s="91">
        <v>1905</v>
      </c>
      <c r="AC12" s="89" t="s">
        <v>155</v>
      </c>
      <c r="AD12" s="89"/>
      <c r="AE12" s="94"/>
      <c r="AF12" s="91">
        <v>1905</v>
      </c>
      <c r="AG12" s="95">
        <v>0.62</v>
      </c>
      <c r="AH12" s="96">
        <f t="shared" si="1"/>
        <v>15.786410250746593</v>
      </c>
      <c r="AI12" s="94"/>
      <c r="AJ12" s="94"/>
      <c r="AK12" s="94"/>
      <c r="AL12" s="81">
        <v>1905</v>
      </c>
      <c r="AM12" s="97">
        <v>8.4679289260000008</v>
      </c>
    </row>
    <row r="13" spans="1:39" x14ac:dyDescent="0.2">
      <c r="A13" s="86">
        <v>1906</v>
      </c>
      <c r="B13" s="87"/>
      <c r="C13" s="87">
        <v>27200</v>
      </c>
      <c r="D13" s="87"/>
      <c r="E13" s="87"/>
      <c r="F13" s="87">
        <v>27200</v>
      </c>
      <c r="G13" s="88">
        <v>65.8</v>
      </c>
      <c r="H13" s="89">
        <v>8.4679289260000008</v>
      </c>
      <c r="I13" s="89">
        <f t="shared" si="0"/>
        <v>1689.9272685274777</v>
      </c>
      <c r="J13" s="89"/>
      <c r="K13" s="89"/>
      <c r="L13" s="89"/>
      <c r="M13" s="89"/>
      <c r="N13" s="89">
        <v>1200</v>
      </c>
      <c r="O13" s="87"/>
      <c r="P13" s="87"/>
      <c r="Q13" s="90"/>
      <c r="R13" s="90"/>
      <c r="S13" s="90"/>
      <c r="T13" s="90"/>
      <c r="U13" s="90"/>
      <c r="V13" s="90"/>
      <c r="W13" s="91">
        <v>1906</v>
      </c>
      <c r="X13" s="92">
        <v>0.39100000000000001</v>
      </c>
      <c r="Y13" s="89">
        <f t="shared" si="2"/>
        <v>10.041969027268143</v>
      </c>
      <c r="Z13" s="93"/>
      <c r="AA13" s="93"/>
      <c r="AB13" s="91">
        <v>1906</v>
      </c>
      <c r="AC13" s="89" t="s">
        <v>155</v>
      </c>
      <c r="AD13" s="89"/>
      <c r="AE13" s="94"/>
      <c r="AF13" s="91">
        <v>1906</v>
      </c>
      <c r="AG13" s="95">
        <v>0.73</v>
      </c>
      <c r="AH13" s="96">
        <f t="shared" si="1"/>
        <v>18.587224972653246</v>
      </c>
      <c r="AI13" s="94"/>
      <c r="AJ13" s="94"/>
      <c r="AK13" s="94"/>
      <c r="AL13" s="81">
        <v>1906</v>
      </c>
      <c r="AM13" s="97">
        <v>8.4679289260000008</v>
      </c>
    </row>
    <row r="14" spans="1:39" x14ac:dyDescent="0.2">
      <c r="A14" s="86">
        <v>1907</v>
      </c>
      <c r="B14" s="87"/>
      <c r="C14" s="87">
        <v>28100</v>
      </c>
      <c r="D14" s="87"/>
      <c r="E14" s="87"/>
      <c r="F14" s="87">
        <v>28100</v>
      </c>
      <c r="G14" s="88">
        <v>89.8</v>
      </c>
      <c r="H14" s="89">
        <v>8.8485090910000004</v>
      </c>
      <c r="I14" s="89">
        <f t="shared" si="0"/>
        <v>2207.1180352703777</v>
      </c>
      <c r="J14" s="89"/>
      <c r="K14" s="89"/>
      <c r="L14" s="89"/>
      <c r="M14" s="89"/>
      <c r="N14" s="89">
        <v>1580</v>
      </c>
      <c r="O14" s="87"/>
      <c r="P14" s="87"/>
      <c r="Q14" s="90"/>
      <c r="R14" s="90"/>
      <c r="S14" s="90"/>
      <c r="T14" s="90"/>
      <c r="U14" s="90"/>
      <c r="V14" s="90"/>
      <c r="W14" s="91">
        <v>1907</v>
      </c>
      <c r="X14" s="92">
        <v>0.505</v>
      </c>
      <c r="Y14" s="89">
        <f t="shared" si="2"/>
        <v>12.411966679415823</v>
      </c>
      <c r="Z14" s="93"/>
      <c r="AA14" s="93"/>
      <c r="AB14" s="91">
        <v>1907</v>
      </c>
      <c r="AC14" s="89" t="s">
        <v>155</v>
      </c>
      <c r="AD14" s="89"/>
      <c r="AE14" s="94"/>
      <c r="AF14" s="91">
        <v>1907</v>
      </c>
      <c r="AG14" s="95">
        <v>0.72</v>
      </c>
      <c r="AH14" s="96">
        <f t="shared" si="1"/>
        <v>17.544108098153728</v>
      </c>
      <c r="AI14" s="94"/>
      <c r="AJ14" s="94"/>
      <c r="AK14" s="94"/>
      <c r="AL14" s="81">
        <v>1907</v>
      </c>
      <c r="AM14" s="97">
        <v>8.8485090910000004</v>
      </c>
    </row>
    <row r="15" spans="1:39" x14ac:dyDescent="0.2">
      <c r="A15" s="86">
        <v>1908</v>
      </c>
      <c r="B15" s="87"/>
      <c r="C15" s="87">
        <v>26800</v>
      </c>
      <c r="D15" s="87"/>
      <c r="E15" s="87"/>
      <c r="F15" s="87">
        <v>26800</v>
      </c>
      <c r="G15" s="88">
        <v>54.6</v>
      </c>
      <c r="H15" s="89">
        <v>8.6582595040000001</v>
      </c>
      <c r="I15" s="89">
        <f t="shared" si="0"/>
        <v>1371.4543892469592</v>
      </c>
      <c r="J15" s="89"/>
      <c r="K15" s="89"/>
      <c r="L15" s="89"/>
      <c r="M15" s="89"/>
      <c r="N15" s="89">
        <v>993</v>
      </c>
      <c r="O15" s="87"/>
      <c r="P15" s="87"/>
      <c r="Q15" s="90"/>
      <c r="R15" s="90"/>
      <c r="S15" s="90"/>
      <c r="T15" s="90"/>
      <c r="U15" s="90"/>
      <c r="V15" s="90"/>
      <c r="W15" s="91">
        <v>1908</v>
      </c>
      <c r="X15" s="92">
        <v>0.65</v>
      </c>
      <c r="Y15" s="89">
        <f t="shared" si="2"/>
        <v>16.326837967225703</v>
      </c>
      <c r="Z15" s="93"/>
      <c r="AA15" s="93"/>
      <c r="AB15" s="91">
        <v>1908</v>
      </c>
      <c r="AC15" s="89" t="s">
        <v>155</v>
      </c>
      <c r="AD15" s="89"/>
      <c r="AE15" s="94"/>
      <c r="AF15" s="91">
        <v>1908</v>
      </c>
      <c r="AG15" s="95">
        <v>0.72</v>
      </c>
      <c r="AH15" s="96">
        <f t="shared" si="1"/>
        <v>17.929608130627358</v>
      </c>
      <c r="AI15" s="94"/>
      <c r="AJ15" s="94"/>
      <c r="AK15" s="94"/>
      <c r="AL15" s="81">
        <v>1908</v>
      </c>
      <c r="AM15" s="97">
        <v>8.6582595040000001</v>
      </c>
    </row>
    <row r="16" spans="1:39" x14ac:dyDescent="0.2">
      <c r="A16" s="86">
        <v>1909</v>
      </c>
      <c r="B16" s="87"/>
      <c r="C16" s="87">
        <v>152000</v>
      </c>
      <c r="D16" s="87"/>
      <c r="E16" s="87"/>
      <c r="F16" s="87">
        <v>152000</v>
      </c>
      <c r="G16" s="88">
        <v>72.3</v>
      </c>
      <c r="H16" s="89">
        <v>8.9436743799999991</v>
      </c>
      <c r="I16" s="89">
        <f t="shared" si="0"/>
        <v>1758.0921813479529</v>
      </c>
      <c r="J16" s="89"/>
      <c r="K16" s="89"/>
      <c r="L16" s="89"/>
      <c r="M16" s="89"/>
      <c r="N16" s="89">
        <v>1310</v>
      </c>
      <c r="O16" s="87"/>
      <c r="P16" s="87"/>
      <c r="Q16" s="90"/>
      <c r="R16" s="90"/>
      <c r="S16" s="90"/>
      <c r="T16" s="90"/>
      <c r="U16" s="90"/>
      <c r="V16" s="90"/>
      <c r="W16" s="91">
        <v>1909</v>
      </c>
      <c r="X16" s="92">
        <v>0.57599999999999996</v>
      </c>
      <c r="Y16" s="89">
        <f t="shared" si="2"/>
        <v>14.006377544348835</v>
      </c>
      <c r="Z16" s="93"/>
      <c r="AA16" s="93"/>
      <c r="AB16" s="91">
        <v>1909</v>
      </c>
      <c r="AC16" s="89" t="s">
        <v>155</v>
      </c>
      <c r="AD16" s="89"/>
      <c r="AE16" s="94"/>
      <c r="AF16" s="91">
        <v>1909</v>
      </c>
      <c r="AG16" s="95">
        <v>0.7</v>
      </c>
      <c r="AH16" s="96">
        <f t="shared" si="1"/>
        <v>16.875278949947639</v>
      </c>
      <c r="AI16" s="94"/>
      <c r="AJ16" s="94"/>
      <c r="AK16" s="94"/>
      <c r="AL16" s="81">
        <v>1909</v>
      </c>
      <c r="AM16" s="97">
        <v>8.9436743799999991</v>
      </c>
    </row>
    <row r="17" spans="1:39" x14ac:dyDescent="0.2">
      <c r="A17" s="86">
        <v>1910</v>
      </c>
      <c r="B17" s="87"/>
      <c r="C17" s="87">
        <v>318000</v>
      </c>
      <c r="D17" s="87"/>
      <c r="E17" s="87"/>
      <c r="F17" s="87">
        <v>318000</v>
      </c>
      <c r="G17" s="88">
        <v>58.2</v>
      </c>
      <c r="H17" s="89">
        <v>9.8951652889999995</v>
      </c>
      <c r="I17" s="89">
        <f t="shared" si="0"/>
        <v>1279.1434635326989</v>
      </c>
      <c r="J17" s="89"/>
      <c r="K17" s="89"/>
      <c r="L17" s="89"/>
      <c r="M17" s="89"/>
      <c r="N17" s="89">
        <v>1020</v>
      </c>
      <c r="O17" s="87"/>
      <c r="P17" s="87"/>
      <c r="Q17" s="90"/>
      <c r="R17" s="90"/>
      <c r="S17" s="90"/>
      <c r="T17" s="90"/>
      <c r="U17" s="90"/>
      <c r="V17" s="90"/>
      <c r="W17" s="91">
        <v>1910</v>
      </c>
      <c r="X17" s="92">
        <v>0.47499999999999998</v>
      </c>
      <c r="Y17" s="89">
        <f t="shared" si="2"/>
        <v>10.439744762509141</v>
      </c>
      <c r="Z17" s="93"/>
      <c r="AA17" s="93"/>
      <c r="AB17" s="91">
        <v>1910</v>
      </c>
      <c r="AC17" s="89" t="s">
        <v>155</v>
      </c>
      <c r="AD17" s="89"/>
      <c r="AE17" s="94"/>
      <c r="AF17" s="91">
        <v>1910</v>
      </c>
      <c r="AG17" s="95">
        <v>0.61</v>
      </c>
      <c r="AH17" s="96">
        <f t="shared" si="1"/>
        <v>13.291551597041746</v>
      </c>
      <c r="AI17" s="94"/>
      <c r="AJ17" s="94"/>
      <c r="AK17" s="94"/>
      <c r="AL17" s="81">
        <v>1910</v>
      </c>
      <c r="AM17" s="97">
        <v>9.8951652889999995</v>
      </c>
    </row>
    <row r="18" spans="1:39" x14ac:dyDescent="0.2">
      <c r="A18" s="86">
        <v>1911</v>
      </c>
      <c r="B18" s="87"/>
      <c r="C18" s="87">
        <v>321000</v>
      </c>
      <c r="D18" s="87"/>
      <c r="E18" s="87"/>
      <c r="F18" s="87">
        <v>321000</v>
      </c>
      <c r="G18" s="88">
        <v>64.099999999999994</v>
      </c>
      <c r="H18" s="89">
        <v>9.229089256</v>
      </c>
      <c r="I18" s="89">
        <f t="shared" si="0"/>
        <v>1510.4922721315156</v>
      </c>
      <c r="J18" s="89"/>
      <c r="K18" s="89"/>
      <c r="L18" s="89"/>
      <c r="M18" s="89"/>
      <c r="N18" s="89">
        <v>1120</v>
      </c>
      <c r="O18" s="87"/>
      <c r="P18" s="87"/>
      <c r="Q18" s="90"/>
      <c r="R18" s="90"/>
      <c r="S18" s="90"/>
      <c r="T18" s="90"/>
      <c r="U18" s="90"/>
      <c r="V18" s="90"/>
      <c r="W18" s="91">
        <v>1911</v>
      </c>
      <c r="X18" s="92">
        <v>0.64900000000000002</v>
      </c>
      <c r="Y18" s="89">
        <f t="shared" si="2"/>
        <v>15.29343969755622</v>
      </c>
      <c r="Z18" s="93"/>
      <c r="AA18" s="93"/>
      <c r="AB18" s="91">
        <v>1911</v>
      </c>
      <c r="AC18" s="89" t="s">
        <v>155</v>
      </c>
      <c r="AD18" s="89"/>
      <c r="AE18" s="94"/>
      <c r="AF18" s="91">
        <v>1911</v>
      </c>
      <c r="AG18" s="95">
        <v>0.61</v>
      </c>
      <c r="AH18" s="96">
        <f t="shared" si="1"/>
        <v>14.250821110489865</v>
      </c>
      <c r="AI18" s="94"/>
      <c r="AJ18" s="94"/>
      <c r="AK18" s="94"/>
      <c r="AL18" s="81">
        <v>1911</v>
      </c>
      <c r="AM18" s="97">
        <v>9.229089256</v>
      </c>
    </row>
    <row r="19" spans="1:39" x14ac:dyDescent="0.2">
      <c r="A19" s="86">
        <v>1912</v>
      </c>
      <c r="B19" s="87"/>
      <c r="C19" s="87">
        <v>301000</v>
      </c>
      <c r="D19" s="87"/>
      <c r="E19" s="87"/>
      <c r="F19" s="87">
        <v>301000</v>
      </c>
      <c r="G19" s="88">
        <v>63.7</v>
      </c>
      <c r="H19" s="89">
        <v>9.1340049590000003</v>
      </c>
      <c r="I19" s="89">
        <f t="shared" si="0"/>
        <v>1516.6924106330562</v>
      </c>
      <c r="J19" s="89"/>
      <c r="K19" s="89"/>
      <c r="L19" s="89"/>
      <c r="M19" s="89"/>
      <c r="N19" s="89">
        <v>1080</v>
      </c>
      <c r="O19" s="87"/>
      <c r="P19" s="87"/>
      <c r="Q19" s="90"/>
      <c r="R19" s="90"/>
      <c r="S19" s="90"/>
      <c r="T19" s="90"/>
      <c r="U19" s="90"/>
      <c r="V19" s="90"/>
      <c r="W19" s="91">
        <v>1912</v>
      </c>
      <c r="X19" s="92">
        <v>0.51100000000000001</v>
      </c>
      <c r="Y19" s="89">
        <f t="shared" si="2"/>
        <v>12.166873184199241</v>
      </c>
      <c r="Z19" s="93"/>
      <c r="AA19" s="93"/>
      <c r="AB19" s="91">
        <v>1912</v>
      </c>
      <c r="AC19" s="89" t="s">
        <v>155</v>
      </c>
      <c r="AD19" s="89"/>
      <c r="AE19" s="94"/>
      <c r="AF19" s="91">
        <v>1912</v>
      </c>
      <c r="AG19" s="95">
        <v>0.74</v>
      </c>
      <c r="AH19" s="96">
        <f t="shared" si="1"/>
        <v>17.467846877265966</v>
      </c>
      <c r="AI19" s="94"/>
      <c r="AJ19" s="94"/>
      <c r="AK19" s="94"/>
      <c r="AL19" s="81">
        <v>1912</v>
      </c>
      <c r="AM19" s="97">
        <v>9.1340049590000003</v>
      </c>
    </row>
    <row r="20" spans="1:39" x14ac:dyDescent="0.2">
      <c r="A20" s="86">
        <v>1913</v>
      </c>
      <c r="B20" s="87"/>
      <c r="C20" s="87">
        <v>241000</v>
      </c>
      <c r="D20" s="87"/>
      <c r="E20" s="87"/>
      <c r="F20" s="87">
        <v>241000</v>
      </c>
      <c r="G20" s="88">
        <v>61.1</v>
      </c>
      <c r="H20" s="89">
        <v>9.8000000000000007</v>
      </c>
      <c r="I20" s="89">
        <f t="shared" si="0"/>
        <v>1355.9212244897958</v>
      </c>
      <c r="J20" s="89"/>
      <c r="K20" s="89"/>
      <c r="L20" s="89"/>
      <c r="M20" s="89"/>
      <c r="N20" s="89">
        <v>1010</v>
      </c>
      <c r="O20" s="87"/>
      <c r="P20" s="87"/>
      <c r="Q20" s="90"/>
      <c r="R20" s="90"/>
      <c r="S20" s="90"/>
      <c r="T20" s="90"/>
      <c r="U20" s="90"/>
      <c r="V20" s="90"/>
      <c r="W20" s="91">
        <v>1913</v>
      </c>
      <c r="X20" s="92">
        <v>0.65900000000000003</v>
      </c>
      <c r="Y20" s="89">
        <f t="shared" si="2"/>
        <v>14.624420408163266</v>
      </c>
      <c r="Z20" s="93"/>
      <c r="AA20" s="93"/>
      <c r="AB20" s="91">
        <v>1913</v>
      </c>
      <c r="AC20" s="96">
        <v>1.79</v>
      </c>
      <c r="AD20" s="96">
        <f t="shared" ref="AD20:AD83" si="3">AC20*$H$115/H20</f>
        <v>39.381826530612237</v>
      </c>
      <c r="AE20" s="100"/>
      <c r="AF20" s="91">
        <v>1913</v>
      </c>
      <c r="AG20" s="95">
        <v>0.95</v>
      </c>
      <c r="AH20" s="96">
        <f t="shared" si="1"/>
        <v>20.900969387755097</v>
      </c>
      <c r="AI20" s="96"/>
      <c r="AJ20" s="100"/>
      <c r="AK20" s="100"/>
      <c r="AL20" s="81">
        <v>1913</v>
      </c>
      <c r="AM20" s="81">
        <v>9.8000000000000007</v>
      </c>
    </row>
    <row r="21" spans="1:39" x14ac:dyDescent="0.2">
      <c r="A21" s="86">
        <v>1914</v>
      </c>
      <c r="B21" s="87"/>
      <c r="C21" s="87">
        <v>179000</v>
      </c>
      <c r="D21" s="87"/>
      <c r="E21" s="87"/>
      <c r="F21" s="87">
        <v>179000</v>
      </c>
      <c r="G21" s="88">
        <v>63.3</v>
      </c>
      <c r="H21" s="89">
        <v>10</v>
      </c>
      <c r="I21" s="89">
        <f t="shared" si="0"/>
        <v>1376.6483999999998</v>
      </c>
      <c r="J21" s="89"/>
      <c r="K21" s="89"/>
      <c r="L21" s="89"/>
      <c r="M21" s="89"/>
      <c r="N21" s="89">
        <v>1030</v>
      </c>
      <c r="O21" s="87"/>
      <c r="P21" s="87"/>
      <c r="Q21" s="90"/>
      <c r="R21" s="90"/>
      <c r="S21" s="90"/>
      <c r="T21" s="90"/>
      <c r="U21" s="90"/>
      <c r="V21" s="90"/>
      <c r="W21" s="91">
        <v>1914</v>
      </c>
      <c r="X21" s="92">
        <v>0.67300000000000004</v>
      </c>
      <c r="Y21" s="89">
        <f t="shared" si="2"/>
        <v>14.636403999999999</v>
      </c>
      <c r="Z21" s="93"/>
      <c r="AA21" s="93"/>
      <c r="AB21" s="91">
        <v>1914</v>
      </c>
      <c r="AC21" s="96">
        <v>2.21</v>
      </c>
      <c r="AD21" s="96">
        <f t="shared" si="3"/>
        <v>47.649809999999995</v>
      </c>
      <c r="AE21" s="100"/>
      <c r="AF21" s="91">
        <v>1914</v>
      </c>
      <c r="AG21" s="95">
        <v>0.81</v>
      </c>
      <c r="AH21" s="96">
        <f t="shared" si="1"/>
        <v>17.464410000000001</v>
      </c>
      <c r="AI21" s="100"/>
      <c r="AJ21" s="100"/>
      <c r="AK21" s="100"/>
      <c r="AL21" s="81">
        <v>1914</v>
      </c>
      <c r="AM21" s="81">
        <v>10</v>
      </c>
    </row>
    <row r="22" spans="1:39" x14ac:dyDescent="0.2">
      <c r="A22" s="86">
        <v>1915</v>
      </c>
      <c r="B22" s="87">
        <v>989</v>
      </c>
      <c r="C22" s="87">
        <v>40900</v>
      </c>
      <c r="D22" s="87"/>
      <c r="E22" s="87"/>
      <c r="F22" s="87">
        <v>41800</v>
      </c>
      <c r="G22" s="88">
        <v>91.4</v>
      </c>
      <c r="H22" s="89">
        <v>10.1</v>
      </c>
      <c r="I22" s="89">
        <f t="shared" si="0"/>
        <v>1968.0863366336632</v>
      </c>
      <c r="J22" s="89"/>
      <c r="K22" s="89"/>
      <c r="L22" s="89"/>
      <c r="M22" s="89"/>
      <c r="N22" s="89">
        <v>1470</v>
      </c>
      <c r="O22" s="87"/>
      <c r="P22" s="87"/>
      <c r="Q22" s="90"/>
      <c r="R22" s="90"/>
      <c r="S22" s="90"/>
      <c r="T22" s="90"/>
      <c r="U22" s="90"/>
      <c r="V22" s="90"/>
      <c r="W22" s="91">
        <v>1915</v>
      </c>
      <c r="X22" s="92">
        <v>0.65100000000000002</v>
      </c>
      <c r="Y22" s="89">
        <f t="shared" si="2"/>
        <v>14.017770297029703</v>
      </c>
      <c r="Z22" s="93"/>
      <c r="AA22" s="93"/>
      <c r="AB22" s="91">
        <v>1915</v>
      </c>
      <c r="AC22" s="96">
        <v>2.15</v>
      </c>
      <c r="AD22" s="96">
        <f t="shared" si="3"/>
        <v>45.897178217821782</v>
      </c>
      <c r="AE22" s="100"/>
      <c r="AF22" s="91">
        <v>1915</v>
      </c>
      <c r="AG22" s="95">
        <v>0.64</v>
      </c>
      <c r="AH22" s="96">
        <f t="shared" si="1"/>
        <v>13.662415841584158</v>
      </c>
      <c r="AI22" s="100"/>
      <c r="AJ22" s="100"/>
      <c r="AK22" s="100"/>
      <c r="AL22" s="81">
        <v>1915</v>
      </c>
      <c r="AM22" s="81">
        <v>10.1</v>
      </c>
    </row>
    <row r="23" spans="1:39" x14ac:dyDescent="0.2">
      <c r="A23" s="86">
        <v>1916</v>
      </c>
      <c r="B23" s="87">
        <v>8820</v>
      </c>
      <c r="C23" s="87">
        <v>3850</v>
      </c>
      <c r="D23" s="87"/>
      <c r="E23" s="87"/>
      <c r="F23" s="87">
        <v>12700</v>
      </c>
      <c r="G23" s="89">
        <v>501</v>
      </c>
      <c r="H23" s="89">
        <v>10.4</v>
      </c>
      <c r="I23" s="89">
        <f t="shared" si="0"/>
        <v>10476.680769230768</v>
      </c>
      <c r="J23" s="89"/>
      <c r="K23" s="89"/>
      <c r="L23" s="89"/>
      <c r="M23" s="89"/>
      <c r="N23" s="89">
        <v>7490</v>
      </c>
      <c r="O23" s="87"/>
      <c r="P23" s="87"/>
      <c r="Q23" s="90"/>
      <c r="R23" s="90"/>
      <c r="S23" s="90"/>
      <c r="T23" s="90"/>
      <c r="U23" s="90"/>
      <c r="V23" s="90"/>
      <c r="W23" s="91">
        <v>1916</v>
      </c>
      <c r="X23" s="92">
        <v>1.1299999999999999</v>
      </c>
      <c r="Y23" s="89">
        <f t="shared" si="2"/>
        <v>23.630038461538458</v>
      </c>
      <c r="Z23" s="93"/>
      <c r="AA23" s="93"/>
      <c r="AB23" s="91">
        <v>1916</v>
      </c>
      <c r="AC23" s="96">
        <v>2.19</v>
      </c>
      <c r="AD23" s="96">
        <f t="shared" si="3"/>
        <v>45.402490384615376</v>
      </c>
      <c r="AE23" s="100"/>
      <c r="AF23" s="91">
        <v>1916</v>
      </c>
      <c r="AG23" s="95">
        <v>1.1000000000000001</v>
      </c>
      <c r="AH23" s="96">
        <f t="shared" si="1"/>
        <v>22.804903846153845</v>
      </c>
      <c r="AI23" s="100"/>
      <c r="AJ23" s="100"/>
      <c r="AK23" s="100"/>
      <c r="AL23" s="81">
        <v>1916</v>
      </c>
      <c r="AM23" s="81">
        <v>10.4</v>
      </c>
    </row>
    <row r="24" spans="1:39" x14ac:dyDescent="0.2">
      <c r="A24" s="86">
        <v>1917</v>
      </c>
      <c r="B24" s="87">
        <v>29600</v>
      </c>
      <c r="C24" s="87">
        <v>2300</v>
      </c>
      <c r="D24" s="87"/>
      <c r="E24" s="87"/>
      <c r="F24" s="87">
        <v>31900</v>
      </c>
      <c r="G24" s="89">
        <v>468</v>
      </c>
      <c r="H24" s="89">
        <v>11.7</v>
      </c>
      <c r="I24" s="89">
        <f t="shared" si="0"/>
        <v>8699.2000000000007</v>
      </c>
      <c r="J24" s="89"/>
      <c r="K24" s="89"/>
      <c r="L24" s="89"/>
      <c r="M24" s="89"/>
      <c r="N24" s="89">
        <v>5970</v>
      </c>
      <c r="O24" s="87"/>
      <c r="P24" s="87"/>
      <c r="Q24" s="90"/>
      <c r="R24" s="90"/>
      <c r="S24" s="90"/>
      <c r="T24" s="90"/>
      <c r="U24" s="90"/>
      <c r="V24" s="90"/>
      <c r="W24" s="91">
        <v>1917</v>
      </c>
      <c r="X24" s="92">
        <v>1.39</v>
      </c>
      <c r="Y24" s="89">
        <f t="shared" si="2"/>
        <v>25.837367521367522</v>
      </c>
      <c r="Z24" s="93"/>
      <c r="AA24" s="93"/>
      <c r="AB24" s="91">
        <v>1917</v>
      </c>
      <c r="AC24" s="96">
        <v>3.17</v>
      </c>
      <c r="AD24" s="96">
        <f t="shared" si="3"/>
        <v>58.41741025641025</v>
      </c>
      <c r="AE24" s="100"/>
      <c r="AF24" s="91">
        <v>1917</v>
      </c>
      <c r="AG24" s="95">
        <v>1.56</v>
      </c>
      <c r="AH24" s="96">
        <f t="shared" si="1"/>
        <v>28.747999999999998</v>
      </c>
      <c r="AI24" s="100"/>
      <c r="AJ24" s="100"/>
      <c r="AK24" s="100"/>
      <c r="AL24" s="81">
        <v>1917</v>
      </c>
      <c r="AM24" s="81">
        <v>11.7</v>
      </c>
    </row>
    <row r="25" spans="1:39" x14ac:dyDescent="0.2">
      <c r="A25" s="86">
        <v>1918</v>
      </c>
      <c r="B25" s="87">
        <v>35000</v>
      </c>
      <c r="C25" s="87">
        <v>1930</v>
      </c>
      <c r="D25" s="87"/>
      <c r="E25" s="87">
        <v>14700</v>
      </c>
      <c r="F25" s="87">
        <v>36900</v>
      </c>
      <c r="G25" s="89">
        <v>458</v>
      </c>
      <c r="H25" s="89">
        <v>14</v>
      </c>
      <c r="I25" s="89">
        <f t="shared" si="0"/>
        <v>7114.7028571428573</v>
      </c>
      <c r="J25" s="89"/>
      <c r="K25" s="89"/>
      <c r="L25" s="89"/>
      <c r="M25" s="89"/>
      <c r="N25" s="89">
        <v>4950</v>
      </c>
      <c r="O25" s="87"/>
      <c r="P25" s="87"/>
      <c r="Q25" s="90"/>
      <c r="R25" s="90"/>
      <c r="S25" s="90"/>
      <c r="T25" s="90"/>
      <c r="U25" s="90"/>
      <c r="V25" s="90"/>
      <c r="W25" s="91">
        <v>1918</v>
      </c>
      <c r="X25" s="92">
        <v>1.45</v>
      </c>
      <c r="Y25" s="89">
        <f t="shared" si="2"/>
        <v>22.524714285714285</v>
      </c>
      <c r="Z25" s="93"/>
      <c r="AA25" s="93"/>
      <c r="AB25" s="91">
        <v>1918</v>
      </c>
      <c r="AC25" s="96">
        <v>3.19</v>
      </c>
      <c r="AD25" s="96">
        <f t="shared" si="3"/>
        <v>49.128278571428567</v>
      </c>
      <c r="AE25" s="100"/>
      <c r="AF25" s="91">
        <v>1918</v>
      </c>
      <c r="AG25" s="95">
        <v>1.98</v>
      </c>
      <c r="AH25" s="96">
        <f t="shared" si="1"/>
        <v>30.493414285714284</v>
      </c>
      <c r="AI25" s="100"/>
      <c r="AJ25" s="100"/>
      <c r="AK25" s="100"/>
      <c r="AL25" s="81">
        <v>1918</v>
      </c>
      <c r="AM25" s="81">
        <v>14</v>
      </c>
    </row>
    <row r="26" spans="1:39" x14ac:dyDescent="0.2">
      <c r="A26" s="86">
        <v>1919</v>
      </c>
      <c r="B26" s="87">
        <v>41500</v>
      </c>
      <c r="C26" s="87">
        <v>32900</v>
      </c>
      <c r="D26" s="87"/>
      <c r="E26" s="87">
        <v>11430</v>
      </c>
      <c r="F26" s="87">
        <v>74300</v>
      </c>
      <c r="G26" s="89">
        <v>227</v>
      </c>
      <c r="H26" s="89">
        <v>16.5</v>
      </c>
      <c r="I26" s="89">
        <f t="shared" si="0"/>
        <v>2991.9975757575758</v>
      </c>
      <c r="J26" s="89"/>
      <c r="K26" s="89"/>
      <c r="L26" s="89"/>
      <c r="M26" s="89"/>
      <c r="N26" s="89">
        <v>2140</v>
      </c>
      <c r="O26" s="87">
        <v>122000</v>
      </c>
      <c r="P26" s="87">
        <f>O26/$P$8</f>
        <v>200000</v>
      </c>
      <c r="Q26" s="90"/>
      <c r="R26" s="90"/>
      <c r="S26" s="90"/>
      <c r="T26" s="90"/>
      <c r="U26" s="90"/>
      <c r="V26" s="90"/>
      <c r="W26" s="91">
        <v>1919</v>
      </c>
      <c r="X26" s="92">
        <v>1.44</v>
      </c>
      <c r="Y26" s="89">
        <f t="shared" si="2"/>
        <v>18.980072727272727</v>
      </c>
      <c r="Z26" s="93"/>
      <c r="AA26" s="93"/>
      <c r="AB26" s="91">
        <v>1919</v>
      </c>
      <c r="AC26" s="96">
        <v>3.53</v>
      </c>
      <c r="AD26" s="96">
        <f t="shared" si="3"/>
        <v>46.127472727272718</v>
      </c>
      <c r="AE26" s="100"/>
      <c r="AF26" s="91">
        <v>1919</v>
      </c>
      <c r="AG26" s="95">
        <v>2.0099999999999998</v>
      </c>
      <c r="AH26" s="96">
        <f t="shared" si="1"/>
        <v>26.265218181818177</v>
      </c>
      <c r="AI26" s="100"/>
      <c r="AJ26" s="100"/>
      <c r="AK26" s="100"/>
      <c r="AL26" s="81">
        <v>1919</v>
      </c>
      <c r="AM26" s="81">
        <v>16.5</v>
      </c>
    </row>
    <row r="27" spans="1:39" x14ac:dyDescent="0.2">
      <c r="A27" s="86">
        <v>1920</v>
      </c>
      <c r="B27" s="87">
        <v>37600</v>
      </c>
      <c r="C27" s="87">
        <v>192000</v>
      </c>
      <c r="D27" s="87"/>
      <c r="E27" s="87">
        <v>8160</v>
      </c>
      <c r="F27" s="87">
        <v>229000</v>
      </c>
      <c r="G27" s="89">
        <v>192</v>
      </c>
      <c r="H27" s="89">
        <v>19.3</v>
      </c>
      <c r="I27" s="89">
        <f t="shared" si="0"/>
        <v>2163.5316062176162</v>
      </c>
      <c r="J27" s="89"/>
      <c r="K27" s="89"/>
      <c r="L27" s="89"/>
      <c r="M27" s="89"/>
      <c r="N27" s="89">
        <v>1560</v>
      </c>
      <c r="O27" s="87">
        <v>224000</v>
      </c>
      <c r="P27" s="87">
        <f t="shared" ref="P27:P90" si="4">O27/$P$8</f>
        <v>367213.11475409835</v>
      </c>
      <c r="Q27" s="101">
        <f>P27/P26-1</f>
        <v>0.83606557377049184</v>
      </c>
      <c r="R27" s="101"/>
      <c r="S27" s="101"/>
      <c r="T27" s="101"/>
      <c r="U27" s="101"/>
      <c r="V27" s="101"/>
      <c r="W27" s="91">
        <v>1920</v>
      </c>
      <c r="X27" s="92">
        <v>0.54</v>
      </c>
      <c r="Y27" s="89">
        <f t="shared" si="2"/>
        <v>6.084932642487046</v>
      </c>
      <c r="Z27" s="93"/>
      <c r="AA27" s="93"/>
      <c r="AB27" s="91">
        <v>1920</v>
      </c>
      <c r="AC27" s="96">
        <v>2.67</v>
      </c>
      <c r="AD27" s="96">
        <f t="shared" si="3"/>
        <v>29.82791191709844</v>
      </c>
      <c r="AE27" s="100"/>
      <c r="AF27" s="91">
        <v>1920</v>
      </c>
      <c r="AG27" s="95">
        <v>3.07</v>
      </c>
      <c r="AH27" s="96">
        <f t="shared" si="1"/>
        <v>34.296512953367873</v>
      </c>
      <c r="AI27" s="100"/>
      <c r="AJ27" s="100"/>
      <c r="AK27" s="100"/>
      <c r="AL27" s="81">
        <v>1920</v>
      </c>
      <c r="AM27" s="81">
        <v>19.3</v>
      </c>
    </row>
    <row r="28" spans="1:39" x14ac:dyDescent="0.2">
      <c r="A28" s="86">
        <v>1921</v>
      </c>
      <c r="B28" s="87">
        <v>4000</v>
      </c>
      <c r="C28" s="87">
        <v>66400</v>
      </c>
      <c r="D28" s="87"/>
      <c r="E28" s="87">
        <v>11500</v>
      </c>
      <c r="F28" s="87">
        <v>70400</v>
      </c>
      <c r="G28" s="89">
        <v>131</v>
      </c>
      <c r="H28" s="89">
        <v>19</v>
      </c>
      <c r="I28" s="89">
        <f t="shared" si="0"/>
        <v>1499.4673684210525</v>
      </c>
      <c r="J28" s="89"/>
      <c r="K28" s="89"/>
      <c r="L28" s="89"/>
      <c r="M28" s="89"/>
      <c r="N28" s="89">
        <v>1190</v>
      </c>
      <c r="O28" s="87">
        <v>994000</v>
      </c>
      <c r="P28" s="87">
        <f t="shared" si="4"/>
        <v>1629508.1967213114</v>
      </c>
      <c r="Q28" s="101">
        <f t="shared" ref="Q28:Q91" si="5">P28/P27-1</f>
        <v>3.4375</v>
      </c>
      <c r="R28" s="101"/>
      <c r="S28" s="101"/>
      <c r="T28" s="101"/>
      <c r="U28" s="101"/>
      <c r="V28" s="101"/>
      <c r="W28" s="91">
        <v>1921</v>
      </c>
      <c r="X28" s="92">
        <v>0.46400000000000002</v>
      </c>
      <c r="Y28" s="89">
        <f t="shared" si="2"/>
        <v>5.3110905263157893</v>
      </c>
      <c r="Z28" s="93"/>
      <c r="AA28" s="93"/>
      <c r="AB28" s="91">
        <v>1921</v>
      </c>
      <c r="AC28" s="96">
        <v>2.16</v>
      </c>
      <c r="AD28" s="96">
        <f t="shared" si="3"/>
        <v>24.511452631578948</v>
      </c>
      <c r="AE28" s="100"/>
      <c r="AF28" s="91">
        <v>1921</v>
      </c>
      <c r="AG28" s="95">
        <v>1.73</v>
      </c>
      <c r="AH28" s="96">
        <f t="shared" si="1"/>
        <v>19.631857894736839</v>
      </c>
      <c r="AI28" s="100"/>
      <c r="AJ28" s="100"/>
      <c r="AK28" s="100"/>
      <c r="AL28" s="81">
        <v>1921</v>
      </c>
      <c r="AM28" s="81">
        <v>19</v>
      </c>
    </row>
    <row r="29" spans="1:39" x14ac:dyDescent="0.2">
      <c r="A29" s="86">
        <v>1922</v>
      </c>
      <c r="B29" s="87">
        <v>10300</v>
      </c>
      <c r="C29" s="87">
        <v>179000</v>
      </c>
      <c r="D29" s="87"/>
      <c r="E29" s="87">
        <v>10600</v>
      </c>
      <c r="F29" s="87">
        <v>189000</v>
      </c>
      <c r="G29" s="88">
        <v>63.4</v>
      </c>
      <c r="H29" s="89">
        <v>16.899999999999999</v>
      </c>
      <c r="I29" s="89">
        <f t="shared" si="0"/>
        <v>815.8717159763313</v>
      </c>
      <c r="J29" s="89"/>
      <c r="K29" s="89"/>
      <c r="L29" s="89"/>
      <c r="M29" s="89"/>
      <c r="N29" s="89">
        <v>615</v>
      </c>
      <c r="O29" s="87">
        <v>1400000</v>
      </c>
      <c r="P29" s="87">
        <f t="shared" si="4"/>
        <v>2295081.9672131147</v>
      </c>
      <c r="Q29" s="101">
        <f t="shared" si="5"/>
        <v>0.40845070422535223</v>
      </c>
      <c r="R29" s="101"/>
      <c r="S29" s="101"/>
      <c r="T29" s="101"/>
      <c r="U29" s="101"/>
      <c r="V29" s="101"/>
      <c r="W29" s="91">
        <v>1922</v>
      </c>
      <c r="X29" s="92">
        <v>0.68799999999999994</v>
      </c>
      <c r="Y29" s="89">
        <f t="shared" si="2"/>
        <v>8.8536236686390524</v>
      </c>
      <c r="Z29" s="93"/>
      <c r="AA29" s="93"/>
      <c r="AB29" s="91">
        <v>1922</v>
      </c>
      <c r="AC29" s="96">
        <v>2.0099999999999998</v>
      </c>
      <c r="AD29" s="96">
        <f t="shared" si="3"/>
        <v>25.643556213017749</v>
      </c>
      <c r="AE29" s="100"/>
      <c r="AF29" s="91">
        <v>1922</v>
      </c>
      <c r="AG29" s="95">
        <v>1.61</v>
      </c>
      <c r="AH29" s="96">
        <f t="shared" si="1"/>
        <v>20.540360946745562</v>
      </c>
      <c r="AI29" s="100"/>
      <c r="AJ29" s="100"/>
      <c r="AK29" s="100"/>
      <c r="AL29" s="81">
        <v>1922</v>
      </c>
      <c r="AM29" s="81">
        <v>16.899999999999999</v>
      </c>
    </row>
    <row r="30" spans="1:39" x14ac:dyDescent="0.2">
      <c r="A30" s="86">
        <v>1923</v>
      </c>
      <c r="B30" s="87">
        <v>17500</v>
      </c>
      <c r="C30" s="87">
        <v>185000</v>
      </c>
      <c r="D30" s="87">
        <v>1410</v>
      </c>
      <c r="E30" s="87">
        <v>11200</v>
      </c>
      <c r="F30" s="87">
        <v>201000</v>
      </c>
      <c r="G30" s="88">
        <v>64</v>
      </c>
      <c r="H30" s="89">
        <v>16.8</v>
      </c>
      <c r="I30" s="89">
        <f t="shared" si="0"/>
        <v>828.49523809523805</v>
      </c>
      <c r="J30" s="89"/>
      <c r="K30" s="89"/>
      <c r="L30" s="89"/>
      <c r="M30" s="89"/>
      <c r="N30" s="89">
        <v>610</v>
      </c>
      <c r="O30" s="87">
        <v>1250000</v>
      </c>
      <c r="P30" s="87">
        <f t="shared" si="4"/>
        <v>2049180.3278688525</v>
      </c>
      <c r="Q30" s="101">
        <f t="shared" si="5"/>
        <v>-0.1071428571428571</v>
      </c>
      <c r="R30" s="101"/>
      <c r="S30" s="101"/>
      <c r="T30" s="101"/>
      <c r="U30" s="101"/>
      <c r="V30" s="101"/>
      <c r="W30" s="91">
        <v>1923</v>
      </c>
      <c r="X30" s="92">
        <v>0.76</v>
      </c>
      <c r="Y30" s="89">
        <f t="shared" si="2"/>
        <v>9.8383809523809518</v>
      </c>
      <c r="Z30" s="93"/>
      <c r="AA30" s="93"/>
      <c r="AB30" s="91">
        <v>1923</v>
      </c>
      <c r="AC30" s="96">
        <v>2.2799999999999998</v>
      </c>
      <c r="AD30" s="96">
        <f t="shared" si="3"/>
        <v>29.26135714285714</v>
      </c>
      <c r="AE30" s="100"/>
      <c r="AF30" s="91">
        <v>1923</v>
      </c>
      <c r="AG30" s="95">
        <v>1.34</v>
      </c>
      <c r="AH30" s="96">
        <f t="shared" si="1"/>
        <v>17.197464285714283</v>
      </c>
      <c r="AI30" s="100"/>
      <c r="AJ30" s="100"/>
      <c r="AK30" s="100"/>
      <c r="AL30" s="81">
        <v>1923</v>
      </c>
      <c r="AM30" s="81">
        <v>16.8</v>
      </c>
    </row>
    <row r="31" spans="1:39" x14ac:dyDescent="0.2">
      <c r="A31" s="86">
        <v>1924</v>
      </c>
      <c r="B31" s="87">
        <v>19800</v>
      </c>
      <c r="C31" s="87">
        <v>178000</v>
      </c>
      <c r="D31" s="87">
        <v>690</v>
      </c>
      <c r="E31" s="87">
        <v>9770</v>
      </c>
      <c r="F31" s="87">
        <v>202000</v>
      </c>
      <c r="G31" s="88">
        <v>60.3</v>
      </c>
      <c r="H31" s="89">
        <v>17.3</v>
      </c>
      <c r="I31" s="89">
        <f t="shared" si="0"/>
        <v>758.03722543352592</v>
      </c>
      <c r="J31" s="89"/>
      <c r="K31" s="89"/>
      <c r="L31" s="89"/>
      <c r="M31" s="89"/>
      <c r="N31" s="89">
        <v>575</v>
      </c>
      <c r="O31" s="87">
        <v>1100000</v>
      </c>
      <c r="P31" s="87">
        <f t="shared" si="4"/>
        <v>1803278.6885245901</v>
      </c>
      <c r="Q31" s="101">
        <f t="shared" si="5"/>
        <v>-0.12000000000000011</v>
      </c>
      <c r="R31" s="101"/>
      <c r="S31" s="101"/>
      <c r="T31" s="101"/>
      <c r="U31" s="101"/>
      <c r="V31" s="101"/>
      <c r="W31" s="91">
        <v>1924</v>
      </c>
      <c r="X31" s="92">
        <v>1.02</v>
      </c>
      <c r="Y31" s="89">
        <f t="shared" si="2"/>
        <v>12.822520231213872</v>
      </c>
      <c r="Z31" s="93"/>
      <c r="AA31" s="93"/>
      <c r="AB31" s="91">
        <v>1924</v>
      </c>
      <c r="AC31" s="96">
        <v>2.5</v>
      </c>
      <c r="AD31" s="96">
        <f t="shared" si="3"/>
        <v>31.157514450867051</v>
      </c>
      <c r="AE31" s="100"/>
      <c r="AF31" s="91">
        <v>1924</v>
      </c>
      <c r="AG31" s="95">
        <v>1.43</v>
      </c>
      <c r="AH31" s="96">
        <f t="shared" si="1"/>
        <v>17.822098265895953</v>
      </c>
      <c r="AI31" s="100"/>
      <c r="AJ31" s="100"/>
      <c r="AK31" s="100"/>
      <c r="AL31" s="81">
        <v>1924</v>
      </c>
      <c r="AM31" s="81">
        <v>17.3</v>
      </c>
    </row>
    <row r="32" spans="1:39" x14ac:dyDescent="0.2">
      <c r="A32" s="102">
        <v>1925</v>
      </c>
      <c r="B32" s="87">
        <v>23400</v>
      </c>
      <c r="C32" s="87">
        <v>227000</v>
      </c>
      <c r="D32" s="87">
        <v>840</v>
      </c>
      <c r="E32" s="87">
        <v>9320</v>
      </c>
      <c r="F32" s="87">
        <v>258000</v>
      </c>
      <c r="G32" s="88">
        <v>61</v>
      </c>
      <c r="H32" s="89">
        <v>17.3</v>
      </c>
      <c r="I32" s="89">
        <f t="shared" si="0"/>
        <v>766.83699421965309</v>
      </c>
      <c r="J32" s="89"/>
      <c r="K32" s="89"/>
      <c r="L32" s="89"/>
      <c r="M32" s="89"/>
      <c r="N32" s="89">
        <v>568</v>
      </c>
      <c r="O32" s="87">
        <v>1590000</v>
      </c>
      <c r="P32" s="87">
        <f t="shared" si="4"/>
        <v>2606557.3770491802</v>
      </c>
      <c r="Q32" s="101">
        <f t="shared" si="5"/>
        <v>0.44545454545454555</v>
      </c>
      <c r="R32" s="101"/>
      <c r="S32" s="101"/>
      <c r="T32" s="101"/>
      <c r="U32" s="101"/>
      <c r="V32" s="101"/>
      <c r="W32" s="91">
        <v>1925</v>
      </c>
      <c r="X32" s="92">
        <v>0.65400000000000003</v>
      </c>
      <c r="Y32" s="89">
        <f t="shared" si="2"/>
        <v>8.2214982658959528</v>
      </c>
      <c r="Z32" s="93"/>
      <c r="AA32" s="93"/>
      <c r="AB32" s="91">
        <v>1925</v>
      </c>
      <c r="AC32" s="96">
        <v>2.34</v>
      </c>
      <c r="AD32" s="96">
        <f t="shared" si="3"/>
        <v>29.163433526011556</v>
      </c>
      <c r="AE32" s="100"/>
      <c r="AF32" s="91">
        <v>1925</v>
      </c>
      <c r="AG32" s="95">
        <v>1.68</v>
      </c>
      <c r="AH32" s="96">
        <f t="shared" si="1"/>
        <v>20.937849710982654</v>
      </c>
      <c r="AI32" s="100"/>
      <c r="AJ32" s="100"/>
      <c r="AK32" s="100"/>
      <c r="AL32" s="81">
        <v>1925</v>
      </c>
      <c r="AM32" s="81">
        <v>17.3</v>
      </c>
    </row>
    <row r="33" spans="1:39" x14ac:dyDescent="0.2">
      <c r="A33" s="86">
        <v>1926</v>
      </c>
      <c r="B33" s="87">
        <v>22700</v>
      </c>
      <c r="C33" s="87">
        <v>242000</v>
      </c>
      <c r="D33" s="87"/>
      <c r="E33" s="87">
        <v>8170</v>
      </c>
      <c r="F33" s="87">
        <v>264000</v>
      </c>
      <c r="G33" s="88">
        <v>73.8</v>
      </c>
      <c r="H33" s="89">
        <v>17.899999999999999</v>
      </c>
      <c r="I33" s="89">
        <f t="shared" si="0"/>
        <v>896.64938547486042</v>
      </c>
      <c r="J33" s="89"/>
      <c r="K33" s="89"/>
      <c r="L33" s="89"/>
      <c r="M33" s="89"/>
      <c r="N33" s="89">
        <v>680</v>
      </c>
      <c r="O33" s="87">
        <v>1710000</v>
      </c>
      <c r="P33" s="87">
        <f t="shared" si="4"/>
        <v>2803278.6885245903</v>
      </c>
      <c r="Q33" s="101">
        <f t="shared" si="5"/>
        <v>7.5471698113207752E-2</v>
      </c>
      <c r="R33" s="101"/>
      <c r="S33" s="101"/>
      <c r="T33" s="101"/>
      <c r="U33" s="101"/>
      <c r="V33" s="101"/>
      <c r="W33" s="91">
        <v>1926</v>
      </c>
      <c r="X33" s="92">
        <v>0.71499999999999997</v>
      </c>
      <c r="Y33" s="89">
        <f t="shared" si="2"/>
        <v>8.6870502793296094</v>
      </c>
      <c r="Z33" s="93"/>
      <c r="AA33" s="93"/>
      <c r="AB33" s="91">
        <v>1926</v>
      </c>
      <c r="AC33" s="96">
        <v>2</v>
      </c>
      <c r="AD33" s="96">
        <f t="shared" si="3"/>
        <v>24.090502793296089</v>
      </c>
      <c r="AE33" s="100"/>
      <c r="AF33" s="91">
        <v>1926</v>
      </c>
      <c r="AG33" s="95">
        <v>1.88</v>
      </c>
      <c r="AH33" s="96">
        <f t="shared" si="1"/>
        <v>22.645072625698326</v>
      </c>
      <c r="AI33" s="100"/>
      <c r="AJ33" s="100"/>
      <c r="AK33" s="100"/>
      <c r="AL33" s="81">
        <v>1926</v>
      </c>
      <c r="AM33" s="81">
        <v>17.899999999999999</v>
      </c>
    </row>
    <row r="34" spans="1:39" x14ac:dyDescent="0.2">
      <c r="A34" s="86">
        <v>1927</v>
      </c>
      <c r="B34" s="87">
        <v>44900</v>
      </c>
      <c r="C34" s="87">
        <v>221000</v>
      </c>
      <c r="D34" s="87"/>
      <c r="E34" s="87">
        <v>2270</v>
      </c>
      <c r="F34" s="87">
        <v>249000</v>
      </c>
      <c r="G34" s="88">
        <v>78.2</v>
      </c>
      <c r="H34" s="89">
        <v>17.5</v>
      </c>
      <c r="I34" s="89">
        <f t="shared" si="0"/>
        <v>971.82491428571439</v>
      </c>
      <c r="J34" s="89"/>
      <c r="K34" s="89"/>
      <c r="L34" s="89"/>
      <c r="M34" s="89"/>
      <c r="N34" s="89">
        <v>732</v>
      </c>
      <c r="O34" s="87">
        <v>2000000</v>
      </c>
      <c r="P34" s="87">
        <f t="shared" si="4"/>
        <v>3278688.524590164</v>
      </c>
      <c r="Q34" s="101">
        <f t="shared" si="5"/>
        <v>0.16959064327485374</v>
      </c>
      <c r="R34" s="101"/>
      <c r="S34" s="101"/>
      <c r="T34" s="101"/>
      <c r="U34" s="101"/>
      <c r="V34" s="101"/>
      <c r="W34" s="91">
        <v>1927</v>
      </c>
      <c r="X34" s="92">
        <v>0.80400000000000005</v>
      </c>
      <c r="Y34" s="89">
        <f t="shared" si="2"/>
        <v>9.9916525714285704</v>
      </c>
      <c r="Z34" s="93"/>
      <c r="AA34" s="93"/>
      <c r="AB34" s="91">
        <v>1927</v>
      </c>
      <c r="AC34" s="96">
        <v>1.8</v>
      </c>
      <c r="AD34" s="96">
        <f t="shared" si="3"/>
        <v>22.177028571428568</v>
      </c>
      <c r="AE34" s="100"/>
      <c r="AF34" s="91">
        <v>1927</v>
      </c>
      <c r="AG34" s="95">
        <v>1.3</v>
      </c>
      <c r="AH34" s="96">
        <f t="shared" si="1"/>
        <v>16.016742857142859</v>
      </c>
      <c r="AI34" s="100"/>
      <c r="AJ34" s="100"/>
      <c r="AK34" s="100"/>
      <c r="AL34" s="81">
        <v>1927</v>
      </c>
      <c r="AM34" s="81">
        <v>17.5</v>
      </c>
    </row>
    <row r="35" spans="1:39" x14ac:dyDescent="0.2">
      <c r="A35" s="86">
        <v>1928</v>
      </c>
      <c r="B35" s="87">
        <v>54800</v>
      </c>
      <c r="C35" s="87">
        <v>300000</v>
      </c>
      <c r="D35" s="87"/>
      <c r="E35" s="87">
        <v>1910</v>
      </c>
      <c r="F35" s="87">
        <v>355000</v>
      </c>
      <c r="G35" s="88">
        <v>72.099999999999994</v>
      </c>
      <c r="H35" s="89">
        <v>17.3</v>
      </c>
      <c r="I35" s="89">
        <f t="shared" si="0"/>
        <v>906.37618497109804</v>
      </c>
      <c r="J35" s="89"/>
      <c r="K35" s="89"/>
      <c r="L35" s="89"/>
      <c r="M35" s="89"/>
      <c r="N35" s="89">
        <v>687</v>
      </c>
      <c r="O35" s="87">
        <v>2030000</v>
      </c>
      <c r="P35" s="87">
        <f t="shared" si="4"/>
        <v>3327868.8524590163</v>
      </c>
      <c r="Q35" s="101">
        <f t="shared" si="5"/>
        <v>1.4999999999999902E-2</v>
      </c>
      <c r="R35" s="101"/>
      <c r="S35" s="101"/>
      <c r="T35" s="101"/>
      <c r="U35" s="101"/>
      <c r="V35" s="101"/>
      <c r="W35" s="91">
        <v>1928</v>
      </c>
      <c r="X35" s="92">
        <v>0.79800000000000004</v>
      </c>
      <c r="Y35" s="89">
        <f t="shared" si="2"/>
        <v>10.03173641618497</v>
      </c>
      <c r="Z35" s="93"/>
      <c r="AA35" s="93"/>
      <c r="AB35" s="91">
        <v>1928</v>
      </c>
      <c r="AC35" s="96">
        <v>1.86</v>
      </c>
      <c r="AD35" s="96">
        <f t="shared" si="3"/>
        <v>23.181190751445087</v>
      </c>
      <c r="AE35" s="100"/>
      <c r="AF35" s="91">
        <v>1928</v>
      </c>
      <c r="AG35" s="95">
        <v>1.17</v>
      </c>
      <c r="AH35" s="96">
        <f t="shared" si="1"/>
        <v>14.581716763005778</v>
      </c>
      <c r="AI35" s="100"/>
      <c r="AJ35" s="100"/>
      <c r="AK35" s="100"/>
      <c r="AL35" s="81">
        <v>1928</v>
      </c>
      <c r="AM35" s="81">
        <v>17.3</v>
      </c>
    </row>
    <row r="36" spans="1:39" x14ac:dyDescent="0.2">
      <c r="A36" s="86">
        <v>1929</v>
      </c>
      <c r="B36" s="87">
        <v>52200</v>
      </c>
      <c r="C36" s="87">
        <v>295000</v>
      </c>
      <c r="D36" s="87"/>
      <c r="E36" s="87">
        <v>5630</v>
      </c>
      <c r="F36" s="87">
        <v>347000</v>
      </c>
      <c r="G36" s="88">
        <v>76.900000000000006</v>
      </c>
      <c r="H36" s="89">
        <v>17.100000000000001</v>
      </c>
      <c r="I36" s="89">
        <f t="shared" si="0"/>
        <v>978.02409356725138</v>
      </c>
      <c r="J36" s="89"/>
      <c r="K36" s="89"/>
      <c r="L36" s="89"/>
      <c r="M36" s="89"/>
      <c r="N36" s="89">
        <v>733</v>
      </c>
      <c r="O36" s="87">
        <v>2200000</v>
      </c>
      <c r="P36" s="87">
        <f t="shared" si="4"/>
        <v>3606557.3770491802</v>
      </c>
      <c r="Q36" s="101">
        <f t="shared" si="5"/>
        <v>8.3743842364532028E-2</v>
      </c>
      <c r="R36" s="101"/>
      <c r="S36" s="101"/>
      <c r="T36" s="101"/>
      <c r="U36" s="101"/>
      <c r="V36" s="101"/>
      <c r="W36" s="91">
        <v>1929</v>
      </c>
      <c r="X36" s="92">
        <v>0.76400000000000001</v>
      </c>
      <c r="Y36" s="89">
        <f t="shared" si="2"/>
        <v>9.7166502923976594</v>
      </c>
      <c r="Z36" s="93"/>
      <c r="AA36" s="93"/>
      <c r="AB36" s="91">
        <v>1929</v>
      </c>
      <c r="AC36" s="96">
        <v>1.86</v>
      </c>
      <c r="AD36" s="96">
        <f t="shared" si="3"/>
        <v>23.452315789473683</v>
      </c>
      <c r="AE36" s="100"/>
      <c r="AF36" s="91">
        <v>1929</v>
      </c>
      <c r="AG36" s="95">
        <v>1.27</v>
      </c>
      <c r="AH36" s="96">
        <f t="shared" si="1"/>
        <v>16.01314035087719</v>
      </c>
      <c r="AI36" s="100"/>
      <c r="AJ36" s="100"/>
      <c r="AK36" s="100"/>
      <c r="AL36" s="81">
        <v>1929</v>
      </c>
      <c r="AM36" s="81">
        <v>17.100000000000001</v>
      </c>
    </row>
    <row r="37" spans="1:39" x14ac:dyDescent="0.2">
      <c r="A37" s="86">
        <v>1930</v>
      </c>
      <c r="B37" s="87">
        <v>51400</v>
      </c>
      <c r="C37" s="87">
        <v>311000</v>
      </c>
      <c r="D37" s="87"/>
      <c r="E37" s="87">
        <v>9980</v>
      </c>
      <c r="F37" s="87">
        <v>354000</v>
      </c>
      <c r="G37" s="88">
        <v>75.900000000000006</v>
      </c>
      <c r="H37" s="89">
        <v>17.100000000000001</v>
      </c>
      <c r="I37" s="89">
        <f t="shared" si="0"/>
        <v>965.30596491228061</v>
      </c>
      <c r="J37" s="89"/>
      <c r="K37" s="89"/>
      <c r="L37" s="89"/>
      <c r="M37" s="89"/>
      <c r="N37" s="89">
        <v>741</v>
      </c>
      <c r="O37" s="87">
        <v>2050000</v>
      </c>
      <c r="P37" s="87">
        <f t="shared" si="4"/>
        <v>3360655.7377049183</v>
      </c>
      <c r="Q37" s="101">
        <f t="shared" si="5"/>
        <v>-6.8181818181818121E-2</v>
      </c>
      <c r="R37" s="101"/>
      <c r="S37" s="101"/>
      <c r="T37" s="101"/>
      <c r="U37" s="101"/>
      <c r="V37" s="101"/>
      <c r="W37" s="91">
        <v>1930</v>
      </c>
      <c r="X37" s="92">
        <v>0.55000000000000004</v>
      </c>
      <c r="Y37" s="89">
        <f t="shared" si="2"/>
        <v>6.994970760233918</v>
      </c>
      <c r="Z37" s="93"/>
      <c r="AA37" s="93"/>
      <c r="AB37" s="91">
        <v>1930</v>
      </c>
      <c r="AC37" s="96">
        <v>1.34</v>
      </c>
      <c r="AD37" s="96">
        <f t="shared" si="3"/>
        <v>16.89575438596491</v>
      </c>
      <c r="AE37" s="100"/>
      <c r="AF37" s="91">
        <v>1930</v>
      </c>
      <c r="AG37" s="95">
        <v>1.19</v>
      </c>
      <c r="AH37" s="96">
        <f t="shared" si="1"/>
        <v>15.004438596491227</v>
      </c>
      <c r="AI37" s="100"/>
      <c r="AJ37" s="100"/>
      <c r="AK37" s="100"/>
      <c r="AL37" s="81">
        <v>1930</v>
      </c>
      <c r="AM37" s="81">
        <v>17.100000000000001</v>
      </c>
    </row>
    <row r="38" spans="1:39" x14ac:dyDescent="0.2">
      <c r="A38" s="86">
        <v>1931</v>
      </c>
      <c r="B38" s="87">
        <v>57900</v>
      </c>
      <c r="C38" s="87">
        <v>195000</v>
      </c>
      <c r="D38" s="87"/>
      <c r="E38" s="87">
        <v>9530</v>
      </c>
      <c r="F38" s="87">
        <v>238000</v>
      </c>
      <c r="G38" s="88">
        <v>77.5</v>
      </c>
      <c r="H38" s="89">
        <v>15.9</v>
      </c>
      <c r="I38" s="89">
        <f t="shared" si="0"/>
        <v>1060.0440251572327</v>
      </c>
      <c r="J38" s="89"/>
      <c r="K38" s="89"/>
      <c r="L38" s="89"/>
      <c r="M38" s="89"/>
      <c r="N38" s="89">
        <v>831</v>
      </c>
      <c r="O38" s="87">
        <v>1400000</v>
      </c>
      <c r="P38" s="87">
        <f t="shared" si="4"/>
        <v>2295081.9672131147</v>
      </c>
      <c r="Q38" s="101">
        <f t="shared" si="5"/>
        <v>-0.31707317073170738</v>
      </c>
      <c r="R38" s="101"/>
      <c r="S38" s="101"/>
      <c r="T38" s="101"/>
      <c r="U38" s="101"/>
      <c r="V38" s="101"/>
      <c r="W38" s="91">
        <v>1931</v>
      </c>
      <c r="X38" s="92">
        <v>0.29399999999999998</v>
      </c>
      <c r="Y38" s="89">
        <f t="shared" si="2"/>
        <v>4.0213283018867925</v>
      </c>
      <c r="Z38" s="93"/>
      <c r="AA38" s="93"/>
      <c r="AB38" s="91">
        <v>1931</v>
      </c>
      <c r="AC38" s="96">
        <v>0.48099999999999998</v>
      </c>
      <c r="AD38" s="96">
        <f t="shared" si="3"/>
        <v>6.5225415094339612</v>
      </c>
      <c r="AE38" s="100"/>
      <c r="AF38" s="91">
        <v>1931</v>
      </c>
      <c r="AG38" s="95">
        <v>0.65</v>
      </c>
      <c r="AH38" s="96">
        <f t="shared" si="1"/>
        <v>8.8142452830188684</v>
      </c>
      <c r="AI38" s="100"/>
      <c r="AJ38" s="100"/>
      <c r="AK38" s="100"/>
      <c r="AL38" s="81">
        <v>1931</v>
      </c>
      <c r="AM38" s="81">
        <v>15.9</v>
      </c>
    </row>
    <row r="39" spans="1:39" x14ac:dyDescent="0.2">
      <c r="A39" s="86">
        <v>1932</v>
      </c>
      <c r="B39" s="87">
        <v>50500</v>
      </c>
      <c r="C39" s="87">
        <v>103000</v>
      </c>
      <c r="D39" s="87"/>
      <c r="E39" s="87">
        <v>25400</v>
      </c>
      <c r="F39" s="87">
        <v>152000</v>
      </c>
      <c r="G39" s="88">
        <v>71.3</v>
      </c>
      <c r="H39" s="89">
        <v>14.3</v>
      </c>
      <c r="I39" s="89">
        <f t="shared" si="0"/>
        <v>1084.3583216783215</v>
      </c>
      <c r="J39" s="89"/>
      <c r="K39" s="89"/>
      <c r="L39" s="89"/>
      <c r="M39" s="89"/>
      <c r="N39" s="89">
        <v>849</v>
      </c>
      <c r="O39" s="87">
        <v>1250000</v>
      </c>
      <c r="P39" s="87">
        <f t="shared" si="4"/>
        <v>2049180.3278688525</v>
      </c>
      <c r="Q39" s="101">
        <f t="shared" si="5"/>
        <v>-0.1071428571428571</v>
      </c>
      <c r="R39" s="101"/>
      <c r="S39" s="101"/>
      <c r="T39" s="101"/>
      <c r="U39" s="101"/>
      <c r="V39" s="101"/>
      <c r="W39" s="91">
        <v>1932</v>
      </c>
      <c r="X39" s="92">
        <v>0.29199999999999998</v>
      </c>
      <c r="Y39" s="89">
        <f t="shared" si="2"/>
        <v>4.4408503496503489</v>
      </c>
      <c r="Z39" s="93"/>
      <c r="AA39" s="93"/>
      <c r="AB39" s="91">
        <v>1932</v>
      </c>
      <c r="AC39" s="96">
        <v>0.52900000000000003</v>
      </c>
      <c r="AD39" s="96">
        <f t="shared" si="3"/>
        <v>7.9760622377622372</v>
      </c>
      <c r="AE39" s="100"/>
      <c r="AF39" s="91">
        <v>1932</v>
      </c>
      <c r="AG39" s="95">
        <v>0.87</v>
      </c>
      <c r="AH39" s="96">
        <f t="shared" si="1"/>
        <v>13.117531468531466</v>
      </c>
      <c r="AI39" s="100"/>
      <c r="AJ39" s="100"/>
      <c r="AK39" s="100"/>
      <c r="AL39" s="81">
        <v>1932</v>
      </c>
      <c r="AM39" s="81">
        <v>14.3</v>
      </c>
    </row>
    <row r="40" spans="1:39" x14ac:dyDescent="0.2">
      <c r="A40" s="86">
        <v>1933</v>
      </c>
      <c r="B40" s="87">
        <v>126000</v>
      </c>
      <c r="C40" s="87">
        <v>156000</v>
      </c>
      <c r="D40" s="87"/>
      <c r="E40" s="87">
        <v>19000</v>
      </c>
      <c r="F40" s="87">
        <v>266000</v>
      </c>
      <c r="G40" s="88">
        <v>60.7</v>
      </c>
      <c r="H40" s="89">
        <v>12.9</v>
      </c>
      <c r="I40" s="89">
        <f t="shared" si="0"/>
        <v>1023.3361240310078</v>
      </c>
      <c r="J40" s="89"/>
      <c r="K40" s="89"/>
      <c r="L40" s="89"/>
      <c r="M40" s="89"/>
      <c r="N40" s="89">
        <v>760</v>
      </c>
      <c r="O40" s="87">
        <v>1670000</v>
      </c>
      <c r="P40" s="87">
        <f t="shared" si="4"/>
        <v>2737704.9180327868</v>
      </c>
      <c r="Q40" s="101">
        <f t="shared" si="5"/>
        <v>0.33599999999999985</v>
      </c>
      <c r="R40" s="101"/>
      <c r="S40" s="101"/>
      <c r="T40" s="101"/>
      <c r="U40" s="101"/>
      <c r="V40" s="101"/>
      <c r="W40" s="91">
        <v>1933</v>
      </c>
      <c r="X40" s="92">
        <v>0.49399999999999999</v>
      </c>
      <c r="Y40" s="89">
        <f t="shared" si="2"/>
        <v>8.3283038759689916</v>
      </c>
      <c r="Z40" s="93"/>
      <c r="AA40" s="93"/>
      <c r="AB40" s="91">
        <v>1933</v>
      </c>
      <c r="AC40" s="96">
        <v>0.91700000000000004</v>
      </c>
      <c r="AD40" s="96">
        <f t="shared" si="3"/>
        <v>15.326695348837209</v>
      </c>
      <c r="AE40" s="100"/>
      <c r="AF40" s="91">
        <v>1933</v>
      </c>
      <c r="AG40" s="95">
        <v>0.67</v>
      </c>
      <c r="AH40" s="96">
        <f t="shared" si="1"/>
        <v>11.198348837209302</v>
      </c>
      <c r="AI40" s="100"/>
      <c r="AJ40" s="100"/>
      <c r="AK40" s="100"/>
      <c r="AL40" s="81">
        <v>1933</v>
      </c>
      <c r="AM40" s="81">
        <v>12.9</v>
      </c>
    </row>
    <row r="41" spans="1:39" x14ac:dyDescent="0.2">
      <c r="A41" s="86">
        <v>1934</v>
      </c>
      <c r="B41" s="87">
        <v>104000</v>
      </c>
      <c r="C41" s="87">
        <v>156000</v>
      </c>
      <c r="D41" s="87"/>
      <c r="E41" s="87">
        <v>45400</v>
      </c>
      <c r="F41" s="87">
        <v>249000</v>
      </c>
      <c r="G41" s="88">
        <v>55.6</v>
      </c>
      <c r="H41" s="89">
        <v>13.2</v>
      </c>
      <c r="I41" s="89">
        <f t="shared" si="0"/>
        <v>916.05212121212116</v>
      </c>
      <c r="J41" s="89"/>
      <c r="K41" s="89"/>
      <c r="L41" s="89"/>
      <c r="M41" s="89"/>
      <c r="N41" s="89">
        <v>676</v>
      </c>
      <c r="O41" s="87">
        <v>1980000</v>
      </c>
      <c r="P41" s="87">
        <f t="shared" si="4"/>
        <v>3245901.6393442624</v>
      </c>
      <c r="Q41" s="101">
        <f t="shared" si="5"/>
        <v>0.18562874251497008</v>
      </c>
      <c r="R41" s="101"/>
      <c r="S41" s="101"/>
      <c r="T41" s="101"/>
      <c r="U41" s="101"/>
      <c r="V41" s="101"/>
      <c r="W41" s="91">
        <v>1934</v>
      </c>
      <c r="X41" s="92">
        <v>0.80200000000000005</v>
      </c>
      <c r="Y41" s="89">
        <f t="shared" si="2"/>
        <v>13.213557575757577</v>
      </c>
      <c r="Z41" s="93"/>
      <c r="AA41" s="93"/>
      <c r="AB41" s="91">
        <v>1934</v>
      </c>
      <c r="AC41" s="96">
        <v>0.96299999999999997</v>
      </c>
      <c r="AD41" s="96">
        <f t="shared" si="3"/>
        <v>15.729729545454544</v>
      </c>
      <c r="AE41" s="100"/>
      <c r="AF41" s="91">
        <v>1934</v>
      </c>
      <c r="AG41" s="95">
        <v>1</v>
      </c>
      <c r="AH41" s="96">
        <f t="shared" si="1"/>
        <v>16.334090909090907</v>
      </c>
      <c r="AI41" s="100"/>
      <c r="AJ41" s="100"/>
      <c r="AK41" s="100"/>
      <c r="AL41" s="81">
        <v>1934</v>
      </c>
      <c r="AM41" s="81">
        <v>13.2</v>
      </c>
    </row>
    <row r="42" spans="1:39" x14ac:dyDescent="0.2">
      <c r="A42" s="86">
        <v>1935</v>
      </c>
      <c r="B42" s="87">
        <v>204000</v>
      </c>
      <c r="C42" s="87">
        <v>219000</v>
      </c>
      <c r="D42" s="87"/>
      <c r="E42" s="87">
        <v>16300</v>
      </c>
      <c r="F42" s="87">
        <v>423000</v>
      </c>
      <c r="G42" s="88">
        <v>41.4</v>
      </c>
      <c r="H42" s="89">
        <v>13.6</v>
      </c>
      <c r="I42" s="89">
        <f t="shared" si="0"/>
        <v>662.03470588235291</v>
      </c>
      <c r="J42" s="89"/>
      <c r="K42" s="89"/>
      <c r="L42" s="89"/>
      <c r="M42" s="89"/>
      <c r="N42" s="89">
        <v>493</v>
      </c>
      <c r="O42" s="87">
        <v>2270000</v>
      </c>
      <c r="P42" s="87">
        <f t="shared" si="4"/>
        <v>3721311.475409836</v>
      </c>
      <c r="Q42" s="101">
        <f t="shared" si="5"/>
        <v>0.14646464646464641</v>
      </c>
      <c r="R42" s="101"/>
      <c r="S42" s="101"/>
      <c r="T42" s="101"/>
      <c r="U42" s="101"/>
      <c r="V42" s="101"/>
      <c r="W42" s="91">
        <v>1935</v>
      </c>
      <c r="X42" s="92">
        <v>0.63200000000000001</v>
      </c>
      <c r="Y42" s="89">
        <f t="shared" si="2"/>
        <v>10.106423529411765</v>
      </c>
      <c r="Z42" s="93"/>
      <c r="AA42" s="93"/>
      <c r="AB42" s="91">
        <v>1935</v>
      </c>
      <c r="AC42" s="96">
        <v>0.71399999999999997</v>
      </c>
      <c r="AD42" s="96">
        <f t="shared" si="3"/>
        <v>11.319525000000001</v>
      </c>
      <c r="AE42" s="100"/>
      <c r="AF42" s="91">
        <v>1935</v>
      </c>
      <c r="AG42" s="95">
        <v>0.97</v>
      </c>
      <c r="AH42" s="96">
        <f t="shared" si="1"/>
        <v>15.378066176470588</v>
      </c>
      <c r="AI42" s="100"/>
      <c r="AJ42" s="100"/>
      <c r="AK42" s="100"/>
      <c r="AL42" s="81">
        <v>1935</v>
      </c>
      <c r="AM42" s="81">
        <v>13.6</v>
      </c>
    </row>
    <row r="43" spans="1:39" x14ac:dyDescent="0.2">
      <c r="A43" s="86">
        <v>1936</v>
      </c>
      <c r="B43" s="87">
        <v>202000</v>
      </c>
      <c r="C43" s="87">
        <v>192000</v>
      </c>
      <c r="D43" s="87"/>
      <c r="E43" s="87">
        <v>30800</v>
      </c>
      <c r="F43" s="87">
        <v>394000</v>
      </c>
      <c r="G43" s="88">
        <v>48.9</v>
      </c>
      <c r="H43" s="89">
        <v>13.8</v>
      </c>
      <c r="I43" s="89">
        <f t="shared" si="0"/>
        <v>770.63565217391294</v>
      </c>
      <c r="J43" s="89"/>
      <c r="K43" s="89"/>
      <c r="L43" s="89"/>
      <c r="M43" s="89"/>
      <c r="N43" s="89">
        <v>573</v>
      </c>
      <c r="O43" s="87">
        <v>2310000</v>
      </c>
      <c r="P43" s="87">
        <f t="shared" si="4"/>
        <v>3786885.2459016396</v>
      </c>
      <c r="Q43" s="101">
        <f t="shared" si="5"/>
        <v>1.7621145374449476E-2</v>
      </c>
      <c r="R43" s="101"/>
      <c r="S43" s="101"/>
      <c r="T43" s="101"/>
      <c r="U43" s="101"/>
      <c r="V43" s="101"/>
      <c r="W43" s="91">
        <v>1936</v>
      </c>
      <c r="X43" s="92">
        <v>1.03</v>
      </c>
      <c r="Y43" s="89">
        <f t="shared" si="2"/>
        <v>16.232202898550725</v>
      </c>
      <c r="Z43" s="93"/>
      <c r="AA43" s="93"/>
      <c r="AB43" s="91">
        <v>1936</v>
      </c>
      <c r="AC43" s="96">
        <v>1.25</v>
      </c>
      <c r="AD43" s="96">
        <f t="shared" si="3"/>
        <v>19.529891304347824</v>
      </c>
      <c r="AE43" s="100"/>
      <c r="AF43" s="91">
        <v>1936</v>
      </c>
      <c r="AG43" s="95">
        <v>1.0900000000000001</v>
      </c>
      <c r="AH43" s="96">
        <f t="shared" si="1"/>
        <v>17.030065217391304</v>
      </c>
      <c r="AI43" s="100"/>
      <c r="AJ43" s="100"/>
      <c r="AK43" s="100"/>
      <c r="AL43" s="81">
        <v>1936</v>
      </c>
      <c r="AM43" s="81">
        <v>13.8</v>
      </c>
    </row>
    <row r="44" spans="1:39" x14ac:dyDescent="0.2">
      <c r="A44" s="86">
        <v>1937</v>
      </c>
      <c r="B44" s="87">
        <v>242000</v>
      </c>
      <c r="C44" s="87">
        <v>319000</v>
      </c>
      <c r="D44" s="87">
        <v>56200</v>
      </c>
      <c r="E44" s="87">
        <v>50500</v>
      </c>
      <c r="F44" s="87">
        <v>504000</v>
      </c>
      <c r="G44" s="88">
        <v>49.5</v>
      </c>
      <c r="H44" s="89">
        <v>14.1</v>
      </c>
      <c r="I44" s="89">
        <f t="shared" si="0"/>
        <v>763.49361702127658</v>
      </c>
      <c r="J44" s="89"/>
      <c r="K44" s="89"/>
      <c r="L44" s="89"/>
      <c r="M44" s="89"/>
      <c r="N44" s="89">
        <v>560</v>
      </c>
      <c r="O44" s="87">
        <v>2820000</v>
      </c>
      <c r="P44" s="87">
        <f t="shared" si="4"/>
        <v>4622950.819672131</v>
      </c>
      <c r="Q44" s="101">
        <f t="shared" si="5"/>
        <v>0.22077922077922074</v>
      </c>
      <c r="R44" s="101"/>
      <c r="S44" s="101"/>
      <c r="T44" s="101"/>
      <c r="U44" s="101"/>
      <c r="V44" s="101"/>
      <c r="W44" s="91">
        <v>1937</v>
      </c>
      <c r="X44" s="92">
        <v>0.49</v>
      </c>
      <c r="Y44" s="89">
        <f t="shared" si="2"/>
        <v>7.5578156028368788</v>
      </c>
      <c r="Z44" s="93"/>
      <c r="AA44" s="93"/>
      <c r="AB44" s="91">
        <v>1937</v>
      </c>
      <c r="AC44" s="96">
        <v>0.83699999999999997</v>
      </c>
      <c r="AD44" s="96">
        <f t="shared" si="3"/>
        <v>12.79897659574468</v>
      </c>
      <c r="AE44" s="100"/>
      <c r="AF44" s="91">
        <v>1937</v>
      </c>
      <c r="AG44" s="95">
        <v>1.18</v>
      </c>
      <c r="AH44" s="96">
        <f t="shared" si="1"/>
        <v>18.043957446808509</v>
      </c>
      <c r="AI44" s="100"/>
      <c r="AJ44" s="100"/>
      <c r="AK44" s="100"/>
      <c r="AL44" s="81">
        <v>1937</v>
      </c>
      <c r="AM44" s="81">
        <v>14.1</v>
      </c>
    </row>
    <row r="45" spans="1:39" x14ac:dyDescent="0.2">
      <c r="A45" s="86">
        <v>1938</v>
      </c>
      <c r="B45" s="87">
        <v>260000</v>
      </c>
      <c r="C45" s="87">
        <v>176000</v>
      </c>
      <c r="D45" s="87">
        <v>47000</v>
      </c>
      <c r="E45" s="87">
        <v>79300</v>
      </c>
      <c r="F45" s="87">
        <v>388000</v>
      </c>
      <c r="G45" s="88">
        <v>51.9</v>
      </c>
      <c r="H45" s="89">
        <v>14.2</v>
      </c>
      <c r="I45" s="89">
        <f t="shared" si="0"/>
        <v>794.87408450704231</v>
      </c>
      <c r="J45" s="89"/>
      <c r="K45" s="89"/>
      <c r="L45" s="89"/>
      <c r="M45" s="89"/>
      <c r="N45" s="89">
        <v>600</v>
      </c>
      <c r="O45" s="87">
        <v>3010000</v>
      </c>
      <c r="P45" s="87">
        <f t="shared" si="4"/>
        <v>4934426.2295081969</v>
      </c>
      <c r="Q45" s="101">
        <f t="shared" si="5"/>
        <v>6.7375886524822848E-2</v>
      </c>
      <c r="R45" s="101"/>
      <c r="S45" s="101"/>
      <c r="T45" s="101"/>
      <c r="U45" s="101"/>
      <c r="V45" s="101"/>
      <c r="W45" s="91">
        <v>1938</v>
      </c>
      <c r="X45" s="92">
        <v>0.46899999999999997</v>
      </c>
      <c r="Y45" s="89">
        <f t="shared" si="2"/>
        <v>7.1829661971830978</v>
      </c>
      <c r="Z45" s="93"/>
      <c r="AA45" s="93"/>
      <c r="AB45" s="91">
        <v>1938</v>
      </c>
      <c r="AC45" s="96">
        <v>0.66400000000000003</v>
      </c>
      <c r="AD45" s="96">
        <f t="shared" si="3"/>
        <v>10.082045070422536</v>
      </c>
      <c r="AE45" s="100"/>
      <c r="AF45" s="91">
        <v>1938</v>
      </c>
      <c r="AG45" s="95">
        <v>1.1299999999999999</v>
      </c>
      <c r="AH45" s="96">
        <f t="shared" si="1"/>
        <v>17.157697183098591</v>
      </c>
      <c r="AI45" s="100"/>
      <c r="AJ45" s="100"/>
      <c r="AK45" s="100"/>
      <c r="AL45" s="81">
        <v>1938</v>
      </c>
      <c r="AM45" s="81">
        <v>14.2</v>
      </c>
    </row>
    <row r="46" spans="1:39" x14ac:dyDescent="0.2">
      <c r="A46" s="86">
        <v>1939</v>
      </c>
      <c r="B46" s="87">
        <v>332000</v>
      </c>
      <c r="C46" s="87">
        <v>90800</v>
      </c>
      <c r="D46" s="87">
        <v>76000</v>
      </c>
      <c r="E46" s="87">
        <v>26700</v>
      </c>
      <c r="F46" s="87">
        <v>347000</v>
      </c>
      <c r="G46" s="88">
        <v>43</v>
      </c>
      <c r="H46" s="89">
        <v>14</v>
      </c>
      <c r="I46" s="89">
        <f t="shared" si="0"/>
        <v>667.97428571428566</v>
      </c>
      <c r="J46" s="89"/>
      <c r="K46" s="89"/>
      <c r="L46" s="89"/>
      <c r="M46" s="89"/>
      <c r="N46" s="89">
        <v>504</v>
      </c>
      <c r="O46" s="87">
        <v>2730000</v>
      </c>
      <c r="P46" s="87">
        <f t="shared" si="4"/>
        <v>4475409.8360655736</v>
      </c>
      <c r="Q46" s="101">
        <f t="shared" si="5"/>
        <v>-9.3023255813953543E-2</v>
      </c>
      <c r="R46" s="101"/>
      <c r="S46" s="101"/>
      <c r="T46" s="101"/>
      <c r="U46" s="101"/>
      <c r="V46" s="101"/>
      <c r="W46" s="91">
        <v>1939</v>
      </c>
      <c r="X46" s="92">
        <v>0.54200000000000004</v>
      </c>
      <c r="Y46" s="89">
        <f t="shared" si="2"/>
        <v>8.4195828571428581</v>
      </c>
      <c r="Z46" s="93"/>
      <c r="AA46" s="93"/>
      <c r="AB46" s="91">
        <v>1939</v>
      </c>
      <c r="AC46" s="96">
        <v>0.80200000000000005</v>
      </c>
      <c r="AD46" s="96">
        <f t="shared" si="3"/>
        <v>12.351372857142858</v>
      </c>
      <c r="AE46" s="100"/>
      <c r="AF46" s="91">
        <v>1939</v>
      </c>
      <c r="AG46" s="95">
        <v>1.02</v>
      </c>
      <c r="AH46" s="96">
        <f t="shared" si="1"/>
        <v>15.708728571428569</v>
      </c>
      <c r="AI46" s="100"/>
      <c r="AJ46" s="100"/>
      <c r="AK46" s="100"/>
      <c r="AL46" s="81">
        <v>1939</v>
      </c>
      <c r="AM46" s="81">
        <v>14</v>
      </c>
    </row>
    <row r="47" spans="1:39" x14ac:dyDescent="0.2">
      <c r="A47" s="86">
        <v>1940</v>
      </c>
      <c r="B47" s="87">
        <v>357000</v>
      </c>
      <c r="C47" s="87">
        <v>108000</v>
      </c>
      <c r="D47" s="87">
        <v>57000</v>
      </c>
      <c r="E47" s="87">
        <v>14900</v>
      </c>
      <c r="F47" s="87">
        <v>407000</v>
      </c>
      <c r="G47" s="88">
        <v>34.1</v>
      </c>
      <c r="H47" s="89">
        <v>13.9</v>
      </c>
      <c r="I47" s="89">
        <f t="shared" si="0"/>
        <v>533.53007194244606</v>
      </c>
      <c r="J47" s="89"/>
      <c r="K47" s="89"/>
      <c r="L47" s="89"/>
      <c r="M47" s="89"/>
      <c r="N47" s="89">
        <v>397</v>
      </c>
      <c r="O47" s="87">
        <v>2810000</v>
      </c>
      <c r="P47" s="87">
        <f t="shared" si="4"/>
        <v>4606557.3770491807</v>
      </c>
      <c r="Q47" s="101">
        <f t="shared" si="5"/>
        <v>2.9304029304029422E-2</v>
      </c>
      <c r="R47" s="101"/>
      <c r="S47" s="101"/>
      <c r="T47" s="101"/>
      <c r="U47" s="101"/>
      <c r="V47" s="101"/>
      <c r="W47" s="91">
        <v>1940</v>
      </c>
      <c r="X47" s="92">
        <v>0.60099999999999998</v>
      </c>
      <c r="Y47" s="89">
        <f t="shared" si="2"/>
        <v>9.4032719424460431</v>
      </c>
      <c r="Z47" s="93"/>
      <c r="AA47" s="93"/>
      <c r="AB47" s="91">
        <v>1940</v>
      </c>
      <c r="AC47" s="96">
        <v>0.89200000000000002</v>
      </c>
      <c r="AD47" s="96">
        <f t="shared" si="3"/>
        <v>13.83626762589928</v>
      </c>
      <c r="AE47" s="100"/>
      <c r="AF47" s="91">
        <v>1940</v>
      </c>
      <c r="AG47" s="95">
        <v>1.02</v>
      </c>
      <c r="AH47" s="96">
        <f t="shared" si="1"/>
        <v>15.821741007194243</v>
      </c>
      <c r="AI47" s="100"/>
      <c r="AJ47" s="100"/>
      <c r="AK47" s="100"/>
      <c r="AL47" s="81">
        <v>1940</v>
      </c>
      <c r="AM47" s="81">
        <v>13.9</v>
      </c>
    </row>
    <row r="48" spans="1:39" x14ac:dyDescent="0.2">
      <c r="A48" s="86">
        <v>1941</v>
      </c>
      <c r="B48" s="87">
        <v>482000</v>
      </c>
      <c r="C48" s="87">
        <v>14400</v>
      </c>
      <c r="D48" s="87">
        <v>51600</v>
      </c>
      <c r="E48" s="87">
        <v>8810</v>
      </c>
      <c r="F48" s="87">
        <v>445000</v>
      </c>
      <c r="G48" s="88">
        <v>39.4</v>
      </c>
      <c r="H48" s="89">
        <v>14.1</v>
      </c>
      <c r="I48" s="89">
        <f t="shared" si="0"/>
        <v>607.71007092198579</v>
      </c>
      <c r="J48" s="89"/>
      <c r="K48" s="89"/>
      <c r="L48" s="89"/>
      <c r="M48" s="89"/>
      <c r="N48" s="89">
        <v>437</v>
      </c>
      <c r="O48" s="87">
        <v>3210000</v>
      </c>
      <c r="P48" s="87">
        <f t="shared" si="4"/>
        <v>5262295.0819672132</v>
      </c>
      <c r="Q48" s="101">
        <f t="shared" si="5"/>
        <v>0.14234875444839856</v>
      </c>
      <c r="R48" s="101"/>
      <c r="S48" s="101"/>
      <c r="T48" s="101"/>
      <c r="U48" s="101"/>
      <c r="V48" s="101"/>
      <c r="W48" s="91">
        <v>1941</v>
      </c>
      <c r="X48" s="92">
        <v>0.73599999999999999</v>
      </c>
      <c r="Y48" s="89">
        <f t="shared" si="2"/>
        <v>11.352147517730497</v>
      </c>
      <c r="Z48" s="93"/>
      <c r="AA48" s="93"/>
      <c r="AB48" s="91">
        <v>1941</v>
      </c>
      <c r="AC48" s="96">
        <v>1.55</v>
      </c>
      <c r="AD48" s="96">
        <f t="shared" si="3"/>
        <v>23.701808510638298</v>
      </c>
      <c r="AE48" s="100"/>
      <c r="AF48" s="91">
        <v>1941</v>
      </c>
      <c r="AG48" s="95">
        <v>1.1399999999999999</v>
      </c>
      <c r="AH48" s="96">
        <f t="shared" si="1"/>
        <v>17.432297872340424</v>
      </c>
      <c r="AI48" s="100"/>
      <c r="AJ48" s="100"/>
      <c r="AK48" s="100"/>
      <c r="AL48" s="81">
        <v>1941</v>
      </c>
      <c r="AM48" s="81">
        <v>14.1</v>
      </c>
    </row>
    <row r="49" spans="1:39" x14ac:dyDescent="0.2">
      <c r="A49" s="86">
        <v>1942</v>
      </c>
      <c r="B49" s="87">
        <v>618000</v>
      </c>
      <c r="C49" s="87">
        <v>3950</v>
      </c>
      <c r="D49" s="87">
        <v>44600</v>
      </c>
      <c r="E49" s="87">
        <v>5480</v>
      </c>
      <c r="F49" s="87">
        <v>577000</v>
      </c>
      <c r="G49" s="88">
        <v>33.6</v>
      </c>
      <c r="H49" s="89">
        <v>15.7</v>
      </c>
      <c r="I49" s="89">
        <f t="shared" si="0"/>
        <v>465.43490445859874</v>
      </c>
      <c r="J49" s="89"/>
      <c r="K49" s="89"/>
      <c r="L49" s="89"/>
      <c r="M49" s="89"/>
      <c r="N49" s="89">
        <v>336</v>
      </c>
      <c r="O49" s="87">
        <v>3170000</v>
      </c>
      <c r="P49" s="87">
        <f t="shared" si="4"/>
        <v>5196721.3114754101</v>
      </c>
      <c r="Q49" s="101">
        <f t="shared" si="5"/>
        <v>-1.2461059190031154E-2</v>
      </c>
      <c r="R49" s="101"/>
      <c r="S49" s="101"/>
      <c r="T49" s="101"/>
      <c r="U49" s="101"/>
      <c r="V49" s="101"/>
      <c r="W49" s="91">
        <v>1942</v>
      </c>
      <c r="X49" s="92">
        <v>0.89400000000000002</v>
      </c>
      <c r="Y49" s="89">
        <f t="shared" si="2"/>
        <v>12.383892993630575</v>
      </c>
      <c r="Z49" s="93"/>
      <c r="AA49" s="93"/>
      <c r="AB49" s="91">
        <v>1942</v>
      </c>
      <c r="AC49" s="96">
        <v>1.6</v>
      </c>
      <c r="AD49" s="96">
        <f t="shared" si="3"/>
        <v>21.972993630573249</v>
      </c>
      <c r="AE49" s="100"/>
      <c r="AF49" s="91">
        <v>1942</v>
      </c>
      <c r="AG49" s="95">
        <v>1.19</v>
      </c>
      <c r="AH49" s="96">
        <f t="shared" si="1"/>
        <v>16.342414012738853</v>
      </c>
      <c r="AI49" s="100"/>
      <c r="AJ49" s="100"/>
      <c r="AK49" s="100"/>
      <c r="AL49" s="81">
        <v>1942</v>
      </c>
      <c r="AM49" s="81">
        <v>15.7</v>
      </c>
    </row>
    <row r="50" spans="1:39" x14ac:dyDescent="0.2">
      <c r="A50" s="86">
        <v>1943</v>
      </c>
      <c r="B50" s="87">
        <v>664000</v>
      </c>
      <c r="C50" s="87">
        <v>15500</v>
      </c>
      <c r="D50" s="87">
        <v>63500</v>
      </c>
      <c r="E50" s="87">
        <v>12700</v>
      </c>
      <c r="F50" s="87">
        <v>616000</v>
      </c>
      <c r="G50" s="88">
        <v>33.299999999999997</v>
      </c>
      <c r="H50" s="89">
        <v>16.899999999999999</v>
      </c>
      <c r="I50" s="89">
        <f t="shared" si="0"/>
        <v>428.52568047337274</v>
      </c>
      <c r="J50" s="89"/>
      <c r="K50" s="89"/>
      <c r="L50" s="89"/>
      <c r="M50" s="89"/>
      <c r="N50" s="89">
        <v>314</v>
      </c>
      <c r="O50" s="87">
        <v>3270000</v>
      </c>
      <c r="P50" s="87">
        <f t="shared" si="4"/>
        <v>5360655.7377049178</v>
      </c>
      <c r="Q50" s="101">
        <f t="shared" si="5"/>
        <v>3.154574132492094E-2</v>
      </c>
      <c r="R50" s="101"/>
      <c r="S50" s="101"/>
      <c r="T50" s="101"/>
      <c r="U50" s="101"/>
      <c r="V50" s="101"/>
      <c r="W50" s="91">
        <v>1943</v>
      </c>
      <c r="X50" s="92">
        <v>1.08</v>
      </c>
      <c r="Y50" s="89">
        <f t="shared" si="2"/>
        <v>13.898130177514794</v>
      </c>
      <c r="Z50" s="93"/>
      <c r="AA50" s="93"/>
      <c r="AB50" s="91">
        <v>1943</v>
      </c>
      <c r="AC50" s="96">
        <v>1.81</v>
      </c>
      <c r="AD50" s="96">
        <f t="shared" si="3"/>
        <v>23.091958579881659</v>
      </c>
      <c r="AE50" s="100"/>
      <c r="AF50" s="91">
        <v>1943</v>
      </c>
      <c r="AG50" s="95">
        <v>1.2</v>
      </c>
      <c r="AH50" s="96">
        <f t="shared" si="1"/>
        <v>15.309585798816567</v>
      </c>
      <c r="AI50" s="100"/>
      <c r="AJ50" s="100"/>
      <c r="AK50" s="100"/>
      <c r="AL50" s="81">
        <v>1943</v>
      </c>
      <c r="AM50" s="81">
        <v>16.899999999999999</v>
      </c>
    </row>
    <row r="51" spans="1:39" x14ac:dyDescent="0.2">
      <c r="A51" s="86">
        <v>1944</v>
      </c>
      <c r="B51" s="87">
        <v>742000</v>
      </c>
      <c r="C51" s="87">
        <v>4360</v>
      </c>
      <c r="D51" s="87">
        <v>62500</v>
      </c>
      <c r="E51" s="87">
        <v>27000</v>
      </c>
      <c r="F51" s="87">
        <v>684000</v>
      </c>
      <c r="G51" s="88">
        <v>36.9</v>
      </c>
      <c r="H51" s="89">
        <v>17.399999999999999</v>
      </c>
      <c r="I51" s="89">
        <f t="shared" si="0"/>
        <v>461.20758620689656</v>
      </c>
      <c r="J51" s="89"/>
      <c r="K51" s="89"/>
      <c r="L51" s="89"/>
      <c r="M51" s="89"/>
      <c r="N51" s="89">
        <v>342</v>
      </c>
      <c r="O51" s="87">
        <v>3040000</v>
      </c>
      <c r="P51" s="87">
        <f t="shared" si="4"/>
        <v>4983606.5573770497</v>
      </c>
      <c r="Q51" s="101">
        <f t="shared" si="5"/>
        <v>-7.0336391437308743E-2</v>
      </c>
      <c r="R51" s="101"/>
      <c r="S51" s="101"/>
      <c r="T51" s="101"/>
      <c r="U51" s="101"/>
      <c r="V51" s="101"/>
      <c r="W51" s="91">
        <v>1944</v>
      </c>
      <c r="X51" s="92">
        <v>1.03</v>
      </c>
      <c r="Y51" s="89">
        <f t="shared" si="2"/>
        <v>12.873816091954025</v>
      </c>
      <c r="Z51" s="93"/>
      <c r="AA51" s="93"/>
      <c r="AB51" s="91">
        <v>1944</v>
      </c>
      <c r="AC51" s="96">
        <v>2.0499999999999998</v>
      </c>
      <c r="AD51" s="96">
        <f t="shared" si="3"/>
        <v>25.402327586206894</v>
      </c>
      <c r="AE51" s="100"/>
      <c r="AF51" s="91">
        <v>1944</v>
      </c>
      <c r="AG51" s="95">
        <v>1.21</v>
      </c>
      <c r="AH51" s="96">
        <f t="shared" si="1"/>
        <v>14.993568965517239</v>
      </c>
      <c r="AI51" s="100"/>
      <c r="AJ51" s="100"/>
      <c r="AK51" s="100"/>
      <c r="AL51" s="81">
        <v>1944</v>
      </c>
      <c r="AM51" s="81">
        <v>17.399999999999999</v>
      </c>
    </row>
    <row r="52" spans="1:39" x14ac:dyDescent="0.2">
      <c r="A52" s="86">
        <v>1945</v>
      </c>
      <c r="B52" s="87">
        <v>790000</v>
      </c>
      <c r="C52" s="87">
        <v>5460</v>
      </c>
      <c r="D52" s="87">
        <v>61300</v>
      </c>
      <c r="E52" s="87">
        <v>31100</v>
      </c>
      <c r="F52" s="87">
        <v>734000</v>
      </c>
      <c r="G52" s="88">
        <v>36.799999999999997</v>
      </c>
      <c r="H52" s="89">
        <v>17.8</v>
      </c>
      <c r="I52" s="89">
        <f t="shared" si="0"/>
        <v>449.62157303370782</v>
      </c>
      <c r="J52" s="89"/>
      <c r="K52" s="89"/>
      <c r="L52" s="89"/>
      <c r="M52" s="89"/>
      <c r="N52" s="89">
        <v>333</v>
      </c>
      <c r="O52" s="87">
        <v>1910000</v>
      </c>
      <c r="P52" s="87">
        <f t="shared" si="4"/>
        <v>3131147.5409836066</v>
      </c>
      <c r="Q52" s="101">
        <f t="shared" si="5"/>
        <v>-0.37171052631578949</v>
      </c>
      <c r="R52" s="101"/>
      <c r="S52" s="101"/>
      <c r="T52" s="101"/>
      <c r="U52" s="101"/>
      <c r="V52" s="101"/>
      <c r="W52" s="91">
        <v>1945</v>
      </c>
      <c r="X52" s="92">
        <v>1.23</v>
      </c>
      <c r="Y52" s="89">
        <f t="shared" si="2"/>
        <v>15.028112359550558</v>
      </c>
      <c r="Z52" s="93"/>
      <c r="AA52" s="93"/>
      <c r="AB52" s="91">
        <v>1945</v>
      </c>
      <c r="AC52" s="96">
        <v>2.08</v>
      </c>
      <c r="AD52" s="96">
        <f t="shared" si="3"/>
        <v>25.19487640449438</v>
      </c>
      <c r="AE52" s="100"/>
      <c r="AF52" s="91">
        <v>1945</v>
      </c>
      <c r="AG52" s="95">
        <v>1.05</v>
      </c>
      <c r="AH52" s="96">
        <f t="shared" si="1"/>
        <v>12.718567415730337</v>
      </c>
      <c r="AI52" s="100"/>
      <c r="AJ52" s="100"/>
      <c r="AK52" s="100"/>
      <c r="AL52" s="81">
        <v>1945</v>
      </c>
      <c r="AM52" s="81">
        <v>17.8</v>
      </c>
    </row>
    <row r="53" spans="1:39" x14ac:dyDescent="0.2">
      <c r="A53" s="86">
        <v>1946</v>
      </c>
      <c r="B53" s="87">
        <v>842000</v>
      </c>
      <c r="C53" s="87">
        <v>3960</v>
      </c>
      <c r="D53" s="87">
        <v>59600</v>
      </c>
      <c r="E53" s="87">
        <v>34500</v>
      </c>
      <c r="F53" s="87">
        <v>787000</v>
      </c>
      <c r="G53" s="88">
        <v>33.700000000000003</v>
      </c>
      <c r="H53" s="89">
        <v>18.2</v>
      </c>
      <c r="I53" s="89">
        <f t="shared" si="0"/>
        <v>402.69648351648351</v>
      </c>
      <c r="J53" s="89"/>
      <c r="K53" s="89"/>
      <c r="L53" s="89"/>
      <c r="M53" s="89"/>
      <c r="N53" s="89">
        <v>282</v>
      </c>
      <c r="O53" s="87">
        <v>2310000</v>
      </c>
      <c r="P53" s="87">
        <f t="shared" si="4"/>
        <v>3786885.2459016396</v>
      </c>
      <c r="Q53" s="101">
        <f t="shared" si="5"/>
        <v>0.20942408376963351</v>
      </c>
      <c r="R53" s="101"/>
      <c r="S53" s="101"/>
      <c r="T53" s="101"/>
      <c r="U53" s="101"/>
      <c r="V53" s="101"/>
      <c r="W53" s="91">
        <v>1946</v>
      </c>
      <c r="X53" s="92">
        <v>1.53</v>
      </c>
      <c r="Y53" s="89">
        <f t="shared" si="2"/>
        <v>18.28265934065934</v>
      </c>
      <c r="Z53" s="93"/>
      <c r="AA53" s="93"/>
      <c r="AB53" s="91">
        <v>1946</v>
      </c>
      <c r="AC53" s="96">
        <v>2.57</v>
      </c>
      <c r="AD53" s="96">
        <f t="shared" si="3"/>
        <v>30.446027472527469</v>
      </c>
      <c r="AE53" s="100"/>
      <c r="AF53" s="91">
        <v>1946</v>
      </c>
      <c r="AG53" s="95">
        <v>1.1200000000000001</v>
      </c>
      <c r="AH53" s="96">
        <f t="shared" si="1"/>
        <v>13.268307692307694</v>
      </c>
      <c r="AI53" s="100"/>
      <c r="AJ53" s="100"/>
      <c r="AK53" s="100"/>
      <c r="AL53" s="81">
        <v>1946</v>
      </c>
      <c r="AM53" s="81">
        <v>18.2</v>
      </c>
    </row>
    <row r="54" spans="1:39" x14ac:dyDescent="0.2">
      <c r="A54" s="86">
        <v>1947</v>
      </c>
      <c r="B54" s="87">
        <v>956000</v>
      </c>
      <c r="C54" s="87">
        <v>23600</v>
      </c>
      <c r="D54" s="87">
        <v>61800</v>
      </c>
      <c r="E54" s="87">
        <v>13300</v>
      </c>
      <c r="F54" s="87">
        <v>917000</v>
      </c>
      <c r="G54" s="88">
        <v>31.1</v>
      </c>
      <c r="H54" s="89">
        <v>21.5</v>
      </c>
      <c r="I54" s="89">
        <f t="shared" si="0"/>
        <v>314.58734883720928</v>
      </c>
      <c r="J54" s="89"/>
      <c r="K54" s="89"/>
      <c r="L54" s="89"/>
      <c r="M54" s="89"/>
      <c r="N54" s="89">
        <v>227</v>
      </c>
      <c r="O54" s="87">
        <v>2620000</v>
      </c>
      <c r="P54" s="87">
        <f t="shared" si="4"/>
        <v>4295081.9672131147</v>
      </c>
      <c r="Q54" s="101">
        <f t="shared" si="5"/>
        <v>0.13419913419913421</v>
      </c>
      <c r="R54" s="101"/>
      <c r="S54" s="101"/>
      <c r="T54" s="101"/>
      <c r="U54" s="101"/>
      <c r="V54" s="101"/>
      <c r="W54" s="91">
        <v>1947</v>
      </c>
      <c r="X54" s="92">
        <v>2.16</v>
      </c>
      <c r="Y54" s="89">
        <f t="shared" si="2"/>
        <v>21.849153488372092</v>
      </c>
      <c r="Z54" s="93"/>
      <c r="AA54" s="93"/>
      <c r="AB54" s="91">
        <v>1947</v>
      </c>
      <c r="AC54" s="96">
        <v>3.33</v>
      </c>
      <c r="AD54" s="96">
        <f t="shared" si="3"/>
        <v>33.394479069767435</v>
      </c>
      <c r="AE54" s="100"/>
      <c r="AF54" s="91">
        <v>1947</v>
      </c>
      <c r="AG54" s="95">
        <v>1.9</v>
      </c>
      <c r="AH54" s="96">
        <f t="shared" si="1"/>
        <v>19.053906976744184</v>
      </c>
      <c r="AI54" s="100"/>
      <c r="AJ54" s="100"/>
      <c r="AK54" s="100"/>
      <c r="AL54" s="81">
        <v>1947</v>
      </c>
      <c r="AM54" s="81">
        <v>21.5</v>
      </c>
    </row>
    <row r="55" spans="1:39" x14ac:dyDescent="0.2">
      <c r="A55" s="86">
        <v>1948</v>
      </c>
      <c r="B55" s="87">
        <v>1040000</v>
      </c>
      <c r="C55" s="87">
        <v>24700</v>
      </c>
      <c r="D55" s="87">
        <v>63300</v>
      </c>
      <c r="E55" s="87">
        <v>10200</v>
      </c>
      <c r="F55" s="87">
        <v>999000</v>
      </c>
      <c r="G55" s="88">
        <v>30.8</v>
      </c>
      <c r="H55" s="89">
        <v>23.7</v>
      </c>
      <c r="I55" s="89">
        <f t="shared" si="0"/>
        <v>282.63223628691986</v>
      </c>
      <c r="J55" s="89"/>
      <c r="K55" s="89"/>
      <c r="L55" s="89"/>
      <c r="M55" s="89"/>
      <c r="N55" s="89">
        <v>208</v>
      </c>
      <c r="O55" s="87">
        <v>2940000</v>
      </c>
      <c r="P55" s="87">
        <f t="shared" si="4"/>
        <v>4819672.1311475411</v>
      </c>
      <c r="Q55" s="101">
        <f t="shared" si="5"/>
        <v>0.12213740458015265</v>
      </c>
      <c r="R55" s="101"/>
      <c r="S55" s="101"/>
      <c r="T55" s="101"/>
      <c r="U55" s="101"/>
      <c r="V55" s="101"/>
      <c r="W55" s="91">
        <v>1948</v>
      </c>
      <c r="X55" s="92">
        <v>1.28</v>
      </c>
      <c r="Y55" s="89">
        <f t="shared" si="2"/>
        <v>11.745755274261603</v>
      </c>
      <c r="Z55" s="93"/>
      <c r="AA55" s="93"/>
      <c r="AB55" s="91">
        <v>1948</v>
      </c>
      <c r="AC55" s="96">
        <v>2.27</v>
      </c>
      <c r="AD55" s="96">
        <f t="shared" si="3"/>
        <v>20.651253164556962</v>
      </c>
      <c r="AE55" s="100"/>
      <c r="AF55" s="91">
        <v>1948</v>
      </c>
      <c r="AG55" s="95">
        <v>1.99</v>
      </c>
      <c r="AH55" s="96">
        <f t="shared" si="1"/>
        <v>18.103962025316456</v>
      </c>
      <c r="AI55" s="100"/>
      <c r="AJ55" s="100"/>
      <c r="AK55" s="100"/>
      <c r="AL55" s="81">
        <v>1948</v>
      </c>
      <c r="AM55" s="81">
        <v>23.7</v>
      </c>
    </row>
    <row r="56" spans="1:39" x14ac:dyDescent="0.2">
      <c r="A56" s="86">
        <v>1949</v>
      </c>
      <c r="B56" s="87">
        <v>1020000</v>
      </c>
      <c r="C56" s="87">
        <v>17400</v>
      </c>
      <c r="D56" s="87">
        <v>63100</v>
      </c>
      <c r="E56" s="87">
        <v>8230</v>
      </c>
      <c r="F56" s="87">
        <v>971000</v>
      </c>
      <c r="G56" s="88">
        <v>31.3</v>
      </c>
      <c r="H56" s="89">
        <v>24</v>
      </c>
      <c r="I56" s="89">
        <f t="shared" si="0"/>
        <v>283.63016666666664</v>
      </c>
      <c r="J56" s="89"/>
      <c r="K56" s="89"/>
      <c r="L56" s="89"/>
      <c r="M56" s="89"/>
      <c r="N56" s="89">
        <v>214</v>
      </c>
      <c r="O56" s="87">
        <v>2540000</v>
      </c>
      <c r="P56" s="87">
        <f t="shared" si="4"/>
        <v>4163934.4262295081</v>
      </c>
      <c r="Q56" s="101">
        <f t="shared" si="5"/>
        <v>-0.13605442176870752</v>
      </c>
      <c r="R56" s="101"/>
      <c r="S56" s="101"/>
      <c r="T56" s="101"/>
      <c r="U56" s="101"/>
      <c r="V56" s="101"/>
      <c r="W56" s="91">
        <v>1949</v>
      </c>
      <c r="X56" s="92">
        <v>1.24</v>
      </c>
      <c r="Y56" s="89">
        <f t="shared" si="2"/>
        <v>11.236466666666665</v>
      </c>
      <c r="Z56" s="93"/>
      <c r="AA56" s="93"/>
      <c r="AB56" s="91">
        <v>1949</v>
      </c>
      <c r="AC56" s="96">
        <v>2.16</v>
      </c>
      <c r="AD56" s="96">
        <f t="shared" si="3"/>
        <v>19.404900000000001</v>
      </c>
      <c r="AE56" s="100"/>
      <c r="AF56" s="91">
        <v>1949</v>
      </c>
      <c r="AG56" s="95">
        <v>1.78</v>
      </c>
      <c r="AH56" s="96">
        <f t="shared" si="1"/>
        <v>15.991075</v>
      </c>
      <c r="AI56" s="100"/>
      <c r="AJ56" s="100"/>
      <c r="AK56" s="100"/>
      <c r="AL56" s="81">
        <v>1949</v>
      </c>
      <c r="AM56" s="81">
        <v>24</v>
      </c>
    </row>
    <row r="57" spans="1:39" x14ac:dyDescent="0.2">
      <c r="A57" s="86">
        <v>1950</v>
      </c>
      <c r="B57" s="87">
        <v>1160000</v>
      </c>
      <c r="C57" s="87">
        <v>182000</v>
      </c>
      <c r="D57" s="87">
        <v>59000</v>
      </c>
      <c r="E57" s="87">
        <v>18700</v>
      </c>
      <c r="F57" s="87">
        <v>1280000</v>
      </c>
      <c r="G57" s="88">
        <v>41.7</v>
      </c>
      <c r="H57" s="89">
        <v>23.5</v>
      </c>
      <c r="I57" s="89">
        <f t="shared" si="0"/>
        <v>385.91131914893623</v>
      </c>
      <c r="J57" s="89"/>
      <c r="K57" s="89"/>
      <c r="L57" s="89"/>
      <c r="M57" s="89"/>
      <c r="N57" s="89">
        <v>282</v>
      </c>
      <c r="O57" s="87">
        <v>3130000</v>
      </c>
      <c r="P57" s="87">
        <f t="shared" si="4"/>
        <v>5131147.5409836071</v>
      </c>
      <c r="Q57" s="101">
        <f t="shared" si="5"/>
        <v>0.23228346456692917</v>
      </c>
      <c r="R57" s="101"/>
      <c r="S57" s="101"/>
      <c r="T57" s="101"/>
      <c r="U57" s="101"/>
      <c r="V57" s="101"/>
      <c r="W57" s="91">
        <v>1950</v>
      </c>
      <c r="X57" s="92">
        <v>1.52</v>
      </c>
      <c r="Y57" s="89">
        <f t="shared" si="2"/>
        <v>14.066791489361702</v>
      </c>
      <c r="Z57" s="93"/>
      <c r="AA57" s="93"/>
      <c r="AB57" s="91">
        <v>1950</v>
      </c>
      <c r="AC57" s="96">
        <v>2.4700000000000002</v>
      </c>
      <c r="AD57" s="96">
        <f t="shared" si="3"/>
        <v>22.661987234042552</v>
      </c>
      <c r="AE57" s="100"/>
      <c r="AF57" s="91">
        <v>1950</v>
      </c>
      <c r="AG57" s="95">
        <v>1.71</v>
      </c>
      <c r="AH57" s="96">
        <f t="shared" si="1"/>
        <v>15.689068085106381</v>
      </c>
      <c r="AI57" s="100"/>
      <c r="AJ57" s="100"/>
      <c r="AK57" s="100"/>
      <c r="AL57" s="81">
        <v>1950</v>
      </c>
      <c r="AM57" s="81">
        <v>23.5</v>
      </c>
    </row>
    <row r="58" spans="1:39" x14ac:dyDescent="0.2">
      <c r="A58" s="86">
        <v>1951</v>
      </c>
      <c r="B58" s="87">
        <v>1280000</v>
      </c>
      <c r="C58" s="87">
        <v>285000</v>
      </c>
      <c r="D58" s="87">
        <v>62300</v>
      </c>
      <c r="E58" s="87">
        <v>29300</v>
      </c>
      <c r="F58" s="87">
        <v>1500000</v>
      </c>
      <c r="G58" s="88">
        <v>41.3</v>
      </c>
      <c r="H58" s="89">
        <v>25.4</v>
      </c>
      <c r="I58" s="89">
        <f t="shared" si="0"/>
        <v>353.61905511811023</v>
      </c>
      <c r="J58" s="89"/>
      <c r="K58" s="89"/>
      <c r="L58" s="89"/>
      <c r="M58" s="89"/>
      <c r="N58" s="89">
        <v>259</v>
      </c>
      <c r="O58" s="87">
        <v>5080000</v>
      </c>
      <c r="P58" s="87">
        <f t="shared" si="4"/>
        <v>8327868.8524590163</v>
      </c>
      <c r="Q58" s="101">
        <f t="shared" si="5"/>
        <v>0.62300319488817868</v>
      </c>
      <c r="R58" s="101"/>
      <c r="S58" s="101"/>
      <c r="T58" s="101"/>
      <c r="U58" s="101"/>
      <c r="V58" s="101"/>
      <c r="W58" s="91">
        <v>1951</v>
      </c>
      <c r="X58" s="92">
        <v>1.66</v>
      </c>
      <c r="Y58" s="89">
        <f t="shared" si="2"/>
        <v>14.213259842519685</v>
      </c>
      <c r="Z58" s="93"/>
      <c r="AA58" s="93"/>
      <c r="AB58" s="91">
        <v>1951</v>
      </c>
      <c r="AC58" s="96">
        <v>2.73</v>
      </c>
      <c r="AD58" s="96">
        <f t="shared" si="3"/>
        <v>23.173830708661416</v>
      </c>
      <c r="AE58" s="100"/>
      <c r="AF58" s="91">
        <v>1951</v>
      </c>
      <c r="AG58" s="95">
        <v>1.71</v>
      </c>
      <c r="AH58" s="96">
        <f t="shared" si="1"/>
        <v>14.515476377952755</v>
      </c>
      <c r="AI58" s="100"/>
      <c r="AJ58" s="100"/>
      <c r="AK58" s="100"/>
      <c r="AL58" s="81">
        <v>1951</v>
      </c>
      <c r="AM58" s="81">
        <v>25.4</v>
      </c>
    </row>
    <row r="59" spans="1:39" x14ac:dyDescent="0.2">
      <c r="A59" s="86">
        <v>1952</v>
      </c>
      <c r="B59" s="87">
        <v>1450000</v>
      </c>
      <c r="C59" s="87">
        <v>171000</v>
      </c>
      <c r="D59" s="87">
        <v>51100</v>
      </c>
      <c r="E59" s="87">
        <v>89100</v>
      </c>
      <c r="F59" s="87">
        <v>1570000</v>
      </c>
      <c r="G59" s="88">
        <v>43.1</v>
      </c>
      <c r="H59" s="89">
        <v>26.5</v>
      </c>
      <c r="I59" s="89">
        <f t="shared" si="0"/>
        <v>353.71275471698107</v>
      </c>
      <c r="J59" s="89"/>
      <c r="K59" s="89"/>
      <c r="L59" s="89"/>
      <c r="M59" s="89"/>
      <c r="N59" s="89">
        <v>265</v>
      </c>
      <c r="O59" s="87">
        <v>5620000</v>
      </c>
      <c r="P59" s="87">
        <f t="shared" si="4"/>
        <v>9213114.7540983614</v>
      </c>
      <c r="Q59" s="101">
        <f t="shared" si="5"/>
        <v>0.10629921259842523</v>
      </c>
      <c r="R59" s="101"/>
      <c r="S59" s="101"/>
      <c r="T59" s="101"/>
      <c r="U59" s="101"/>
      <c r="V59" s="101"/>
      <c r="W59" s="91">
        <v>1952</v>
      </c>
      <c r="X59" s="92">
        <v>1.52</v>
      </c>
      <c r="Y59" s="89">
        <f t="shared" si="2"/>
        <v>12.474324528301887</v>
      </c>
      <c r="Z59" s="93"/>
      <c r="AA59" s="93"/>
      <c r="AB59" s="91">
        <v>1952</v>
      </c>
      <c r="AC59" s="96">
        <v>2.72</v>
      </c>
      <c r="AD59" s="96">
        <f t="shared" si="3"/>
        <v>22.130535849056603</v>
      </c>
      <c r="AE59" s="100"/>
      <c r="AF59" s="91">
        <v>1952</v>
      </c>
      <c r="AG59" s="95">
        <v>1.71</v>
      </c>
      <c r="AH59" s="96">
        <f t="shared" si="1"/>
        <v>13.91294716981132</v>
      </c>
      <c r="AI59" s="100"/>
      <c r="AJ59" s="100"/>
      <c r="AK59" s="100"/>
      <c r="AL59" s="81">
        <v>1952</v>
      </c>
      <c r="AM59" s="81">
        <v>26.5</v>
      </c>
    </row>
    <row r="60" spans="1:39" x14ac:dyDescent="0.2">
      <c r="A60" s="86">
        <v>1953</v>
      </c>
      <c r="B60" s="87">
        <v>1570000</v>
      </c>
      <c r="C60" s="87">
        <v>121000</v>
      </c>
      <c r="D60" s="87">
        <v>44500</v>
      </c>
      <c r="E60" s="87">
        <v>253000</v>
      </c>
      <c r="F60" s="87">
        <v>1650000</v>
      </c>
      <c r="G60" s="88">
        <v>43.4</v>
      </c>
      <c r="H60" s="89">
        <v>26.6</v>
      </c>
      <c r="I60" s="89">
        <f t="shared" si="0"/>
        <v>354.8357894736842</v>
      </c>
      <c r="J60" s="89"/>
      <c r="K60" s="89"/>
      <c r="L60" s="89"/>
      <c r="M60" s="89"/>
      <c r="N60" s="89">
        <v>265</v>
      </c>
      <c r="O60" s="87">
        <v>5900000</v>
      </c>
      <c r="P60" s="87">
        <f t="shared" si="4"/>
        <v>9672131.1475409847</v>
      </c>
      <c r="Q60" s="101">
        <f t="shared" si="5"/>
        <v>4.9822064056939563E-2</v>
      </c>
      <c r="R60" s="101"/>
      <c r="S60" s="101"/>
      <c r="T60" s="101"/>
      <c r="U60" s="101"/>
      <c r="V60" s="101"/>
      <c r="W60" s="91">
        <v>1953</v>
      </c>
      <c r="X60" s="92">
        <v>1.48</v>
      </c>
      <c r="Y60" s="89">
        <f t="shared" si="2"/>
        <v>12.100390977443606</v>
      </c>
      <c r="Z60" s="93"/>
      <c r="AA60" s="93"/>
      <c r="AB60" s="91">
        <v>1953</v>
      </c>
      <c r="AC60" s="96">
        <v>2.72</v>
      </c>
      <c r="AD60" s="96">
        <f t="shared" si="3"/>
        <v>22.047338345864659</v>
      </c>
      <c r="AE60" s="100"/>
      <c r="AF60" s="91">
        <v>1953</v>
      </c>
      <c r="AG60" s="95">
        <v>1.93</v>
      </c>
      <c r="AH60" s="96">
        <f t="shared" si="1"/>
        <v>15.643883458646613</v>
      </c>
      <c r="AI60" s="100"/>
      <c r="AJ60" s="100"/>
      <c r="AK60" s="100"/>
      <c r="AL60" s="81">
        <v>1953</v>
      </c>
      <c r="AM60" s="81">
        <v>26.6</v>
      </c>
    </row>
    <row r="61" spans="1:39" x14ac:dyDescent="0.2">
      <c r="A61" s="86">
        <v>1954</v>
      </c>
      <c r="B61" s="87">
        <v>1740000</v>
      </c>
      <c r="C61" s="87">
        <v>108000</v>
      </c>
      <c r="D61" s="87">
        <v>59900</v>
      </c>
      <c r="E61" s="87">
        <v>283000</v>
      </c>
      <c r="F61" s="87">
        <v>1790000</v>
      </c>
      <c r="G61" s="88">
        <v>41.8</v>
      </c>
      <c r="H61" s="89">
        <v>26.9</v>
      </c>
      <c r="I61" s="89">
        <f t="shared" si="0"/>
        <v>337.94289962825275</v>
      </c>
      <c r="J61" s="89"/>
      <c r="K61" s="89"/>
      <c r="L61" s="89"/>
      <c r="M61" s="89"/>
      <c r="N61" s="89">
        <v>253</v>
      </c>
      <c r="O61" s="87">
        <v>6620000</v>
      </c>
      <c r="P61" s="87">
        <f t="shared" si="4"/>
        <v>10852459.016393444</v>
      </c>
      <c r="Q61" s="101">
        <f t="shared" si="5"/>
        <v>0.12203389830508482</v>
      </c>
      <c r="R61" s="101"/>
      <c r="S61" s="101"/>
      <c r="T61" s="101"/>
      <c r="U61" s="101"/>
      <c r="V61" s="101"/>
      <c r="W61" s="91">
        <v>1954</v>
      </c>
      <c r="X61" s="92">
        <v>1.43</v>
      </c>
      <c r="Y61" s="89">
        <f t="shared" si="2"/>
        <v>11.561204460966543</v>
      </c>
      <c r="Z61" s="93"/>
      <c r="AA61" s="93"/>
      <c r="AB61" s="91">
        <v>1954</v>
      </c>
      <c r="AC61" s="96">
        <v>2.46</v>
      </c>
      <c r="AD61" s="96">
        <f t="shared" si="3"/>
        <v>19.71749442379182</v>
      </c>
      <c r="AE61" s="100"/>
      <c r="AF61" s="91">
        <v>1954</v>
      </c>
      <c r="AG61" s="95">
        <v>1.93</v>
      </c>
      <c r="AH61" s="96">
        <f t="shared" si="1"/>
        <v>15.469416356877321</v>
      </c>
      <c r="AI61" s="100"/>
      <c r="AJ61" s="100"/>
      <c r="AK61" s="100"/>
      <c r="AL61" s="81">
        <v>1954</v>
      </c>
      <c r="AM61" s="81">
        <v>26.9</v>
      </c>
    </row>
    <row r="62" spans="1:39" x14ac:dyDescent="0.2">
      <c r="A62" s="86">
        <v>1955</v>
      </c>
      <c r="B62" s="87">
        <v>1820000</v>
      </c>
      <c r="C62" s="87">
        <v>161000</v>
      </c>
      <c r="D62" s="87">
        <v>118000</v>
      </c>
      <c r="E62" s="87">
        <v>337000</v>
      </c>
      <c r="F62" s="87">
        <v>1860000</v>
      </c>
      <c r="G62" s="88">
        <v>42.3</v>
      </c>
      <c r="H62" s="89">
        <v>26.7</v>
      </c>
      <c r="I62" s="89">
        <f t="shared" si="0"/>
        <v>344.54696629213481</v>
      </c>
      <c r="J62" s="89"/>
      <c r="K62" s="89"/>
      <c r="L62" s="89"/>
      <c r="M62" s="89"/>
      <c r="N62" s="89">
        <v>257</v>
      </c>
      <c r="O62" s="87">
        <v>7260000</v>
      </c>
      <c r="P62" s="87">
        <f t="shared" si="4"/>
        <v>11901639.344262294</v>
      </c>
      <c r="Q62" s="101">
        <f t="shared" si="5"/>
        <v>9.6676737160120707E-2</v>
      </c>
      <c r="R62" s="101"/>
      <c r="S62" s="101"/>
      <c r="T62" s="101"/>
      <c r="U62" s="101"/>
      <c r="V62" s="101"/>
      <c r="W62" s="91">
        <v>1955</v>
      </c>
      <c r="X62" s="92">
        <v>1.35</v>
      </c>
      <c r="Y62" s="89">
        <f t="shared" si="2"/>
        <v>10.996179775280901</v>
      </c>
      <c r="Z62" s="93"/>
      <c r="AA62" s="93"/>
      <c r="AB62" s="91">
        <v>1955</v>
      </c>
      <c r="AC62" s="96">
        <v>2.2200000000000002</v>
      </c>
      <c r="AD62" s="96">
        <f t="shared" si="3"/>
        <v>17.92712359550562</v>
      </c>
      <c r="AE62" s="100"/>
      <c r="AF62" s="91">
        <v>1955</v>
      </c>
      <c r="AG62" s="95">
        <v>1.93</v>
      </c>
      <c r="AH62" s="96">
        <f t="shared" si="1"/>
        <v>15.585292134831459</v>
      </c>
      <c r="AI62" s="100"/>
      <c r="AJ62" s="100"/>
      <c r="AK62" s="100"/>
      <c r="AL62" s="81">
        <v>1955</v>
      </c>
      <c r="AM62" s="81">
        <v>26.7</v>
      </c>
    </row>
    <row r="63" spans="1:39" x14ac:dyDescent="0.2">
      <c r="A63" s="86">
        <v>1956</v>
      </c>
      <c r="B63" s="87">
        <v>1910000</v>
      </c>
      <c r="C63" s="87">
        <v>164000</v>
      </c>
      <c r="D63" s="87">
        <v>205000</v>
      </c>
      <c r="E63" s="87">
        <v>399000</v>
      </c>
      <c r="F63" s="87">
        <v>1870000</v>
      </c>
      <c r="G63" s="88">
        <v>41.2</v>
      </c>
      <c r="H63" s="89">
        <v>26.8</v>
      </c>
      <c r="I63" s="89">
        <f t="shared" si="0"/>
        <v>334.3349253731343</v>
      </c>
      <c r="J63" s="89"/>
      <c r="K63" s="89"/>
      <c r="L63" s="89"/>
      <c r="M63" s="89"/>
      <c r="N63" s="89">
        <v>247</v>
      </c>
      <c r="O63" s="87">
        <v>7530000</v>
      </c>
      <c r="P63" s="87">
        <f t="shared" si="4"/>
        <v>12344262.295081967</v>
      </c>
      <c r="Q63" s="101">
        <f t="shared" si="5"/>
        <v>3.7190082644628086E-2</v>
      </c>
      <c r="R63" s="101"/>
      <c r="S63" s="101"/>
      <c r="T63" s="101"/>
      <c r="U63" s="101"/>
      <c r="V63" s="101"/>
      <c r="W63" s="91">
        <v>1956</v>
      </c>
      <c r="X63" s="92">
        <v>1.29</v>
      </c>
      <c r="Y63" s="89">
        <f t="shared" si="2"/>
        <v>10.468253731343284</v>
      </c>
      <c r="Z63" s="93"/>
      <c r="AA63" s="93"/>
      <c r="AB63" s="91">
        <v>1956</v>
      </c>
      <c r="AC63" s="96">
        <v>2.1800000000000002</v>
      </c>
      <c r="AD63" s="96">
        <f t="shared" si="3"/>
        <v>17.538425373134327</v>
      </c>
      <c r="AE63" s="100"/>
      <c r="AF63" s="91">
        <v>1956</v>
      </c>
      <c r="AG63" s="95">
        <v>1.93</v>
      </c>
      <c r="AH63" s="96">
        <f t="shared" si="1"/>
        <v>15.527138059701489</v>
      </c>
      <c r="AI63" s="100"/>
      <c r="AJ63" s="100"/>
      <c r="AK63" s="100"/>
      <c r="AL63" s="81">
        <v>1956</v>
      </c>
      <c r="AM63" s="81">
        <v>26.8</v>
      </c>
    </row>
    <row r="64" spans="1:39" x14ac:dyDescent="0.2">
      <c r="A64" s="86">
        <v>1957</v>
      </c>
      <c r="B64" s="87">
        <v>1940000</v>
      </c>
      <c r="C64" s="87">
        <v>165000</v>
      </c>
      <c r="D64" s="87">
        <v>212000</v>
      </c>
      <c r="E64" s="87">
        <v>508000</v>
      </c>
      <c r="F64" s="87">
        <v>1890000</v>
      </c>
      <c r="G64" s="88">
        <v>39.200000000000003</v>
      </c>
      <c r="H64" s="89">
        <v>27.6</v>
      </c>
      <c r="I64" s="89">
        <f t="shared" si="0"/>
        <v>308.8846376811594</v>
      </c>
      <c r="J64" s="89"/>
      <c r="K64" s="89"/>
      <c r="L64" s="89"/>
      <c r="M64" s="89"/>
      <c r="N64" s="89">
        <v>227</v>
      </c>
      <c r="O64" s="87">
        <v>7890000</v>
      </c>
      <c r="P64" s="87">
        <f t="shared" si="4"/>
        <v>12934426.229508197</v>
      </c>
      <c r="Q64" s="101">
        <f t="shared" si="5"/>
        <v>4.7808764940239001E-2</v>
      </c>
      <c r="R64" s="101"/>
      <c r="S64" s="101"/>
      <c r="T64" s="101"/>
      <c r="U64" s="101"/>
      <c r="V64" s="101"/>
      <c r="W64" s="91">
        <v>1957</v>
      </c>
      <c r="X64" s="92">
        <v>1.1100000000000001</v>
      </c>
      <c r="Y64" s="89">
        <f t="shared" si="2"/>
        <v>8.7464782608695657</v>
      </c>
      <c r="Z64" s="93"/>
      <c r="AA64" s="93"/>
      <c r="AB64" s="91">
        <v>1957</v>
      </c>
      <c r="AC64" s="96">
        <v>2.0699999999999998</v>
      </c>
      <c r="AD64" s="96">
        <f t="shared" si="3"/>
        <v>16.170749999999998</v>
      </c>
      <c r="AE64" s="100"/>
      <c r="AF64" s="91">
        <v>1957</v>
      </c>
      <c r="AG64" s="95">
        <v>1.9</v>
      </c>
      <c r="AH64" s="96">
        <f t="shared" si="1"/>
        <v>14.842717391304344</v>
      </c>
      <c r="AI64" s="100"/>
      <c r="AJ64" s="100"/>
      <c r="AK64" s="100"/>
      <c r="AL64" s="81">
        <v>1957</v>
      </c>
      <c r="AM64" s="81">
        <v>27.6</v>
      </c>
    </row>
    <row r="65" spans="1:39" x14ac:dyDescent="0.2">
      <c r="A65" s="86">
        <v>1958</v>
      </c>
      <c r="B65" s="87">
        <v>2120000</v>
      </c>
      <c r="C65" s="87">
        <v>181000</v>
      </c>
      <c r="D65" s="87">
        <v>230000</v>
      </c>
      <c r="E65" s="87">
        <v>337000</v>
      </c>
      <c r="F65" s="87">
        <v>2070000</v>
      </c>
      <c r="G65" s="88">
        <v>36.799999999999997</v>
      </c>
      <c r="H65" s="89">
        <v>28.6</v>
      </c>
      <c r="I65" s="89">
        <f t="shared" si="0"/>
        <v>279.83440559440555</v>
      </c>
      <c r="J65" s="89"/>
      <c r="K65" s="89"/>
      <c r="L65" s="89"/>
      <c r="M65" s="89"/>
      <c r="N65" s="89">
        <v>208</v>
      </c>
      <c r="O65" s="87">
        <v>7980000</v>
      </c>
      <c r="P65" s="87">
        <f t="shared" si="4"/>
        <v>13081967.213114755</v>
      </c>
      <c r="Q65" s="101">
        <f t="shared" si="5"/>
        <v>1.1406844106463865E-2</v>
      </c>
      <c r="R65" s="101"/>
      <c r="S65" s="101"/>
      <c r="T65" s="101"/>
      <c r="U65" s="101"/>
      <c r="V65" s="101"/>
      <c r="W65" s="91">
        <v>1958</v>
      </c>
      <c r="X65" s="92">
        <v>1.1200000000000001</v>
      </c>
      <c r="Y65" s="89">
        <f t="shared" si="2"/>
        <v>8.516699300699301</v>
      </c>
      <c r="Z65" s="93"/>
      <c r="AA65" s="93"/>
      <c r="AB65" s="91">
        <v>1958</v>
      </c>
      <c r="AC65" s="96">
        <v>2</v>
      </c>
      <c r="AD65" s="96">
        <f t="shared" si="3"/>
        <v>15.077622377622376</v>
      </c>
      <c r="AE65" s="100"/>
      <c r="AF65" s="91">
        <v>1958</v>
      </c>
      <c r="AG65" s="95">
        <v>2.08</v>
      </c>
      <c r="AH65" s="96">
        <f t="shared" si="1"/>
        <v>15.680727272727271</v>
      </c>
      <c r="AI65" s="100"/>
      <c r="AJ65" s="100"/>
      <c r="AK65" s="100"/>
      <c r="AL65" s="81">
        <v>1958</v>
      </c>
      <c r="AM65" s="81">
        <v>28.6</v>
      </c>
    </row>
    <row r="66" spans="1:39" x14ac:dyDescent="0.2">
      <c r="A66" s="86">
        <v>1959</v>
      </c>
      <c r="B66" s="87">
        <v>2250000</v>
      </c>
      <c r="C66" s="87">
        <v>212000</v>
      </c>
      <c r="D66" s="87">
        <v>306000</v>
      </c>
      <c r="E66" s="87">
        <v>251000</v>
      </c>
      <c r="F66" s="87">
        <v>2150000</v>
      </c>
      <c r="G66" s="88">
        <v>37.700000000000003</v>
      </c>
      <c r="H66" s="89">
        <v>29</v>
      </c>
      <c r="I66" s="89">
        <f t="shared" si="0"/>
        <v>282.72400000000005</v>
      </c>
      <c r="J66" s="89"/>
      <c r="K66" s="89"/>
      <c r="L66" s="89"/>
      <c r="M66" s="89"/>
      <c r="N66" s="89">
        <v>211</v>
      </c>
      <c r="O66" s="87">
        <v>8530000</v>
      </c>
      <c r="P66" s="87">
        <f t="shared" si="4"/>
        <v>13983606.55737705</v>
      </c>
      <c r="Q66" s="101">
        <f t="shared" si="5"/>
        <v>6.8922305764411051E-2</v>
      </c>
      <c r="R66" s="101"/>
      <c r="S66" s="101"/>
      <c r="T66" s="101"/>
      <c r="U66" s="101"/>
      <c r="V66" s="101"/>
      <c r="W66" s="91">
        <v>1959</v>
      </c>
      <c r="X66" s="92">
        <v>1.05</v>
      </c>
      <c r="Y66" s="89">
        <f t="shared" si="2"/>
        <v>7.8742758620689646</v>
      </c>
      <c r="Z66" s="93"/>
      <c r="AA66" s="93"/>
      <c r="AB66" s="91">
        <v>1959</v>
      </c>
      <c r="AC66" s="96">
        <v>1.96</v>
      </c>
      <c r="AD66" s="96">
        <f t="shared" si="3"/>
        <v>14.572262068965516</v>
      </c>
      <c r="AE66" s="100"/>
      <c r="AF66" s="91">
        <v>1959</v>
      </c>
      <c r="AG66" s="95">
        <v>2.08</v>
      </c>
      <c r="AH66" s="96">
        <f t="shared" si="1"/>
        <v>15.464441379310344</v>
      </c>
      <c r="AI66" s="100"/>
      <c r="AJ66" s="100"/>
      <c r="AK66" s="100"/>
      <c r="AL66" s="81">
        <v>1959</v>
      </c>
      <c r="AM66" s="81">
        <v>29</v>
      </c>
    </row>
    <row r="67" spans="1:39" x14ac:dyDescent="0.2">
      <c r="A67" s="86">
        <v>1960</v>
      </c>
      <c r="B67" s="87">
        <v>2360000</v>
      </c>
      <c r="C67" s="87">
        <v>205000</v>
      </c>
      <c r="D67" s="87">
        <v>445000</v>
      </c>
      <c r="E67" s="87">
        <v>282000</v>
      </c>
      <c r="F67" s="87">
        <v>2120000</v>
      </c>
      <c r="G67" s="88">
        <v>36.700000000000003</v>
      </c>
      <c r="H67" s="89">
        <v>29.3</v>
      </c>
      <c r="I67" s="89">
        <f t="shared" si="0"/>
        <v>272.40668941979521</v>
      </c>
      <c r="J67" s="103">
        <f>I67/$I$67-1</f>
        <v>0</v>
      </c>
      <c r="K67" s="89">
        <f>AVERAGE($I$67:$I$116)</f>
        <v>261.32349768334552</v>
      </c>
      <c r="L67" s="89">
        <f>MAX($I$67:$I$114)</f>
        <v>389.96413793103443</v>
      </c>
      <c r="M67" s="89">
        <f>MIN($I$67:$I$114)</f>
        <v>131.6609796367639</v>
      </c>
      <c r="N67" s="89">
        <v>202</v>
      </c>
      <c r="O67" s="87">
        <v>9070000</v>
      </c>
      <c r="P67" s="87">
        <f t="shared" si="4"/>
        <v>14868852.459016394</v>
      </c>
      <c r="Q67" s="101">
        <f t="shared" si="5"/>
        <v>6.3305978898007043E-2</v>
      </c>
      <c r="R67" s="104">
        <f>AVERAGE($Q$67:$Q$115)</f>
        <v>3.156771072438954E-2</v>
      </c>
      <c r="S67" s="104">
        <f t="shared" ref="S67:S114" si="6">(P67/P62)^(1/5)-1</f>
        <v>4.5524305200333348E-2</v>
      </c>
      <c r="T67" s="105">
        <f>(P67/P64)^(1/3)-1</f>
        <v>4.755482438168035E-2</v>
      </c>
      <c r="U67" s="105"/>
      <c r="V67" s="105"/>
      <c r="W67" s="91">
        <v>1960</v>
      </c>
      <c r="X67" s="92">
        <v>1</v>
      </c>
      <c r="Y67" s="89">
        <f t="shared" si="2"/>
        <v>7.4225255972696242</v>
      </c>
      <c r="Z67" s="103">
        <f>Y67/$Y$67-1</f>
        <v>0</v>
      </c>
      <c r="AA67" s="89">
        <f>AVERAGE($Y$67:$Y$115)</f>
        <v>5.8309859099477643</v>
      </c>
      <c r="AB67" s="91">
        <v>1960</v>
      </c>
      <c r="AC67" s="96">
        <v>2.13</v>
      </c>
      <c r="AD67" s="96">
        <f t="shared" si="3"/>
        <v>15.674037542662115</v>
      </c>
      <c r="AE67" s="89">
        <f>AVERAGE($AD$67:$AD$115)</f>
        <v>13.883729531694097</v>
      </c>
      <c r="AF67" s="91">
        <v>1960</v>
      </c>
      <c r="AG67" s="95">
        <v>1.9</v>
      </c>
      <c r="AH67" s="96">
        <f t="shared" si="1"/>
        <v>13.981535836177471</v>
      </c>
      <c r="AI67" s="89">
        <f>AVERAGE($AH$67:$AH$115)</f>
        <v>37.790639004438447</v>
      </c>
      <c r="AJ67" s="100"/>
      <c r="AK67" s="100"/>
      <c r="AL67" s="81">
        <v>1960</v>
      </c>
      <c r="AM67" s="81">
        <v>29.3</v>
      </c>
    </row>
    <row r="68" spans="1:39" x14ac:dyDescent="0.2">
      <c r="A68" s="86">
        <v>1961</v>
      </c>
      <c r="B68" s="87">
        <v>2260000</v>
      </c>
      <c r="C68" s="87">
        <v>238000</v>
      </c>
      <c r="D68" s="87">
        <v>429000</v>
      </c>
      <c r="E68" s="87">
        <v>506000</v>
      </c>
      <c r="F68" s="87">
        <v>2060000</v>
      </c>
      <c r="G68" s="88">
        <v>38.9</v>
      </c>
      <c r="H68" s="89">
        <v>29.8</v>
      </c>
      <c r="I68" s="89">
        <f t="shared" si="0"/>
        <v>283.89167785234901</v>
      </c>
      <c r="J68" s="103">
        <f t="shared" ref="J68:J115" si="7">I68/$I$67-1</f>
        <v>4.2161183548817815E-2</v>
      </c>
      <c r="K68" s="89">
        <f t="shared" ref="K68:K114" si="8">AVERAGE($I$67:$I$116)</f>
        <v>261.32349768334552</v>
      </c>
      <c r="L68" s="89">
        <f t="shared" ref="L68:L117" si="9">MAX($I$67:$I$114)</f>
        <v>389.96413793103443</v>
      </c>
      <c r="M68" s="89">
        <f t="shared" ref="M68:M117" si="10">MIN($I$67:$I$114)</f>
        <v>131.6609796367639</v>
      </c>
      <c r="N68" s="89">
        <v>212</v>
      </c>
      <c r="O68" s="87">
        <v>9710000</v>
      </c>
      <c r="P68" s="87">
        <f t="shared" si="4"/>
        <v>15918032.786885247</v>
      </c>
      <c r="Q68" s="101">
        <f t="shared" si="5"/>
        <v>7.056229327453134E-2</v>
      </c>
      <c r="R68" s="104">
        <f t="shared" ref="R68:R115" si="11">AVERAGE($Q$67:$Q$115)</f>
        <v>3.156771072438954E-2</v>
      </c>
      <c r="S68" s="104">
        <f t="shared" si="6"/>
        <v>5.2167422060371615E-2</v>
      </c>
      <c r="T68" s="105">
        <f t="shared" ref="T68:T116" si="12">(P68/P65)^(1/3)-1</f>
        <v>6.7592332950239253E-2</v>
      </c>
      <c r="U68" s="105"/>
      <c r="V68" s="105"/>
      <c r="W68" s="91">
        <v>1961</v>
      </c>
      <c r="X68" s="92">
        <v>1.1000000000000001</v>
      </c>
      <c r="Y68" s="89">
        <f t="shared" si="2"/>
        <v>8.0277852348993282</v>
      </c>
      <c r="Z68" s="103">
        <f t="shared" ref="Z68:Z115" si="13">Y68/$Y$67-1</f>
        <v>8.1543624161073858E-2</v>
      </c>
      <c r="AA68" s="89">
        <f t="shared" ref="AA68:AA115" si="14">AVERAGE($Y$67:$Y$115)</f>
        <v>5.8309859099477643</v>
      </c>
      <c r="AB68" s="91">
        <v>1961</v>
      </c>
      <c r="AC68" s="96">
        <v>2.2799999999999998</v>
      </c>
      <c r="AD68" s="96">
        <f t="shared" si="3"/>
        <v>16.496335570469796</v>
      </c>
      <c r="AE68" s="89">
        <f t="shared" ref="AE68:AE115" si="15">AVERAGE($AD$67:$AD$115)</f>
        <v>13.883729531694097</v>
      </c>
      <c r="AF68" s="91">
        <v>1961</v>
      </c>
      <c r="AG68" s="95">
        <v>1.8</v>
      </c>
      <c r="AH68" s="96">
        <f t="shared" si="1"/>
        <v>13.023422818791945</v>
      </c>
      <c r="AI68" s="89">
        <f t="shared" ref="AI68:AI115" si="16">AVERAGE($AH$67:$AH$115)</f>
        <v>37.790639004438447</v>
      </c>
      <c r="AJ68" s="100"/>
      <c r="AK68" s="100"/>
      <c r="AL68" s="81">
        <v>1961</v>
      </c>
      <c r="AM68" s="81">
        <v>29.8</v>
      </c>
    </row>
    <row r="69" spans="1:39" x14ac:dyDescent="0.2">
      <c r="A69" s="86">
        <v>1962</v>
      </c>
      <c r="B69" s="87">
        <v>2470000</v>
      </c>
      <c r="C69" s="87">
        <v>309000</v>
      </c>
      <c r="D69" s="87">
        <v>459000</v>
      </c>
      <c r="E69" s="87">
        <v>259000</v>
      </c>
      <c r="F69" s="87">
        <v>2320000</v>
      </c>
      <c r="G69" s="88">
        <v>41.7</v>
      </c>
      <c r="H69" s="89">
        <v>30</v>
      </c>
      <c r="I69" s="89">
        <f t="shared" si="0"/>
        <v>302.29720000000003</v>
      </c>
      <c r="J69" s="103">
        <f t="shared" si="7"/>
        <v>0.10972752043596756</v>
      </c>
      <c r="K69" s="89">
        <f t="shared" si="8"/>
        <v>261.32349768334552</v>
      </c>
      <c r="L69" s="89">
        <f t="shared" si="9"/>
        <v>389.96413793103443</v>
      </c>
      <c r="M69" s="89">
        <f t="shared" si="10"/>
        <v>131.6609796367639</v>
      </c>
      <c r="N69" s="89">
        <v>225</v>
      </c>
      <c r="O69" s="87">
        <v>9800000</v>
      </c>
      <c r="P69" s="87">
        <f t="shared" si="4"/>
        <v>16065573.770491803</v>
      </c>
      <c r="Q69" s="101">
        <f t="shared" si="5"/>
        <v>9.2687950566425759E-3</v>
      </c>
      <c r="R69" s="104">
        <f t="shared" si="11"/>
        <v>3.156771072438954E-2</v>
      </c>
      <c r="S69" s="104">
        <f t="shared" si="6"/>
        <v>4.4310908460110765E-2</v>
      </c>
      <c r="T69" s="105">
        <f t="shared" si="12"/>
        <v>4.7351232649292196E-2</v>
      </c>
      <c r="U69" s="105"/>
      <c r="V69" s="105"/>
      <c r="W69" s="91">
        <v>1962</v>
      </c>
      <c r="X69" s="92">
        <v>1.1200000000000001</v>
      </c>
      <c r="Y69" s="89">
        <f t="shared" si="2"/>
        <v>8.1192533333333348</v>
      </c>
      <c r="Z69" s="103">
        <f t="shared" si="13"/>
        <v>9.3866666666666987E-2</v>
      </c>
      <c r="AA69" s="89">
        <f t="shared" si="14"/>
        <v>5.8309859099477643</v>
      </c>
      <c r="AB69" s="91">
        <v>1962</v>
      </c>
      <c r="AC69" s="96">
        <v>2.34</v>
      </c>
      <c r="AD69" s="96">
        <f t="shared" si="3"/>
        <v>16.81758</v>
      </c>
      <c r="AE69" s="89">
        <f t="shared" si="15"/>
        <v>13.883729531694097</v>
      </c>
      <c r="AF69" s="91">
        <v>1962</v>
      </c>
      <c r="AG69" s="95">
        <v>1.8</v>
      </c>
      <c r="AH69" s="96">
        <f t="shared" si="1"/>
        <v>12.936599999999999</v>
      </c>
      <c r="AI69" s="89">
        <f t="shared" si="16"/>
        <v>37.790639004438447</v>
      </c>
      <c r="AJ69" s="100"/>
      <c r="AK69" s="100"/>
      <c r="AL69" s="81">
        <v>1962</v>
      </c>
      <c r="AM69" s="81">
        <v>30</v>
      </c>
    </row>
    <row r="70" spans="1:39" x14ac:dyDescent="0.2">
      <c r="A70" s="86">
        <v>1963</v>
      </c>
      <c r="B70" s="87">
        <v>2460000</v>
      </c>
      <c r="C70" s="87">
        <v>539000</v>
      </c>
      <c r="D70" s="87">
        <v>386000</v>
      </c>
      <c r="E70" s="87">
        <v>434000</v>
      </c>
      <c r="F70" s="87">
        <v>2610000</v>
      </c>
      <c r="G70" s="88">
        <v>41.9</v>
      </c>
      <c r="H70" s="89">
        <v>30.4</v>
      </c>
      <c r="I70" s="89">
        <f t="shared" si="0"/>
        <v>299.75039473684205</v>
      </c>
      <c r="J70" s="103">
        <f t="shared" si="7"/>
        <v>0.10037824465796619</v>
      </c>
      <c r="K70" s="89">
        <f t="shared" si="8"/>
        <v>261.32349768334552</v>
      </c>
      <c r="L70" s="89">
        <f t="shared" si="9"/>
        <v>389.96413793103443</v>
      </c>
      <c r="M70" s="89">
        <f t="shared" si="10"/>
        <v>131.6609796367639</v>
      </c>
      <c r="N70" s="89">
        <v>223</v>
      </c>
      <c r="O70" s="87">
        <v>11300000</v>
      </c>
      <c r="P70" s="87">
        <f t="shared" si="4"/>
        <v>18524590.163934428</v>
      </c>
      <c r="Q70" s="101">
        <f t="shared" si="5"/>
        <v>0.15306122448979598</v>
      </c>
      <c r="R70" s="104">
        <f t="shared" si="11"/>
        <v>3.156771072438954E-2</v>
      </c>
      <c r="S70" s="104">
        <f t="shared" si="6"/>
        <v>7.2050170991297069E-2</v>
      </c>
      <c r="T70" s="105">
        <f t="shared" si="12"/>
        <v>7.6028362432724483E-2</v>
      </c>
      <c r="U70" s="105"/>
      <c r="V70" s="105"/>
      <c r="W70" s="91">
        <v>1963</v>
      </c>
      <c r="X70" s="92">
        <v>1.1100000000000001</v>
      </c>
      <c r="Y70" s="89">
        <f t="shared" si="2"/>
        <v>7.9408815789473692</v>
      </c>
      <c r="Z70" s="103">
        <f t="shared" si="13"/>
        <v>6.9835526315789709E-2</v>
      </c>
      <c r="AA70" s="89">
        <f t="shared" si="14"/>
        <v>5.8309859099477643</v>
      </c>
      <c r="AB70" s="91">
        <v>1963</v>
      </c>
      <c r="AC70" s="96">
        <v>2.5099999999999998</v>
      </c>
      <c r="AD70" s="96">
        <f t="shared" si="3"/>
        <v>17.802009868421049</v>
      </c>
      <c r="AE70" s="89">
        <f t="shared" si="15"/>
        <v>13.883729531694097</v>
      </c>
      <c r="AF70" s="91">
        <v>1963</v>
      </c>
      <c r="AG70" s="95">
        <v>1.8</v>
      </c>
      <c r="AH70" s="96">
        <f t="shared" si="1"/>
        <v>12.766381578947367</v>
      </c>
      <c r="AI70" s="89">
        <f t="shared" si="16"/>
        <v>37.790639004438447</v>
      </c>
      <c r="AJ70" s="100"/>
      <c r="AK70" s="100"/>
      <c r="AL70" s="81">
        <v>1963</v>
      </c>
      <c r="AM70" s="81">
        <v>30.4</v>
      </c>
    </row>
    <row r="71" spans="1:39" x14ac:dyDescent="0.2">
      <c r="A71" s="86">
        <v>1964</v>
      </c>
      <c r="B71" s="87">
        <v>2760000</v>
      </c>
      <c r="C71" s="87">
        <v>669000</v>
      </c>
      <c r="D71" s="87">
        <v>561000</v>
      </c>
      <c r="E71" s="87">
        <v>268000</v>
      </c>
      <c r="F71" s="87">
        <v>2870000</v>
      </c>
      <c r="G71" s="88">
        <v>41.3</v>
      </c>
      <c r="H71" s="89">
        <v>30.9</v>
      </c>
      <c r="I71" s="89">
        <f t="shared" ref="I71:I117" si="17">G71*$H$117/H71</f>
        <v>290.67715210355988</v>
      </c>
      <c r="J71" s="103">
        <f t="shared" si="7"/>
        <v>6.7070536052838081E-2</v>
      </c>
      <c r="K71" s="89">
        <f t="shared" si="8"/>
        <v>261.32349768334552</v>
      </c>
      <c r="L71" s="89">
        <f t="shared" si="9"/>
        <v>389.96413793103443</v>
      </c>
      <c r="M71" s="89">
        <f t="shared" si="10"/>
        <v>131.6609796367639</v>
      </c>
      <c r="N71" s="89">
        <v>217</v>
      </c>
      <c r="O71" s="87">
        <v>12300000</v>
      </c>
      <c r="P71" s="87">
        <f t="shared" si="4"/>
        <v>20163934.42622951</v>
      </c>
      <c r="Q71" s="101">
        <f t="shared" si="5"/>
        <v>8.8495575221238854E-2</v>
      </c>
      <c r="R71" s="104">
        <f t="shared" si="11"/>
        <v>3.156771072438954E-2</v>
      </c>
      <c r="S71" s="104">
        <f t="shared" si="6"/>
        <v>7.594783510097991E-2</v>
      </c>
      <c r="T71" s="105">
        <f t="shared" si="12"/>
        <v>8.2003404266707047E-2</v>
      </c>
      <c r="U71" s="105"/>
      <c r="V71" s="105"/>
      <c r="W71" s="91">
        <v>1964</v>
      </c>
      <c r="X71" s="92">
        <v>1.17</v>
      </c>
      <c r="Y71" s="89">
        <f t="shared" si="2"/>
        <v>8.2346796116504848</v>
      </c>
      <c r="Z71" s="103">
        <f t="shared" si="13"/>
        <v>0.10941747572815541</v>
      </c>
      <c r="AA71" s="89">
        <f t="shared" si="14"/>
        <v>5.8309859099477643</v>
      </c>
      <c r="AB71" s="91">
        <v>1964</v>
      </c>
      <c r="AC71" s="96">
        <v>2.62</v>
      </c>
      <c r="AD71" s="96">
        <f t="shared" si="3"/>
        <v>18.281495145631069</v>
      </c>
      <c r="AE71" s="89">
        <f t="shared" si="15"/>
        <v>13.883729531694097</v>
      </c>
      <c r="AF71" s="91">
        <v>1964</v>
      </c>
      <c r="AG71" s="95">
        <v>1.8</v>
      </c>
      <c r="AH71" s="96">
        <f t="shared" ref="AH71:AH115" si="18">AG71*$H$115/H71</f>
        <v>12.559805825242718</v>
      </c>
      <c r="AI71" s="89">
        <f t="shared" si="16"/>
        <v>37.790639004438447</v>
      </c>
      <c r="AJ71" s="100"/>
      <c r="AK71" s="100"/>
      <c r="AL71" s="81">
        <v>1964</v>
      </c>
      <c r="AM71" s="81">
        <v>30.9</v>
      </c>
    </row>
    <row r="72" spans="1:39" x14ac:dyDescent="0.2">
      <c r="A72" s="86">
        <v>1965</v>
      </c>
      <c r="B72" s="87">
        <v>2660000</v>
      </c>
      <c r="C72" s="87">
        <v>1010000</v>
      </c>
      <c r="D72" s="87">
        <v>588000</v>
      </c>
      <c r="E72" s="87">
        <v>457000</v>
      </c>
      <c r="F72" s="87">
        <v>3080000</v>
      </c>
      <c r="G72" s="88">
        <v>42.7</v>
      </c>
      <c r="H72" s="89">
        <v>31.2</v>
      </c>
      <c r="I72" s="89">
        <f t="shared" si="17"/>
        <v>297.64089743589744</v>
      </c>
      <c r="J72" s="103">
        <f t="shared" si="7"/>
        <v>9.2634318451757292E-2</v>
      </c>
      <c r="K72" s="89">
        <f t="shared" si="8"/>
        <v>261.32349768334552</v>
      </c>
      <c r="L72" s="89">
        <f t="shared" si="9"/>
        <v>389.96413793103443</v>
      </c>
      <c r="M72" s="89">
        <f t="shared" si="10"/>
        <v>131.6609796367639</v>
      </c>
      <c r="N72" s="89">
        <v>221</v>
      </c>
      <c r="O72" s="87">
        <v>13700000</v>
      </c>
      <c r="P72" s="87">
        <f t="shared" si="4"/>
        <v>22459016.393442623</v>
      </c>
      <c r="Q72" s="101">
        <f t="shared" si="5"/>
        <v>0.11382113821138207</v>
      </c>
      <c r="R72" s="104">
        <f t="shared" si="11"/>
        <v>3.156771072438954E-2</v>
      </c>
      <c r="S72" s="104">
        <f t="shared" si="6"/>
        <v>8.5982072709384294E-2</v>
      </c>
      <c r="T72" s="105">
        <f t="shared" si="12"/>
        <v>0.11814509710405963</v>
      </c>
      <c r="U72" s="105"/>
      <c r="V72" s="105"/>
      <c r="W72" s="91">
        <v>1965</v>
      </c>
      <c r="X72" s="92">
        <v>1.1599999999999999</v>
      </c>
      <c r="Y72" s="89">
        <f t="shared" ref="Y72:Y117" si="19">X72*$H$117/H72</f>
        <v>8.0857948717948709</v>
      </c>
      <c r="Z72" s="103">
        <f t="shared" si="13"/>
        <v>8.9358974358974219E-2</v>
      </c>
      <c r="AA72" s="89">
        <f t="shared" si="14"/>
        <v>5.8309859099477643</v>
      </c>
      <c r="AB72" s="91">
        <v>1965</v>
      </c>
      <c r="AC72" s="96">
        <v>2.54</v>
      </c>
      <c r="AD72" s="96">
        <f t="shared" si="3"/>
        <v>17.552865384615384</v>
      </c>
      <c r="AE72" s="89">
        <f t="shared" si="15"/>
        <v>13.883729531694097</v>
      </c>
      <c r="AF72" s="91">
        <v>1965</v>
      </c>
      <c r="AG72" s="95">
        <v>1.8</v>
      </c>
      <c r="AH72" s="96">
        <f t="shared" si="18"/>
        <v>12.439038461538461</v>
      </c>
      <c r="AI72" s="89">
        <f t="shared" si="16"/>
        <v>37.790639004438447</v>
      </c>
      <c r="AJ72" s="100"/>
      <c r="AK72" s="100"/>
      <c r="AL72" s="81">
        <v>1965</v>
      </c>
      <c r="AM72" s="81">
        <v>31.2</v>
      </c>
    </row>
    <row r="73" spans="1:39" x14ac:dyDescent="0.2">
      <c r="A73" s="86">
        <v>1966</v>
      </c>
      <c r="B73" s="87">
        <v>2840000</v>
      </c>
      <c r="C73" s="87">
        <v>1350000</v>
      </c>
      <c r="D73" s="87">
        <v>564000</v>
      </c>
      <c r="E73" s="87">
        <v>626000</v>
      </c>
      <c r="F73" s="87">
        <v>3630000</v>
      </c>
      <c r="G73" s="88">
        <v>41.3</v>
      </c>
      <c r="H73" s="89">
        <v>31.8</v>
      </c>
      <c r="I73" s="89">
        <f t="shared" si="17"/>
        <v>282.45044025157227</v>
      </c>
      <c r="J73" s="103">
        <f t="shared" si="7"/>
        <v>3.6870426541908641E-2</v>
      </c>
      <c r="K73" s="89">
        <f t="shared" si="8"/>
        <v>261.32349768334552</v>
      </c>
      <c r="L73" s="89">
        <f t="shared" si="9"/>
        <v>389.96413793103443</v>
      </c>
      <c r="M73" s="89">
        <f t="shared" si="10"/>
        <v>131.6609796367639</v>
      </c>
      <c r="N73" s="89">
        <v>208</v>
      </c>
      <c r="O73" s="87">
        <v>14600000</v>
      </c>
      <c r="P73" s="87">
        <f t="shared" si="4"/>
        <v>23934426.229508199</v>
      </c>
      <c r="Q73" s="101">
        <f t="shared" si="5"/>
        <v>6.5693430656934337E-2</v>
      </c>
      <c r="R73" s="104">
        <f t="shared" si="11"/>
        <v>3.156771072438954E-2</v>
      </c>
      <c r="S73" s="104">
        <f t="shared" si="6"/>
        <v>8.4992472610531999E-2</v>
      </c>
      <c r="T73" s="105">
        <f t="shared" si="12"/>
        <v>8.9159467099697354E-2</v>
      </c>
      <c r="U73" s="105"/>
      <c r="V73" s="105"/>
      <c r="W73" s="91">
        <v>1966</v>
      </c>
      <c r="X73" s="92">
        <v>1.24</v>
      </c>
      <c r="Y73" s="89">
        <f t="shared" si="19"/>
        <v>8.48035220125786</v>
      </c>
      <c r="Z73" s="103">
        <f t="shared" si="13"/>
        <v>0.14251572327044015</v>
      </c>
      <c r="AA73" s="89">
        <f t="shared" si="14"/>
        <v>5.8309859099477643</v>
      </c>
      <c r="AB73" s="91">
        <v>1966</v>
      </c>
      <c r="AC73" s="96">
        <v>2.75</v>
      </c>
      <c r="AD73" s="96">
        <f t="shared" si="3"/>
        <v>18.64551886792453</v>
      </c>
      <c r="AE73" s="89">
        <f t="shared" si="15"/>
        <v>13.883729531694097</v>
      </c>
      <c r="AF73" s="91">
        <v>1966</v>
      </c>
      <c r="AG73" s="95">
        <v>1.8</v>
      </c>
      <c r="AH73" s="96">
        <f t="shared" si="18"/>
        <v>12.204339622641507</v>
      </c>
      <c r="AI73" s="89">
        <f t="shared" si="16"/>
        <v>37.790639004438447</v>
      </c>
      <c r="AJ73" s="100"/>
      <c r="AK73" s="100"/>
      <c r="AL73" s="81">
        <v>1966</v>
      </c>
      <c r="AM73" s="81">
        <v>31.8</v>
      </c>
    </row>
    <row r="74" spans="1:39" x14ac:dyDescent="0.2">
      <c r="A74" s="86">
        <v>1967</v>
      </c>
      <c r="B74" s="87">
        <v>2840000</v>
      </c>
      <c r="C74" s="87">
        <v>1540000</v>
      </c>
      <c r="D74" s="87">
        <v>629000</v>
      </c>
      <c r="E74" s="87">
        <v>783000</v>
      </c>
      <c r="F74" s="87">
        <v>3790000</v>
      </c>
      <c r="G74" s="88">
        <v>34.1</v>
      </c>
      <c r="H74" s="89">
        <v>32.9</v>
      </c>
      <c r="I74" s="89">
        <f t="shared" si="17"/>
        <v>225.41240121580549</v>
      </c>
      <c r="J74" s="103">
        <f t="shared" si="7"/>
        <v>-0.1725151768632549</v>
      </c>
      <c r="K74" s="89">
        <f t="shared" si="8"/>
        <v>261.32349768334552</v>
      </c>
      <c r="L74" s="89">
        <f t="shared" si="9"/>
        <v>389.96413793103443</v>
      </c>
      <c r="M74" s="89">
        <f t="shared" si="10"/>
        <v>131.6609796367639</v>
      </c>
      <c r="N74" s="89">
        <v>166</v>
      </c>
      <c r="O74" s="87">
        <v>15700000</v>
      </c>
      <c r="P74" s="87">
        <f t="shared" si="4"/>
        <v>25737704.918032788</v>
      </c>
      <c r="Q74" s="101">
        <f t="shared" si="5"/>
        <v>7.5342465753424515E-2</v>
      </c>
      <c r="R74" s="104">
        <f t="shared" si="11"/>
        <v>3.156771072438954E-2</v>
      </c>
      <c r="S74" s="104">
        <f t="shared" si="6"/>
        <v>9.8840645469841393E-2</v>
      </c>
      <c r="T74" s="105">
        <f t="shared" si="12"/>
        <v>8.4754632936256291E-2</v>
      </c>
      <c r="U74" s="105"/>
      <c r="V74" s="105"/>
      <c r="W74" s="91">
        <v>1967</v>
      </c>
      <c r="X74" s="92">
        <v>1.03</v>
      </c>
      <c r="Y74" s="89">
        <f t="shared" si="19"/>
        <v>6.8086443768996965</v>
      </c>
      <c r="Z74" s="103">
        <f t="shared" si="13"/>
        <v>-8.2705167173252159E-2</v>
      </c>
      <c r="AA74" s="89">
        <f t="shared" si="14"/>
        <v>5.8309859099477643</v>
      </c>
      <c r="AB74" s="91">
        <v>1967</v>
      </c>
      <c r="AC74" s="96">
        <v>2.4900000000000002</v>
      </c>
      <c r="AD74" s="96">
        <f t="shared" si="3"/>
        <v>16.318203647416414</v>
      </c>
      <c r="AE74" s="89">
        <f t="shared" si="15"/>
        <v>13.883729531694097</v>
      </c>
      <c r="AF74" s="91">
        <v>1967</v>
      </c>
      <c r="AG74" s="95">
        <v>1.8</v>
      </c>
      <c r="AH74" s="96">
        <f t="shared" si="18"/>
        <v>11.796291793313069</v>
      </c>
      <c r="AI74" s="89">
        <f t="shared" si="16"/>
        <v>37.790639004438447</v>
      </c>
      <c r="AJ74" s="100"/>
      <c r="AK74" s="100"/>
      <c r="AL74" s="81">
        <v>1967</v>
      </c>
      <c r="AM74" s="81">
        <v>32.9</v>
      </c>
    </row>
    <row r="75" spans="1:39" x14ac:dyDescent="0.2">
      <c r="A75" s="86">
        <v>1968</v>
      </c>
      <c r="B75" s="87">
        <v>2640000</v>
      </c>
      <c r="C75" s="87">
        <v>1960000</v>
      </c>
      <c r="D75" s="87">
        <v>679000</v>
      </c>
      <c r="E75" s="87">
        <v>613000</v>
      </c>
      <c r="F75" s="87">
        <v>3940000</v>
      </c>
      <c r="G75" s="88">
        <v>28</v>
      </c>
      <c r="H75" s="89">
        <v>34.1</v>
      </c>
      <c r="I75" s="89">
        <f t="shared" si="17"/>
        <v>178.57595307917887</v>
      </c>
      <c r="J75" s="103">
        <f t="shared" si="7"/>
        <v>-0.34445092571136349</v>
      </c>
      <c r="K75" s="89">
        <f t="shared" si="8"/>
        <v>261.32349768334552</v>
      </c>
      <c r="L75" s="89">
        <f t="shared" si="9"/>
        <v>389.96413793103443</v>
      </c>
      <c r="M75" s="89">
        <f t="shared" si="10"/>
        <v>131.6609796367639</v>
      </c>
      <c r="N75" s="89">
        <v>131</v>
      </c>
      <c r="O75" s="87">
        <v>16200000</v>
      </c>
      <c r="P75" s="87">
        <f t="shared" si="4"/>
        <v>26557377.049180329</v>
      </c>
      <c r="Q75" s="101">
        <f t="shared" si="5"/>
        <v>3.1847133757961776E-2</v>
      </c>
      <c r="R75" s="104">
        <f t="shared" si="11"/>
        <v>3.156771072438954E-2</v>
      </c>
      <c r="S75" s="104">
        <f t="shared" si="6"/>
        <v>7.4700161676846344E-2</v>
      </c>
      <c r="T75" s="105">
        <f t="shared" si="12"/>
        <v>5.7462111719003284E-2</v>
      </c>
      <c r="U75" s="105"/>
      <c r="V75" s="105"/>
      <c r="W75" s="91">
        <v>1968</v>
      </c>
      <c r="X75" s="92">
        <v>1.08</v>
      </c>
      <c r="Y75" s="89">
        <f t="shared" si="19"/>
        <v>6.8879296187683279</v>
      </c>
      <c r="Z75" s="103">
        <f t="shared" si="13"/>
        <v>-7.2023460410557183E-2</v>
      </c>
      <c r="AA75" s="89">
        <f t="shared" si="14"/>
        <v>5.8309859099477643</v>
      </c>
      <c r="AB75" s="91">
        <v>1968</v>
      </c>
      <c r="AC75" s="96">
        <v>2.4300000000000002</v>
      </c>
      <c r="AD75" s="96">
        <f t="shared" si="3"/>
        <v>15.364583577712612</v>
      </c>
      <c r="AE75" s="89">
        <f t="shared" si="15"/>
        <v>13.883729531694097</v>
      </c>
      <c r="AF75" s="91">
        <v>1968</v>
      </c>
      <c r="AG75" s="95">
        <v>1.8</v>
      </c>
      <c r="AH75" s="96">
        <f t="shared" si="18"/>
        <v>11.381173020527857</v>
      </c>
      <c r="AI75" s="89">
        <f t="shared" si="16"/>
        <v>37.790639004438447</v>
      </c>
      <c r="AJ75" s="100"/>
      <c r="AK75" s="100"/>
      <c r="AL75" s="81">
        <v>1968</v>
      </c>
      <c r="AM75" s="81">
        <v>34.1</v>
      </c>
    </row>
    <row r="76" spans="1:39" x14ac:dyDescent="0.2">
      <c r="A76" s="86">
        <v>1969</v>
      </c>
      <c r="B76" s="87">
        <v>2780000</v>
      </c>
      <c r="C76" s="87">
        <v>2120000</v>
      </c>
      <c r="D76" s="87">
        <v>643000</v>
      </c>
      <c r="E76" s="87">
        <v>356000</v>
      </c>
      <c r="F76" s="87">
        <v>4260000</v>
      </c>
      <c r="G76" s="88">
        <v>23.7</v>
      </c>
      <c r="H76" s="89">
        <v>35.6</v>
      </c>
      <c r="I76" s="89">
        <f t="shared" si="17"/>
        <v>144.78303370786517</v>
      </c>
      <c r="J76" s="103">
        <f t="shared" si="7"/>
        <v>-0.46850411780914181</v>
      </c>
      <c r="K76" s="89">
        <f t="shared" si="8"/>
        <v>261.32349768334552</v>
      </c>
      <c r="L76" s="89">
        <f t="shared" si="9"/>
        <v>389.96413793103443</v>
      </c>
      <c r="M76" s="89">
        <f t="shared" si="10"/>
        <v>131.6609796367639</v>
      </c>
      <c r="N76" s="89">
        <v>105</v>
      </c>
      <c r="O76" s="87">
        <v>17400000</v>
      </c>
      <c r="P76" s="87">
        <f t="shared" si="4"/>
        <v>28524590.163934428</v>
      </c>
      <c r="Q76" s="101">
        <f t="shared" si="5"/>
        <v>7.4074074074074181E-2</v>
      </c>
      <c r="R76" s="104">
        <f t="shared" si="11"/>
        <v>3.156771072438954E-2</v>
      </c>
      <c r="S76" s="104">
        <f t="shared" si="6"/>
        <v>7.1837203563014818E-2</v>
      </c>
      <c r="T76" s="105">
        <f t="shared" si="12"/>
        <v>6.0226847710841191E-2</v>
      </c>
      <c r="U76" s="105"/>
      <c r="V76" s="105"/>
      <c r="W76" s="91">
        <v>1969</v>
      </c>
      <c r="X76" s="92">
        <v>1.1599999999999999</v>
      </c>
      <c r="Y76" s="89">
        <f t="shared" si="19"/>
        <v>7.0864269662921338</v>
      </c>
      <c r="Z76" s="103">
        <f t="shared" si="13"/>
        <v>-4.5280898876404629E-2</v>
      </c>
      <c r="AA76" s="89">
        <f t="shared" si="14"/>
        <v>5.8309859099477643</v>
      </c>
      <c r="AB76" s="91">
        <v>1969</v>
      </c>
      <c r="AC76" s="96">
        <v>2.35</v>
      </c>
      <c r="AD76" s="96">
        <f t="shared" si="3"/>
        <v>14.232682584269662</v>
      </c>
      <c r="AE76" s="89">
        <f t="shared" si="15"/>
        <v>13.883729531694097</v>
      </c>
      <c r="AF76" s="91">
        <v>1969</v>
      </c>
      <c r="AG76" s="95">
        <v>1.8</v>
      </c>
      <c r="AH76" s="96">
        <f t="shared" si="18"/>
        <v>10.901629213483144</v>
      </c>
      <c r="AI76" s="89">
        <f t="shared" si="16"/>
        <v>37.790639004438447</v>
      </c>
      <c r="AJ76" s="100"/>
      <c r="AK76" s="100"/>
      <c r="AL76" s="81">
        <v>1969</v>
      </c>
      <c r="AM76" s="81">
        <v>35.6</v>
      </c>
    </row>
    <row r="77" spans="1:39" x14ac:dyDescent="0.2">
      <c r="A77" s="86">
        <v>1970</v>
      </c>
      <c r="B77" s="87">
        <v>2420000</v>
      </c>
      <c r="C77" s="87">
        <v>2360000</v>
      </c>
      <c r="D77" s="87">
        <v>519000</v>
      </c>
      <c r="E77" s="87">
        <v>412000</v>
      </c>
      <c r="F77" s="87">
        <v>4290000</v>
      </c>
      <c r="G77" s="88">
        <v>35.200000000000003</v>
      </c>
      <c r="H77" s="89">
        <v>37.799999999999997</v>
      </c>
      <c r="I77" s="89">
        <f t="shared" si="17"/>
        <v>202.52105820105822</v>
      </c>
      <c r="J77" s="103">
        <f t="shared" si="7"/>
        <v>-0.25654888052708202</v>
      </c>
      <c r="K77" s="89">
        <f t="shared" si="8"/>
        <v>261.32349768334552</v>
      </c>
      <c r="L77" s="89">
        <f t="shared" si="9"/>
        <v>389.96413793103443</v>
      </c>
      <c r="M77" s="89">
        <f t="shared" si="10"/>
        <v>131.6609796367639</v>
      </c>
      <c r="N77" s="89">
        <v>148</v>
      </c>
      <c r="O77" s="87">
        <v>18200000</v>
      </c>
      <c r="P77" s="87">
        <f t="shared" si="4"/>
        <v>29836065.573770493</v>
      </c>
      <c r="Q77" s="101">
        <f t="shared" si="5"/>
        <v>4.5977011494252817E-2</v>
      </c>
      <c r="R77" s="104">
        <f t="shared" si="11"/>
        <v>3.156771072438954E-2</v>
      </c>
      <c r="S77" s="104">
        <f t="shared" si="6"/>
        <v>5.8449553787509156E-2</v>
      </c>
      <c r="T77" s="105">
        <f t="shared" si="12"/>
        <v>5.0486749013451071E-2</v>
      </c>
      <c r="U77" s="105"/>
      <c r="V77" s="105"/>
      <c r="W77" s="91">
        <v>1970</v>
      </c>
      <c r="X77" s="92">
        <v>1.33</v>
      </c>
      <c r="Y77" s="89">
        <f t="shared" si="19"/>
        <v>7.6520740740740747</v>
      </c>
      <c r="Z77" s="103">
        <f t="shared" si="13"/>
        <v>3.0925925925926023E-2</v>
      </c>
      <c r="AA77" s="89">
        <f t="shared" si="14"/>
        <v>5.8309859099477643</v>
      </c>
      <c r="AB77" s="91">
        <v>1970</v>
      </c>
      <c r="AC77" s="96">
        <v>2.85</v>
      </c>
      <c r="AD77" s="96">
        <f t="shared" si="3"/>
        <v>16.256309523809524</v>
      </c>
      <c r="AE77" s="89">
        <f t="shared" si="15"/>
        <v>13.883729531694097</v>
      </c>
      <c r="AF77" s="91">
        <v>1970</v>
      </c>
      <c r="AG77" s="95">
        <v>1.8</v>
      </c>
      <c r="AH77" s="96">
        <f t="shared" si="18"/>
        <v>10.267142857142856</v>
      </c>
      <c r="AI77" s="89">
        <f t="shared" si="16"/>
        <v>37.790639004438447</v>
      </c>
      <c r="AJ77" s="100"/>
      <c r="AK77" s="100"/>
      <c r="AL77" s="81">
        <v>1970</v>
      </c>
      <c r="AM77" s="81">
        <v>37.799999999999997</v>
      </c>
    </row>
    <row r="78" spans="1:39" x14ac:dyDescent="0.2">
      <c r="A78" s="86">
        <v>1971</v>
      </c>
      <c r="B78" s="87">
        <v>2350000</v>
      </c>
      <c r="C78" s="87">
        <v>2510000</v>
      </c>
      <c r="D78" s="87">
        <v>523000</v>
      </c>
      <c r="E78" s="87">
        <v>388000</v>
      </c>
      <c r="F78" s="87">
        <v>4350000</v>
      </c>
      <c r="G78" s="88">
        <v>39.6</v>
      </c>
      <c r="H78" s="89">
        <v>39.799999999999997</v>
      </c>
      <c r="I78" s="89">
        <f t="shared" si="17"/>
        <v>216.38713567839199</v>
      </c>
      <c r="J78" s="103">
        <f t="shared" si="7"/>
        <v>-0.20564676242246649</v>
      </c>
      <c r="K78" s="89">
        <f t="shared" si="8"/>
        <v>261.32349768334552</v>
      </c>
      <c r="L78" s="89">
        <f t="shared" si="9"/>
        <v>389.96413793103443</v>
      </c>
      <c r="M78" s="89">
        <f t="shared" si="10"/>
        <v>131.6609796367639</v>
      </c>
      <c r="N78" s="89">
        <v>159</v>
      </c>
      <c r="O78" s="87">
        <v>19900000</v>
      </c>
      <c r="P78" s="87">
        <f t="shared" si="4"/>
        <v>32622950.81967213</v>
      </c>
      <c r="Q78" s="101">
        <f t="shared" si="5"/>
        <v>9.3406593406593297E-2</v>
      </c>
      <c r="R78" s="104">
        <f t="shared" si="11"/>
        <v>3.156771072438954E-2</v>
      </c>
      <c r="S78" s="104">
        <f t="shared" si="6"/>
        <v>6.389812654082605E-2</v>
      </c>
      <c r="T78" s="105">
        <f t="shared" si="12"/>
        <v>7.0975051379602361E-2</v>
      </c>
      <c r="U78" s="105"/>
      <c r="V78" s="105"/>
      <c r="W78" s="91">
        <v>1971</v>
      </c>
      <c r="X78" s="92">
        <v>1.08</v>
      </c>
      <c r="Y78" s="89">
        <f t="shared" si="19"/>
        <v>5.9014673366834174</v>
      </c>
      <c r="Z78" s="103">
        <f t="shared" si="13"/>
        <v>-0.2049246231155778</v>
      </c>
      <c r="AA78" s="89">
        <f t="shared" si="14"/>
        <v>5.8309859099477643</v>
      </c>
      <c r="AB78" s="91">
        <v>1971</v>
      </c>
      <c r="AC78" s="96">
        <v>3.03</v>
      </c>
      <c r="AD78" s="96">
        <f t="shared" si="3"/>
        <v>16.41453015075377</v>
      </c>
      <c r="AE78" s="89">
        <f t="shared" si="15"/>
        <v>13.883729531694097</v>
      </c>
      <c r="AF78" s="91">
        <v>1971</v>
      </c>
      <c r="AG78" s="95">
        <v>2.2400000000000002</v>
      </c>
      <c r="AH78" s="96">
        <f t="shared" si="18"/>
        <v>12.134834170854273</v>
      </c>
      <c r="AI78" s="89">
        <f t="shared" si="16"/>
        <v>37.790639004438447</v>
      </c>
      <c r="AJ78" s="100"/>
      <c r="AK78" s="100"/>
      <c r="AL78" s="81">
        <v>1971</v>
      </c>
      <c r="AM78" s="81">
        <v>39.799999999999997</v>
      </c>
    </row>
    <row r="79" spans="1:39" x14ac:dyDescent="0.2">
      <c r="A79" s="86">
        <v>1972</v>
      </c>
      <c r="B79" s="87">
        <v>2380000</v>
      </c>
      <c r="C79" s="87">
        <v>2690000</v>
      </c>
      <c r="D79" s="87">
        <v>705000</v>
      </c>
      <c r="E79" s="87">
        <v>425000</v>
      </c>
      <c r="F79" s="87">
        <v>4370000</v>
      </c>
      <c r="G79" s="88">
        <v>39.4</v>
      </c>
      <c r="H79" s="89">
        <v>41.1</v>
      </c>
      <c r="I79" s="89">
        <f t="shared" si="17"/>
        <v>208.48447688564474</v>
      </c>
      <c r="J79" s="103">
        <f t="shared" si="7"/>
        <v>-0.23465727904957012</v>
      </c>
      <c r="K79" s="89">
        <f t="shared" si="8"/>
        <v>261.32349768334552</v>
      </c>
      <c r="L79" s="89">
        <f t="shared" si="9"/>
        <v>389.96413793103443</v>
      </c>
      <c r="M79" s="89">
        <f t="shared" si="10"/>
        <v>131.6609796367639</v>
      </c>
      <c r="N79" s="89">
        <v>154</v>
      </c>
      <c r="O79" s="87">
        <v>20000000</v>
      </c>
      <c r="P79" s="87">
        <f t="shared" si="4"/>
        <v>32786885.245901641</v>
      </c>
      <c r="Q79" s="101">
        <f t="shared" si="5"/>
        <v>5.0251256281408363E-3</v>
      </c>
      <c r="R79" s="104">
        <f t="shared" si="11"/>
        <v>3.156771072438954E-2</v>
      </c>
      <c r="S79" s="104">
        <f t="shared" si="6"/>
        <v>4.9605429628702069E-2</v>
      </c>
      <c r="T79" s="105">
        <f t="shared" si="12"/>
        <v>4.7514996428468015E-2</v>
      </c>
      <c r="U79" s="105"/>
      <c r="V79" s="105"/>
      <c r="W79" s="91">
        <v>1972</v>
      </c>
      <c r="X79" s="92">
        <v>1.57</v>
      </c>
      <c r="Y79" s="89">
        <f t="shared" si="19"/>
        <v>8.3076301703163011</v>
      </c>
      <c r="Z79" s="103">
        <f t="shared" si="13"/>
        <v>0.11924574209245731</v>
      </c>
      <c r="AA79" s="89">
        <f t="shared" si="14"/>
        <v>5.8309859099477643</v>
      </c>
      <c r="AB79" s="91">
        <v>1972</v>
      </c>
      <c r="AC79" s="96">
        <v>4.37</v>
      </c>
      <c r="AD79" s="96">
        <f t="shared" si="3"/>
        <v>22.924956204379562</v>
      </c>
      <c r="AE79" s="89">
        <f t="shared" si="15"/>
        <v>13.883729531694097</v>
      </c>
      <c r="AF79" s="91">
        <v>1972</v>
      </c>
      <c r="AG79" s="95">
        <v>2.48</v>
      </c>
      <c r="AH79" s="96">
        <f t="shared" si="18"/>
        <v>13.010043795620438</v>
      </c>
      <c r="AI79" s="89">
        <f t="shared" si="16"/>
        <v>37.790639004438447</v>
      </c>
      <c r="AJ79" s="100"/>
      <c r="AK79" s="100"/>
      <c r="AL79" s="81">
        <v>1972</v>
      </c>
      <c r="AM79" s="81">
        <v>41.1</v>
      </c>
    </row>
    <row r="80" spans="1:39" x14ac:dyDescent="0.2">
      <c r="A80" s="86">
        <v>1973</v>
      </c>
      <c r="B80" s="87">
        <v>2600000</v>
      </c>
      <c r="C80" s="87">
        <v>3250000</v>
      </c>
      <c r="D80" s="87">
        <v>821000</v>
      </c>
      <c r="E80" s="87">
        <v>187000</v>
      </c>
      <c r="F80" s="87">
        <v>5050000</v>
      </c>
      <c r="G80" s="88">
        <v>39.9</v>
      </c>
      <c r="H80" s="89">
        <v>42.6</v>
      </c>
      <c r="I80" s="89">
        <f t="shared" si="17"/>
        <v>203.69605633802814</v>
      </c>
      <c r="J80" s="103">
        <f t="shared" si="7"/>
        <v>-0.25223548374716975</v>
      </c>
      <c r="K80" s="89">
        <f t="shared" si="8"/>
        <v>261.32349768334552</v>
      </c>
      <c r="L80" s="89">
        <f t="shared" si="9"/>
        <v>389.96413793103443</v>
      </c>
      <c r="M80" s="89">
        <f t="shared" si="10"/>
        <v>131.6609796367639</v>
      </c>
      <c r="N80" s="89">
        <v>146</v>
      </c>
      <c r="O80" s="87">
        <v>18900000</v>
      </c>
      <c r="P80" s="87">
        <f t="shared" si="4"/>
        <v>30983606.557377052</v>
      </c>
      <c r="Q80" s="101">
        <f t="shared" si="5"/>
        <v>-5.4999999999999938E-2</v>
      </c>
      <c r="R80" s="104">
        <f t="shared" si="11"/>
        <v>3.156771072438954E-2</v>
      </c>
      <c r="S80" s="104">
        <f t="shared" si="6"/>
        <v>3.1310306477545069E-2</v>
      </c>
      <c r="T80" s="105">
        <f t="shared" si="12"/>
        <v>1.2659571768745437E-2</v>
      </c>
      <c r="U80" s="105"/>
      <c r="V80" s="105"/>
      <c r="W80" s="91">
        <v>1973</v>
      </c>
      <c r="X80" s="92">
        <v>2.5499999999999998</v>
      </c>
      <c r="Y80" s="89">
        <f t="shared" si="19"/>
        <v>13.018169014084506</v>
      </c>
      <c r="Z80" s="103">
        <f t="shared" si="13"/>
        <v>0.75387323943661966</v>
      </c>
      <c r="AA80" s="89">
        <f t="shared" si="14"/>
        <v>5.8309859099477643</v>
      </c>
      <c r="AB80" s="91">
        <v>1973</v>
      </c>
      <c r="AC80" s="96">
        <v>5.68</v>
      </c>
      <c r="AD80" s="96">
        <f t="shared" si="3"/>
        <v>28.747999999999994</v>
      </c>
      <c r="AE80" s="89">
        <f t="shared" si="15"/>
        <v>13.883729531694097</v>
      </c>
      <c r="AF80" s="91">
        <v>1973</v>
      </c>
      <c r="AG80" s="95">
        <v>3.29</v>
      </c>
      <c r="AH80" s="96">
        <f t="shared" si="18"/>
        <v>16.651570422535212</v>
      </c>
      <c r="AI80" s="89">
        <f t="shared" si="16"/>
        <v>37.790639004438447</v>
      </c>
      <c r="AJ80" s="100"/>
      <c r="AK80" s="100"/>
      <c r="AL80" s="81">
        <v>1973</v>
      </c>
      <c r="AM80" s="81">
        <v>42.6</v>
      </c>
    </row>
    <row r="81" spans="1:39" x14ac:dyDescent="0.2">
      <c r="A81" s="86">
        <v>1974</v>
      </c>
      <c r="B81" s="87">
        <v>2310000</v>
      </c>
      <c r="C81" s="87">
        <v>3920000</v>
      </c>
      <c r="D81" s="87">
        <v>728000</v>
      </c>
      <c r="E81" s="87">
        <v>191000</v>
      </c>
      <c r="F81" s="87">
        <v>5520000</v>
      </c>
      <c r="G81" s="88">
        <v>57.1</v>
      </c>
      <c r="H81" s="89">
        <v>46.6</v>
      </c>
      <c r="I81" s="89">
        <f t="shared" si="17"/>
        <v>266.48300429184548</v>
      </c>
      <c r="J81" s="103">
        <f t="shared" si="7"/>
        <v>-2.1745740314111695E-2</v>
      </c>
      <c r="K81" s="89">
        <f t="shared" si="8"/>
        <v>261.32349768334552</v>
      </c>
      <c r="L81" s="89">
        <f t="shared" si="9"/>
        <v>389.96413793103443</v>
      </c>
      <c r="M81" s="89">
        <f t="shared" si="10"/>
        <v>131.6609796367639</v>
      </c>
      <c r="N81" s="89">
        <v>189</v>
      </c>
      <c r="O81" s="87">
        <v>21100000</v>
      </c>
      <c r="P81" s="87">
        <f t="shared" si="4"/>
        <v>34590163.934426233</v>
      </c>
      <c r="Q81" s="101">
        <f t="shared" si="5"/>
        <v>0.11640211640211651</v>
      </c>
      <c r="R81" s="104">
        <f t="shared" si="11"/>
        <v>3.156771072438954E-2</v>
      </c>
      <c r="S81" s="104">
        <f t="shared" si="6"/>
        <v>3.9313674409561905E-2</v>
      </c>
      <c r="T81" s="105">
        <f t="shared" si="12"/>
        <v>1.9709486512899943E-2</v>
      </c>
      <c r="U81" s="105"/>
      <c r="V81" s="105"/>
      <c r="W81" s="91">
        <v>1974</v>
      </c>
      <c r="X81" s="92">
        <v>3.02</v>
      </c>
      <c r="Y81" s="89">
        <f t="shared" si="19"/>
        <v>14.094197424892702</v>
      </c>
      <c r="Z81" s="103">
        <f t="shared" si="13"/>
        <v>0.89884120171673798</v>
      </c>
      <c r="AA81" s="89">
        <f t="shared" si="14"/>
        <v>5.8309859099477643</v>
      </c>
      <c r="AB81" s="91">
        <v>1974</v>
      </c>
      <c r="AC81" s="96">
        <v>6.64</v>
      </c>
      <c r="AD81" s="96">
        <f t="shared" si="3"/>
        <v>30.722111587982827</v>
      </c>
      <c r="AE81" s="89">
        <f t="shared" si="15"/>
        <v>13.883729531694097</v>
      </c>
      <c r="AF81" s="91">
        <v>1974</v>
      </c>
      <c r="AG81" s="95">
        <v>11.58</v>
      </c>
      <c r="AH81" s="96">
        <f t="shared" si="18"/>
        <v>53.578622317596562</v>
      </c>
      <c r="AI81" s="89">
        <f t="shared" si="16"/>
        <v>37.790639004438447</v>
      </c>
      <c r="AJ81" s="100"/>
      <c r="AK81" s="100"/>
      <c r="AL81" s="81">
        <v>1974</v>
      </c>
      <c r="AM81" s="81">
        <v>46.6</v>
      </c>
    </row>
    <row r="82" spans="1:39" x14ac:dyDescent="0.2">
      <c r="A82" s="86">
        <v>1975</v>
      </c>
      <c r="B82" s="87">
        <v>1900000</v>
      </c>
      <c r="C82" s="87">
        <v>3440000</v>
      </c>
      <c r="D82" s="87">
        <v>740000</v>
      </c>
      <c r="E82" s="87">
        <v>562000</v>
      </c>
      <c r="F82" s="87">
        <v>4640000</v>
      </c>
      <c r="G82" s="88">
        <v>74.599999999999994</v>
      </c>
      <c r="H82" s="89">
        <v>52.1</v>
      </c>
      <c r="I82" s="89">
        <f t="shared" si="17"/>
        <v>311.40130518234162</v>
      </c>
      <c r="J82" s="103">
        <f t="shared" si="7"/>
        <v>0.14314852489710095</v>
      </c>
      <c r="K82" s="89">
        <f t="shared" si="8"/>
        <v>261.32349768334552</v>
      </c>
      <c r="L82" s="89">
        <f t="shared" si="9"/>
        <v>389.96413793103443</v>
      </c>
      <c r="M82" s="89">
        <f t="shared" si="10"/>
        <v>131.6609796367639</v>
      </c>
      <c r="N82" s="89">
        <v>226</v>
      </c>
      <c r="O82" s="87">
        <v>24700000</v>
      </c>
      <c r="P82" s="87">
        <f t="shared" si="4"/>
        <v>40491803.278688528</v>
      </c>
      <c r="Q82" s="101">
        <f t="shared" si="5"/>
        <v>0.17061611374407581</v>
      </c>
      <c r="R82" s="104">
        <f t="shared" si="11"/>
        <v>3.156771072438954E-2</v>
      </c>
      <c r="S82" s="104">
        <f t="shared" si="6"/>
        <v>6.2980048262344379E-2</v>
      </c>
      <c r="T82" s="105">
        <f t="shared" si="12"/>
        <v>7.2891124327783441E-2</v>
      </c>
      <c r="U82" s="105"/>
      <c r="V82" s="105"/>
      <c r="W82" s="91">
        <v>1975</v>
      </c>
      <c r="X82" s="92">
        <v>2.54</v>
      </c>
      <c r="Y82" s="89">
        <f t="shared" si="19"/>
        <v>10.602671785028789</v>
      </c>
      <c r="Z82" s="103">
        <f t="shared" si="13"/>
        <v>0.42844529750479832</v>
      </c>
      <c r="AA82" s="89">
        <f t="shared" si="14"/>
        <v>5.8309859099477643</v>
      </c>
      <c r="AB82" s="91">
        <v>1975</v>
      </c>
      <c r="AC82" s="96">
        <v>4.92</v>
      </c>
      <c r="AD82" s="96">
        <f t="shared" si="3"/>
        <v>20.360867562380037</v>
      </c>
      <c r="AE82" s="89">
        <f t="shared" si="15"/>
        <v>13.883729531694097</v>
      </c>
      <c r="AF82" s="91">
        <v>1975</v>
      </c>
      <c r="AG82" s="95">
        <v>11.53</v>
      </c>
      <c r="AH82" s="96">
        <f t="shared" si="18"/>
        <v>47.7156103646833</v>
      </c>
      <c r="AI82" s="89">
        <f t="shared" si="16"/>
        <v>37.790639004438447</v>
      </c>
      <c r="AJ82" s="100"/>
      <c r="AK82" s="100"/>
      <c r="AL82" s="81">
        <v>1975</v>
      </c>
      <c r="AM82" s="81">
        <v>52.1</v>
      </c>
    </row>
    <row r="83" spans="1:39" x14ac:dyDescent="0.2">
      <c r="A83" s="86">
        <v>1976</v>
      </c>
      <c r="B83" s="87">
        <v>2270000</v>
      </c>
      <c r="C83" s="87">
        <v>4170000</v>
      </c>
      <c r="D83" s="87">
        <v>879000</v>
      </c>
      <c r="E83" s="87">
        <v>471000</v>
      </c>
      <c r="F83" s="87">
        <v>5580000</v>
      </c>
      <c r="G83" s="88">
        <v>79.8</v>
      </c>
      <c r="H83" s="89">
        <v>55.6</v>
      </c>
      <c r="I83" s="89">
        <f>G83*$H$117/H83</f>
        <v>312.1385611510791</v>
      </c>
      <c r="J83" s="103">
        <f t="shared" si="7"/>
        <v>0.14585497814282622</v>
      </c>
      <c r="K83" s="89">
        <f t="shared" si="8"/>
        <v>261.32349768334552</v>
      </c>
      <c r="L83" s="89">
        <f t="shared" si="9"/>
        <v>389.96413793103443</v>
      </c>
      <c r="M83" s="89">
        <f t="shared" si="10"/>
        <v>131.6609796367639</v>
      </c>
      <c r="N83" s="89">
        <v>229</v>
      </c>
      <c r="O83" s="87">
        <v>24300000</v>
      </c>
      <c r="P83" s="87">
        <f t="shared" si="4"/>
        <v>39836065.573770493</v>
      </c>
      <c r="Q83" s="101">
        <f t="shared" si="5"/>
        <v>-1.619433198380571E-2</v>
      </c>
      <c r="R83" s="104">
        <f t="shared" si="11"/>
        <v>3.156771072438954E-2</v>
      </c>
      <c r="S83" s="104">
        <f t="shared" si="6"/>
        <v>4.0760112632076906E-2</v>
      </c>
      <c r="T83" s="105">
        <f t="shared" si="12"/>
        <v>8.7380373002892142E-2</v>
      </c>
      <c r="U83" s="105"/>
      <c r="V83" s="105"/>
      <c r="W83" s="91">
        <v>1976</v>
      </c>
      <c r="X83" s="92">
        <v>2.15</v>
      </c>
      <c r="Y83" s="89">
        <f t="shared" si="19"/>
        <v>8.4097482014388483</v>
      </c>
      <c r="Z83" s="103">
        <f t="shared" si="13"/>
        <v>0.13300359712230203</v>
      </c>
      <c r="AA83" s="89">
        <f t="shared" si="14"/>
        <v>5.8309859099477643</v>
      </c>
      <c r="AB83" s="91">
        <v>1976</v>
      </c>
      <c r="AC83" s="96">
        <v>6.81</v>
      </c>
      <c r="AD83" s="96">
        <f t="shared" si="3"/>
        <v>26.408347122302153</v>
      </c>
      <c r="AE83" s="89">
        <f t="shared" si="15"/>
        <v>13.883729531694097</v>
      </c>
      <c r="AF83" s="91">
        <v>1976</v>
      </c>
      <c r="AG83" s="95">
        <v>12.8</v>
      </c>
      <c r="AH83" s="96">
        <f t="shared" si="18"/>
        <v>49.636834532374102</v>
      </c>
      <c r="AI83" s="89">
        <f t="shared" si="16"/>
        <v>37.790639004438447</v>
      </c>
      <c r="AJ83" s="100"/>
      <c r="AK83" s="100"/>
      <c r="AL83" s="81">
        <v>1976</v>
      </c>
      <c r="AM83" s="81">
        <v>55.6</v>
      </c>
    </row>
    <row r="84" spans="1:39" x14ac:dyDescent="0.2">
      <c r="A84" s="86">
        <v>1977</v>
      </c>
      <c r="B84" s="87">
        <v>2230000</v>
      </c>
      <c r="C84" s="87">
        <v>4610000</v>
      </c>
      <c r="D84" s="87">
        <v>865000</v>
      </c>
      <c r="E84" s="87">
        <v>467000</v>
      </c>
      <c r="F84" s="87">
        <v>5990000</v>
      </c>
      <c r="G84" s="88">
        <v>79</v>
      </c>
      <c r="H84" s="89">
        <v>58.5</v>
      </c>
      <c r="I84" s="89">
        <f t="shared" si="17"/>
        <v>293.69094017094017</v>
      </c>
      <c r="J84" s="103">
        <f t="shared" si="7"/>
        <v>7.8134097207666731E-2</v>
      </c>
      <c r="K84" s="89">
        <f t="shared" si="8"/>
        <v>261.32349768334552</v>
      </c>
      <c r="L84" s="89">
        <f t="shared" si="9"/>
        <v>389.96413793103443</v>
      </c>
      <c r="M84" s="89">
        <f t="shared" si="10"/>
        <v>131.6609796367639</v>
      </c>
      <c r="N84" s="89">
        <v>213</v>
      </c>
      <c r="O84" s="87">
        <v>25200000</v>
      </c>
      <c r="P84" s="87">
        <f t="shared" si="4"/>
        <v>41311475.409836069</v>
      </c>
      <c r="Q84" s="101">
        <f t="shared" si="5"/>
        <v>3.7037037037036979E-2</v>
      </c>
      <c r="R84" s="104">
        <f t="shared" si="11"/>
        <v>3.156771072438954E-2</v>
      </c>
      <c r="S84" s="104">
        <f t="shared" si="6"/>
        <v>4.7307247755510318E-2</v>
      </c>
      <c r="T84" s="105">
        <f t="shared" si="12"/>
        <v>6.0977144587287979E-2</v>
      </c>
      <c r="U84" s="105"/>
      <c r="V84" s="105"/>
      <c r="W84" s="91">
        <v>1977</v>
      </c>
      <c r="X84" s="92">
        <v>2.02</v>
      </c>
      <c r="Y84" s="89">
        <f t="shared" si="19"/>
        <v>7.5095658119658122</v>
      </c>
      <c r="Z84" s="103">
        <f t="shared" si="13"/>
        <v>1.1726495726495756E-2</v>
      </c>
      <c r="AA84" s="89">
        <f t="shared" si="14"/>
        <v>5.8309859099477643</v>
      </c>
      <c r="AB84" s="91">
        <v>1977</v>
      </c>
      <c r="AC84" s="96">
        <v>5.88</v>
      </c>
      <c r="AD84" s="96">
        <f t="shared" ref="AD84:AD115" si="20">AC84*$H$115/H84</f>
        <v>21.671569230769229</v>
      </c>
      <c r="AE84" s="89">
        <f t="shared" si="15"/>
        <v>13.883729531694097</v>
      </c>
      <c r="AF84" s="91">
        <v>1977</v>
      </c>
      <c r="AG84" s="95">
        <v>13.92</v>
      </c>
      <c r="AH84" s="96">
        <f t="shared" si="18"/>
        <v>51.304123076923069</v>
      </c>
      <c r="AI84" s="89">
        <f t="shared" si="16"/>
        <v>37.790639004438447</v>
      </c>
      <c r="AJ84" s="100"/>
      <c r="AK84" s="100"/>
      <c r="AL84" s="81">
        <v>1977</v>
      </c>
      <c r="AM84" s="81">
        <v>58.5</v>
      </c>
    </row>
    <row r="85" spans="1:39" x14ac:dyDescent="0.2">
      <c r="A85" s="86">
        <v>1978</v>
      </c>
      <c r="B85" s="87">
        <v>2310000</v>
      </c>
      <c r="C85" s="87">
        <v>4710000</v>
      </c>
      <c r="D85" s="87">
        <v>809000</v>
      </c>
      <c r="E85" s="87">
        <v>414000</v>
      </c>
      <c r="F85" s="87">
        <v>6210000</v>
      </c>
      <c r="G85" s="88">
        <v>86.5</v>
      </c>
      <c r="H85" s="89">
        <v>62.5</v>
      </c>
      <c r="I85" s="89">
        <f t="shared" si="17"/>
        <v>300.99232000000001</v>
      </c>
      <c r="J85" s="103">
        <f t="shared" si="7"/>
        <v>0.10493732970027247</v>
      </c>
      <c r="K85" s="89">
        <f t="shared" si="8"/>
        <v>261.32349768334552</v>
      </c>
      <c r="L85" s="89">
        <f t="shared" si="9"/>
        <v>389.96413793103443</v>
      </c>
      <c r="M85" s="89">
        <f t="shared" si="10"/>
        <v>131.6609796367639</v>
      </c>
      <c r="N85" s="89">
        <v>216</v>
      </c>
      <c r="O85" s="87">
        <v>26100000</v>
      </c>
      <c r="P85" s="87">
        <f t="shared" si="4"/>
        <v>42786885.245901637</v>
      </c>
      <c r="Q85" s="101">
        <f t="shared" si="5"/>
        <v>3.5714285714285587E-2</v>
      </c>
      <c r="R85" s="104">
        <f t="shared" si="11"/>
        <v>3.156771072438954E-2</v>
      </c>
      <c r="S85" s="104">
        <f t="shared" si="6"/>
        <v>6.6683901275273794E-2</v>
      </c>
      <c r="T85" s="105">
        <f t="shared" si="12"/>
        <v>1.8547259713887154E-2</v>
      </c>
      <c r="U85" s="105"/>
      <c r="V85" s="105"/>
      <c r="W85" s="91">
        <v>1978</v>
      </c>
      <c r="X85" s="92">
        <v>2.25</v>
      </c>
      <c r="Y85" s="89">
        <f t="shared" si="19"/>
        <v>7.8292799999999998</v>
      </c>
      <c r="Z85" s="103">
        <f t="shared" si="13"/>
        <v>5.479999999999996E-2</v>
      </c>
      <c r="AA85" s="89">
        <f t="shared" si="14"/>
        <v>5.8309859099477643</v>
      </c>
      <c r="AB85" s="91">
        <v>1978</v>
      </c>
      <c r="AC85" s="96">
        <v>6.66</v>
      </c>
      <c r="AD85" s="96">
        <f t="shared" si="20"/>
        <v>22.975401599999998</v>
      </c>
      <c r="AE85" s="89">
        <f t="shared" si="15"/>
        <v>13.883729531694097</v>
      </c>
      <c r="AF85" s="91">
        <v>1978</v>
      </c>
      <c r="AG85" s="95">
        <v>14.02</v>
      </c>
      <c r="AH85" s="96">
        <f t="shared" si="18"/>
        <v>48.3656352</v>
      </c>
      <c r="AI85" s="89">
        <f t="shared" si="16"/>
        <v>37.790639004438447</v>
      </c>
      <c r="AJ85" s="100"/>
      <c r="AK85" s="100"/>
      <c r="AL85" s="81">
        <v>1978</v>
      </c>
      <c r="AM85" s="81">
        <v>62.5</v>
      </c>
    </row>
    <row r="86" spans="1:39" x14ac:dyDescent="0.2">
      <c r="A86" s="86">
        <v>1979</v>
      </c>
      <c r="B86" s="87">
        <v>2390000</v>
      </c>
      <c r="C86" s="87">
        <v>5170000</v>
      </c>
      <c r="D86" s="87">
        <v>635000</v>
      </c>
      <c r="E86" s="87">
        <v>251000</v>
      </c>
      <c r="F86" s="87">
        <v>6920000</v>
      </c>
      <c r="G86" s="89">
        <v>104</v>
      </c>
      <c r="H86" s="89">
        <v>68.3</v>
      </c>
      <c r="I86" s="89">
        <f t="shared" si="17"/>
        <v>331.15549048316251</v>
      </c>
      <c r="J86" s="103">
        <f t="shared" si="7"/>
        <v>0.21566577967852996</v>
      </c>
      <c r="K86" s="89">
        <f t="shared" si="8"/>
        <v>261.32349768334552</v>
      </c>
      <c r="L86" s="89">
        <f t="shared" si="9"/>
        <v>389.96413793103443</v>
      </c>
      <c r="M86" s="89">
        <f t="shared" si="10"/>
        <v>131.6609796367639</v>
      </c>
      <c r="N86" s="89">
        <v>234</v>
      </c>
      <c r="O86" s="87">
        <v>25700000</v>
      </c>
      <c r="P86" s="87">
        <f t="shared" si="4"/>
        <v>42131147.54098361</v>
      </c>
      <c r="Q86" s="101">
        <f t="shared" si="5"/>
        <v>-1.5325670498084198E-2</v>
      </c>
      <c r="R86" s="104">
        <f t="shared" si="11"/>
        <v>3.156771072438954E-2</v>
      </c>
      <c r="S86" s="104">
        <f t="shared" si="6"/>
        <v>4.0231818048282353E-2</v>
      </c>
      <c r="T86" s="105">
        <f t="shared" si="12"/>
        <v>1.8846950505089222E-2</v>
      </c>
      <c r="U86" s="105"/>
      <c r="V86" s="105"/>
      <c r="W86" s="91">
        <v>1979</v>
      </c>
      <c r="X86" s="92">
        <v>2.52</v>
      </c>
      <c r="Y86" s="89">
        <f t="shared" si="19"/>
        <v>8.0241522693997069</v>
      </c>
      <c r="Z86" s="103">
        <f t="shared" si="13"/>
        <v>8.1054172767203614E-2</v>
      </c>
      <c r="AA86" s="89">
        <f t="shared" si="14"/>
        <v>5.8309859099477643</v>
      </c>
      <c r="AB86" s="91">
        <v>1979</v>
      </c>
      <c r="AC86" s="96">
        <v>6.29</v>
      </c>
      <c r="AD86" s="96">
        <f t="shared" si="20"/>
        <v>19.856323572474377</v>
      </c>
      <c r="AE86" s="89">
        <f t="shared" si="15"/>
        <v>13.883729531694097</v>
      </c>
      <c r="AF86" s="91">
        <v>1979</v>
      </c>
      <c r="AG86" s="95">
        <v>31.61</v>
      </c>
      <c r="AH86" s="96">
        <f t="shared" si="18"/>
        <v>99.786707174231324</v>
      </c>
      <c r="AI86" s="89">
        <f t="shared" si="16"/>
        <v>37.790639004438447</v>
      </c>
      <c r="AJ86" s="100"/>
      <c r="AK86" s="100"/>
      <c r="AL86" s="81">
        <v>1979</v>
      </c>
      <c r="AM86" s="81">
        <v>68.3</v>
      </c>
    </row>
    <row r="87" spans="1:39" x14ac:dyDescent="0.2">
      <c r="A87" s="86">
        <v>1980</v>
      </c>
      <c r="B87" s="87">
        <v>2220000</v>
      </c>
      <c r="C87" s="87">
        <v>4970000</v>
      </c>
      <c r="D87" s="87">
        <v>840000</v>
      </c>
      <c r="E87" s="87">
        <v>273000</v>
      </c>
      <c r="F87" s="87">
        <v>6350000</v>
      </c>
      <c r="G87" s="89">
        <v>129</v>
      </c>
      <c r="H87" s="89">
        <v>77.8</v>
      </c>
      <c r="I87" s="89">
        <f t="shared" si="17"/>
        <v>360.60308483290487</v>
      </c>
      <c r="J87" s="103">
        <f t="shared" si="7"/>
        <v>0.32376736269201412</v>
      </c>
      <c r="K87" s="89">
        <f t="shared" si="8"/>
        <v>261.32349768334552</v>
      </c>
      <c r="L87" s="89">
        <f t="shared" si="9"/>
        <v>389.96413793103443</v>
      </c>
      <c r="M87" s="89">
        <f t="shared" si="10"/>
        <v>131.6609796367639</v>
      </c>
      <c r="N87" s="89">
        <v>256</v>
      </c>
      <c r="O87" s="87">
        <v>27900000</v>
      </c>
      <c r="P87" s="87">
        <f t="shared" si="4"/>
        <v>45737704.918032788</v>
      </c>
      <c r="Q87" s="101">
        <f t="shared" si="5"/>
        <v>8.5603112840466844E-2</v>
      </c>
      <c r="R87" s="104">
        <f t="shared" si="11"/>
        <v>3.156771072438954E-2</v>
      </c>
      <c r="S87" s="104">
        <f t="shared" si="6"/>
        <v>2.4663933464591281E-2</v>
      </c>
      <c r="T87" s="105">
        <f t="shared" si="12"/>
        <v>3.4509669068251148E-2</v>
      </c>
      <c r="U87" s="105"/>
      <c r="V87" s="105"/>
      <c r="W87" s="91">
        <v>1980</v>
      </c>
      <c r="X87" s="92">
        <v>3.11</v>
      </c>
      <c r="Y87" s="89">
        <f t="shared" si="19"/>
        <v>8.693609254498714</v>
      </c>
      <c r="Z87" s="103">
        <f t="shared" si="13"/>
        <v>0.17124678663239079</v>
      </c>
      <c r="AA87" s="89">
        <f t="shared" si="14"/>
        <v>5.8309859099477643</v>
      </c>
      <c r="AB87" s="91">
        <v>1980</v>
      </c>
      <c r="AC87" s="96">
        <v>7.6</v>
      </c>
      <c r="AD87" s="96">
        <f t="shared" si="20"/>
        <v>21.062159383033418</v>
      </c>
      <c r="AE87" s="89">
        <f t="shared" si="15"/>
        <v>13.883729531694097</v>
      </c>
      <c r="AF87" s="91">
        <v>1980</v>
      </c>
      <c r="AG87" s="95">
        <v>36.83</v>
      </c>
      <c r="AH87" s="96">
        <f t="shared" si="18"/>
        <v>102.06833290488431</v>
      </c>
      <c r="AI87" s="89">
        <f t="shared" si="16"/>
        <v>37.790639004438447</v>
      </c>
      <c r="AJ87" s="100"/>
      <c r="AK87" s="100"/>
      <c r="AL87" s="81">
        <v>1980</v>
      </c>
      <c r="AM87" s="81">
        <v>77.8</v>
      </c>
    </row>
    <row r="88" spans="1:39" x14ac:dyDescent="0.2">
      <c r="A88" s="86">
        <v>1981</v>
      </c>
      <c r="B88" s="87">
        <v>1910000</v>
      </c>
      <c r="C88" s="87">
        <v>4800000</v>
      </c>
      <c r="D88" s="87">
        <v>491000</v>
      </c>
      <c r="E88" s="87">
        <v>520000</v>
      </c>
      <c r="F88" s="87">
        <v>6210000</v>
      </c>
      <c r="G88" s="89">
        <v>156</v>
      </c>
      <c r="H88" s="89">
        <v>87</v>
      </c>
      <c r="I88" s="89">
        <f t="shared" si="17"/>
        <v>389.96413793103443</v>
      </c>
      <c r="J88" s="103">
        <f t="shared" si="7"/>
        <v>0.43155125434557906</v>
      </c>
      <c r="K88" s="89">
        <f t="shared" si="8"/>
        <v>261.32349768334552</v>
      </c>
      <c r="L88" s="89">
        <f t="shared" si="9"/>
        <v>389.96413793103443</v>
      </c>
      <c r="M88" s="89">
        <f t="shared" si="10"/>
        <v>131.6609796367639</v>
      </c>
      <c r="N88" s="89">
        <v>280</v>
      </c>
      <c r="O88" s="87">
        <v>27100000</v>
      </c>
      <c r="P88" s="87">
        <f t="shared" si="4"/>
        <v>44426229.508196719</v>
      </c>
      <c r="Q88" s="101">
        <f t="shared" si="5"/>
        <v>-2.8673835125448077E-2</v>
      </c>
      <c r="R88" s="104">
        <f t="shared" si="11"/>
        <v>3.156771072438954E-2</v>
      </c>
      <c r="S88" s="104">
        <f t="shared" si="6"/>
        <v>2.2051084644986618E-2</v>
      </c>
      <c r="T88" s="105">
        <f t="shared" si="12"/>
        <v>1.2611669234531719E-2</v>
      </c>
      <c r="U88" s="105"/>
      <c r="V88" s="105"/>
      <c r="W88" s="91">
        <v>1981</v>
      </c>
      <c r="X88" s="92">
        <v>2.5</v>
      </c>
      <c r="Y88" s="89">
        <f t="shared" si="19"/>
        <v>6.2494252873563214</v>
      </c>
      <c r="Z88" s="103">
        <f t="shared" si="13"/>
        <v>-0.15804597701149425</v>
      </c>
      <c r="AA88" s="89">
        <f t="shared" si="14"/>
        <v>5.8309859099477643</v>
      </c>
      <c r="AB88" s="91">
        <v>1981</v>
      </c>
      <c r="AC88" s="96">
        <v>6.07</v>
      </c>
      <c r="AD88" s="96">
        <f t="shared" si="20"/>
        <v>15.043134482758621</v>
      </c>
      <c r="AE88" s="89">
        <f t="shared" si="15"/>
        <v>13.883729531694097</v>
      </c>
      <c r="AF88" s="91">
        <v>1981</v>
      </c>
      <c r="AG88" s="95">
        <v>35.93</v>
      </c>
      <c r="AH88" s="96">
        <f t="shared" si="18"/>
        <v>89.044451724137915</v>
      </c>
      <c r="AI88" s="89">
        <f t="shared" si="16"/>
        <v>37.790639004438447</v>
      </c>
      <c r="AJ88" s="100"/>
      <c r="AK88" s="100"/>
      <c r="AL88" s="81">
        <v>1981</v>
      </c>
      <c r="AM88" s="81">
        <v>87</v>
      </c>
    </row>
    <row r="89" spans="1:39" x14ac:dyDescent="0.2">
      <c r="A89" s="86">
        <v>1982</v>
      </c>
      <c r="B89" s="87">
        <v>1780000</v>
      </c>
      <c r="C89" s="87">
        <v>3860000</v>
      </c>
      <c r="D89" s="87">
        <v>519000</v>
      </c>
      <c r="E89" s="87">
        <v>520000</v>
      </c>
      <c r="F89" s="87">
        <v>5120000</v>
      </c>
      <c r="G89" s="89">
        <v>146</v>
      </c>
      <c r="H89" s="89">
        <v>94.3</v>
      </c>
      <c r="I89" s="89">
        <f t="shared" si="17"/>
        <v>336.71346765641567</v>
      </c>
      <c r="J89" s="103">
        <f t="shared" si="7"/>
        <v>0.23606901274557113</v>
      </c>
      <c r="K89" s="89">
        <f t="shared" si="8"/>
        <v>261.32349768334552</v>
      </c>
      <c r="L89" s="89">
        <f t="shared" si="9"/>
        <v>389.96413793103443</v>
      </c>
      <c r="M89" s="89">
        <f t="shared" si="10"/>
        <v>131.6609796367639</v>
      </c>
      <c r="N89" s="89">
        <v>247</v>
      </c>
      <c r="O89" s="87">
        <v>24500000</v>
      </c>
      <c r="P89" s="87">
        <f t="shared" si="4"/>
        <v>40163934.426229507</v>
      </c>
      <c r="Q89" s="101">
        <f t="shared" si="5"/>
        <v>-9.5940959409594129E-2</v>
      </c>
      <c r="R89" s="104">
        <f t="shared" si="11"/>
        <v>3.156771072438954E-2</v>
      </c>
      <c r="S89" s="104">
        <f t="shared" si="6"/>
        <v>-5.6183331936989767E-3</v>
      </c>
      <c r="T89" s="105">
        <f t="shared" si="12"/>
        <v>-1.5812933188709466E-2</v>
      </c>
      <c r="U89" s="105"/>
      <c r="V89" s="105"/>
      <c r="W89" s="91">
        <v>1982</v>
      </c>
      <c r="X89" s="92">
        <v>2.5499999999999998</v>
      </c>
      <c r="Y89" s="89">
        <f t="shared" si="19"/>
        <v>5.8809544008483563</v>
      </c>
      <c r="Z89" s="103">
        <f t="shared" si="13"/>
        <v>-0.20768822905620354</v>
      </c>
      <c r="AA89" s="89">
        <f t="shared" si="14"/>
        <v>5.8309859099477643</v>
      </c>
      <c r="AB89" s="91">
        <v>1982</v>
      </c>
      <c r="AC89" s="96">
        <v>5.71</v>
      </c>
      <c r="AD89" s="96">
        <f t="shared" si="20"/>
        <v>13.055494167550371</v>
      </c>
      <c r="AE89" s="89">
        <f t="shared" si="15"/>
        <v>13.883729531694097</v>
      </c>
      <c r="AF89" s="91">
        <v>1982</v>
      </c>
      <c r="AG89" s="95">
        <v>32.97</v>
      </c>
      <c r="AH89" s="96">
        <f t="shared" si="18"/>
        <v>75.383475079533397</v>
      </c>
      <c r="AI89" s="89">
        <f t="shared" si="16"/>
        <v>37.790639004438447</v>
      </c>
      <c r="AJ89" s="100"/>
      <c r="AK89" s="100"/>
      <c r="AL89" s="81">
        <v>1982</v>
      </c>
      <c r="AM89" s="81">
        <v>94.3</v>
      </c>
    </row>
    <row r="90" spans="1:39" x14ac:dyDescent="0.2">
      <c r="A90" s="86">
        <v>1983</v>
      </c>
      <c r="B90" s="87">
        <v>1510000</v>
      </c>
      <c r="C90" s="87">
        <v>4440000</v>
      </c>
      <c r="D90" s="87">
        <v>300000</v>
      </c>
      <c r="E90" s="87">
        <v>391000</v>
      </c>
      <c r="F90" s="87">
        <v>5650000</v>
      </c>
      <c r="G90" s="89">
        <v>135</v>
      </c>
      <c r="H90" s="89">
        <v>97.8</v>
      </c>
      <c r="I90" s="89">
        <f t="shared" si="17"/>
        <v>300.20245398773005</v>
      </c>
      <c r="J90" s="103">
        <f t="shared" si="7"/>
        <v>0.1020377459420605</v>
      </c>
      <c r="K90" s="89">
        <f t="shared" si="8"/>
        <v>261.32349768334552</v>
      </c>
      <c r="L90" s="89">
        <f t="shared" si="9"/>
        <v>389.96413793103443</v>
      </c>
      <c r="M90" s="89">
        <f t="shared" si="10"/>
        <v>131.6609796367639</v>
      </c>
      <c r="N90" s="89">
        <v>222</v>
      </c>
      <c r="O90" s="87">
        <v>27400000</v>
      </c>
      <c r="P90" s="87">
        <f t="shared" si="4"/>
        <v>44918032.786885247</v>
      </c>
      <c r="Q90" s="101">
        <f t="shared" si="5"/>
        <v>0.1183673469387756</v>
      </c>
      <c r="R90" s="104">
        <f t="shared" si="11"/>
        <v>3.156771072438954E-2</v>
      </c>
      <c r="S90" s="104">
        <f t="shared" si="6"/>
        <v>9.7689474818871691E-3</v>
      </c>
      <c r="T90" s="105">
        <f t="shared" si="12"/>
        <v>-6.0097605207004579E-3</v>
      </c>
      <c r="U90" s="105"/>
      <c r="V90" s="105"/>
      <c r="W90" s="91">
        <v>1983</v>
      </c>
      <c r="X90" s="92">
        <v>3.21</v>
      </c>
      <c r="Y90" s="89">
        <f t="shared" si="19"/>
        <v>7.1381472392638035</v>
      </c>
      <c r="Z90" s="103">
        <f t="shared" si="13"/>
        <v>-3.8312883435582812E-2</v>
      </c>
      <c r="AA90" s="89">
        <f t="shared" si="14"/>
        <v>5.8309859099477643</v>
      </c>
      <c r="AB90" s="91">
        <v>1983</v>
      </c>
      <c r="AC90" s="96">
        <v>7.83</v>
      </c>
      <c r="AD90" s="96">
        <f t="shared" si="20"/>
        <v>17.262027607361961</v>
      </c>
      <c r="AE90" s="89">
        <f t="shared" si="15"/>
        <v>13.883729531694097</v>
      </c>
      <c r="AF90" s="91">
        <v>1983</v>
      </c>
      <c r="AG90" s="95">
        <v>29.55</v>
      </c>
      <c r="AH90" s="96">
        <f t="shared" si="18"/>
        <v>65.145966257668718</v>
      </c>
      <c r="AI90" s="89">
        <f t="shared" si="16"/>
        <v>37.790639004438447</v>
      </c>
      <c r="AJ90" s="100"/>
      <c r="AK90" s="100"/>
      <c r="AL90" s="81">
        <v>1983</v>
      </c>
      <c r="AM90" s="81">
        <v>97.8</v>
      </c>
    </row>
    <row r="91" spans="1:39" x14ac:dyDescent="0.2">
      <c r="A91" s="86">
        <v>1984</v>
      </c>
      <c r="B91" s="87">
        <v>1640000</v>
      </c>
      <c r="C91" s="87">
        <v>4830000</v>
      </c>
      <c r="D91" s="87">
        <v>446000</v>
      </c>
      <c r="E91" s="87">
        <v>312000</v>
      </c>
      <c r="F91" s="87">
        <v>6020000</v>
      </c>
      <c r="G91" s="89">
        <v>135</v>
      </c>
      <c r="H91" s="89">
        <v>101.9</v>
      </c>
      <c r="I91" s="89">
        <f t="shared" si="17"/>
        <v>288.12365063788025</v>
      </c>
      <c r="J91" s="103">
        <f t="shared" si="7"/>
        <v>5.7696678637227716E-2</v>
      </c>
      <c r="K91" s="89">
        <f t="shared" si="8"/>
        <v>261.32349768334552</v>
      </c>
      <c r="L91" s="89">
        <f t="shared" si="9"/>
        <v>389.96413793103443</v>
      </c>
      <c r="M91" s="89">
        <f t="shared" si="10"/>
        <v>131.6609796367639</v>
      </c>
      <c r="N91" s="89">
        <v>212</v>
      </c>
      <c r="O91" s="87">
        <v>29300000</v>
      </c>
      <c r="P91" s="87">
        <f t="shared" ref="P91:P115" si="21">O91/$P$8</f>
        <v>48032786.885245904</v>
      </c>
      <c r="Q91" s="101">
        <f t="shared" si="5"/>
        <v>6.9343065693430628E-2</v>
      </c>
      <c r="R91" s="104">
        <f t="shared" si="11"/>
        <v>3.156771072438954E-2</v>
      </c>
      <c r="S91" s="104">
        <f t="shared" si="6"/>
        <v>2.6566054677426454E-2</v>
      </c>
      <c r="T91" s="105">
        <f t="shared" si="12"/>
        <v>2.6359350294381967E-2</v>
      </c>
      <c r="U91" s="105"/>
      <c r="V91" s="105"/>
      <c r="W91" s="91">
        <v>1984</v>
      </c>
      <c r="X91" s="92">
        <v>2.63</v>
      </c>
      <c r="Y91" s="89">
        <f t="shared" si="19"/>
        <v>5.613075564278704</v>
      </c>
      <c r="Z91" s="103">
        <f t="shared" si="13"/>
        <v>-0.24377821393523069</v>
      </c>
      <c r="AA91" s="89">
        <f t="shared" si="14"/>
        <v>5.8309859099477643</v>
      </c>
      <c r="AB91" s="91">
        <v>1984</v>
      </c>
      <c r="AC91" s="96">
        <v>5.84</v>
      </c>
      <c r="AD91" s="96">
        <f t="shared" si="20"/>
        <v>12.356843964671246</v>
      </c>
      <c r="AE91" s="89">
        <f t="shared" si="15"/>
        <v>13.883729531694097</v>
      </c>
      <c r="AF91" s="91">
        <v>1984</v>
      </c>
      <c r="AG91" s="95">
        <v>28.78</v>
      </c>
      <c r="AH91" s="96">
        <f t="shared" si="18"/>
        <v>60.895542688910695</v>
      </c>
      <c r="AI91" s="89">
        <f t="shared" si="16"/>
        <v>37.790639004438447</v>
      </c>
      <c r="AJ91" s="100"/>
      <c r="AK91" s="100"/>
      <c r="AL91" s="81">
        <v>1984</v>
      </c>
      <c r="AM91" s="81">
        <v>101.9</v>
      </c>
    </row>
    <row r="92" spans="1:39" x14ac:dyDescent="0.2">
      <c r="A92" s="86">
        <v>1985</v>
      </c>
      <c r="B92" s="87">
        <v>1270000</v>
      </c>
      <c r="C92" s="87">
        <v>4590000</v>
      </c>
      <c r="D92" s="87">
        <v>513000</v>
      </c>
      <c r="E92" s="87">
        <v>336000</v>
      </c>
      <c r="F92" s="87">
        <v>5350000</v>
      </c>
      <c r="G92" s="89">
        <v>127</v>
      </c>
      <c r="H92" s="89">
        <v>105.5</v>
      </c>
      <c r="I92" s="89">
        <f t="shared" si="17"/>
        <v>261.80056872037915</v>
      </c>
      <c r="J92" s="103">
        <f t="shared" si="7"/>
        <v>-3.8934876092823867E-2</v>
      </c>
      <c r="K92" s="89">
        <f t="shared" si="8"/>
        <v>261.32349768334552</v>
      </c>
      <c r="L92" s="89">
        <f t="shared" si="9"/>
        <v>389.96413793103443</v>
      </c>
      <c r="M92" s="89">
        <f t="shared" si="10"/>
        <v>131.6609796367639</v>
      </c>
      <c r="N92" s="89">
        <v>192</v>
      </c>
      <c r="O92" s="87">
        <v>29200000</v>
      </c>
      <c r="P92" s="87">
        <f t="shared" si="21"/>
        <v>47868852.459016398</v>
      </c>
      <c r="Q92" s="101">
        <f t="shared" ref="Q92:Q116" si="22">P92/P91-1</f>
        <v>-3.4129692832763903E-3</v>
      </c>
      <c r="R92" s="104">
        <f t="shared" si="11"/>
        <v>3.156771072438954E-2</v>
      </c>
      <c r="S92" s="104">
        <f t="shared" si="6"/>
        <v>9.1500118326797164E-3</v>
      </c>
      <c r="T92" s="105">
        <f t="shared" si="12"/>
        <v>6.0243427744743006E-2</v>
      </c>
      <c r="U92" s="105"/>
      <c r="V92" s="105"/>
      <c r="W92" s="91">
        <v>1985</v>
      </c>
      <c r="X92" s="92">
        <v>2.23</v>
      </c>
      <c r="Y92" s="89">
        <f t="shared" si="19"/>
        <v>4.5969706161137438</v>
      </c>
      <c r="Z92" s="103">
        <f t="shared" si="13"/>
        <v>-0.38067298578199049</v>
      </c>
      <c r="AA92" s="89">
        <f t="shared" si="14"/>
        <v>5.8309859099477643</v>
      </c>
      <c r="AB92" s="91">
        <v>1985</v>
      </c>
      <c r="AC92" s="96">
        <v>5.05</v>
      </c>
      <c r="AD92" s="96">
        <f t="shared" si="20"/>
        <v>10.320668246445496</v>
      </c>
      <c r="AE92" s="89">
        <f t="shared" si="15"/>
        <v>13.883729531694097</v>
      </c>
      <c r="AF92" s="91">
        <v>1985</v>
      </c>
      <c r="AG92" s="95">
        <v>27.56</v>
      </c>
      <c r="AH92" s="96">
        <f t="shared" si="18"/>
        <v>56.324280568720376</v>
      </c>
      <c r="AI92" s="89">
        <f t="shared" si="16"/>
        <v>37.790639004438447</v>
      </c>
      <c r="AJ92" s="100"/>
      <c r="AK92" s="100"/>
      <c r="AL92" s="81">
        <v>1985</v>
      </c>
      <c r="AM92" s="81">
        <v>105.5</v>
      </c>
    </row>
    <row r="93" spans="1:39" x14ac:dyDescent="0.2">
      <c r="A93" s="86">
        <v>1986</v>
      </c>
      <c r="B93" s="87">
        <v>1150000</v>
      </c>
      <c r="C93" s="87">
        <v>4210000</v>
      </c>
      <c r="D93" s="87">
        <v>547000</v>
      </c>
      <c r="E93" s="87">
        <v>378000</v>
      </c>
      <c r="F93" s="87">
        <v>4840000</v>
      </c>
      <c r="G93" s="89">
        <v>110</v>
      </c>
      <c r="H93" s="89">
        <v>109.6</v>
      </c>
      <c r="I93" s="89">
        <f t="shared" si="17"/>
        <v>218.27372262773724</v>
      </c>
      <c r="J93" s="103">
        <f t="shared" si="7"/>
        <v>-0.19872113606078079</v>
      </c>
      <c r="K93" s="89">
        <f t="shared" si="8"/>
        <v>261.32349768334552</v>
      </c>
      <c r="L93" s="89">
        <f t="shared" si="9"/>
        <v>389.96413793103443</v>
      </c>
      <c r="M93" s="89">
        <f t="shared" si="10"/>
        <v>131.6609796367639</v>
      </c>
      <c r="N93" s="89">
        <v>164</v>
      </c>
      <c r="O93" s="87">
        <v>28800000</v>
      </c>
      <c r="P93" s="87">
        <f t="shared" si="21"/>
        <v>47213114.754098363</v>
      </c>
      <c r="Q93" s="101">
        <f t="shared" si="22"/>
        <v>-1.3698630136986356E-2</v>
      </c>
      <c r="R93" s="104">
        <f t="shared" si="11"/>
        <v>3.156771072438954E-2</v>
      </c>
      <c r="S93" s="104">
        <f t="shared" si="6"/>
        <v>1.2242667207708946E-2</v>
      </c>
      <c r="T93" s="105">
        <f t="shared" si="12"/>
        <v>1.6749517495398214E-2</v>
      </c>
      <c r="U93" s="105"/>
      <c r="V93" s="105"/>
      <c r="W93" s="91">
        <v>1986</v>
      </c>
      <c r="X93" s="92">
        <v>1.5</v>
      </c>
      <c r="Y93" s="89">
        <f t="shared" si="19"/>
        <v>2.9764598540145983</v>
      </c>
      <c r="Z93" s="103">
        <f t="shared" si="13"/>
        <v>-0.59899635036496357</v>
      </c>
      <c r="AA93" s="89">
        <f t="shared" si="14"/>
        <v>5.8309859099477643</v>
      </c>
      <c r="AB93" s="91">
        <v>1986</v>
      </c>
      <c r="AC93" s="96">
        <v>4.78</v>
      </c>
      <c r="AD93" s="96">
        <f t="shared" si="20"/>
        <v>9.4034288321167896</v>
      </c>
      <c r="AE93" s="89">
        <f t="shared" si="15"/>
        <v>13.883729531694097</v>
      </c>
      <c r="AF93" s="91">
        <v>1986</v>
      </c>
      <c r="AG93" s="95">
        <v>14.43</v>
      </c>
      <c r="AH93" s="96">
        <f t="shared" si="18"/>
        <v>28.387338503649634</v>
      </c>
      <c r="AI93" s="89">
        <f t="shared" si="16"/>
        <v>37.790639004438447</v>
      </c>
      <c r="AJ93" s="100"/>
      <c r="AK93" s="100"/>
      <c r="AL93" s="81">
        <v>1986</v>
      </c>
      <c r="AM93" s="81">
        <v>109.6</v>
      </c>
    </row>
    <row r="94" spans="1:39" x14ac:dyDescent="0.2">
      <c r="A94" s="86">
        <v>1987</v>
      </c>
      <c r="B94" s="87">
        <v>1490000</v>
      </c>
      <c r="C94" s="87">
        <v>4070000</v>
      </c>
      <c r="D94" s="87">
        <v>470000</v>
      </c>
      <c r="E94" s="87">
        <v>155000</v>
      </c>
      <c r="F94" s="87">
        <v>5090000</v>
      </c>
      <c r="G94" s="89">
        <v>124</v>
      </c>
      <c r="H94" s="89">
        <v>111.2</v>
      </c>
      <c r="I94" s="89">
        <f t="shared" si="17"/>
        <v>242.5136690647482</v>
      </c>
      <c r="J94" s="103">
        <f t="shared" si="7"/>
        <v>-0.10973673377374393</v>
      </c>
      <c r="K94" s="89">
        <f t="shared" si="8"/>
        <v>261.32349768334552</v>
      </c>
      <c r="L94" s="89">
        <f t="shared" si="9"/>
        <v>389.96413793103443</v>
      </c>
      <c r="M94" s="89">
        <f t="shared" si="10"/>
        <v>131.6609796367639</v>
      </c>
      <c r="N94" s="89">
        <v>178</v>
      </c>
      <c r="O94" s="87">
        <v>30500000</v>
      </c>
      <c r="P94" s="87">
        <f t="shared" si="21"/>
        <v>50000000</v>
      </c>
      <c r="Q94" s="101">
        <f t="shared" si="22"/>
        <v>5.9027777777777679E-2</v>
      </c>
      <c r="R94" s="104">
        <f t="shared" si="11"/>
        <v>3.156771072438954E-2</v>
      </c>
      <c r="S94" s="104">
        <f t="shared" si="6"/>
        <v>4.478457225494159E-2</v>
      </c>
      <c r="T94" s="105">
        <f t="shared" si="12"/>
        <v>1.3469631556057848E-2</v>
      </c>
      <c r="U94" s="87"/>
      <c r="V94" s="90"/>
      <c r="W94" s="91">
        <v>1987</v>
      </c>
      <c r="X94" s="92">
        <v>1.94</v>
      </c>
      <c r="Y94" s="89">
        <f t="shared" si="19"/>
        <v>3.7941654676258989</v>
      </c>
      <c r="Z94" s="103">
        <f t="shared" si="13"/>
        <v>-0.48883093525179855</v>
      </c>
      <c r="AA94" s="89">
        <f t="shared" si="14"/>
        <v>5.8309859099477643</v>
      </c>
      <c r="AB94" s="91">
        <v>1987</v>
      </c>
      <c r="AC94" s="96">
        <v>5.88</v>
      </c>
      <c r="AD94" s="96">
        <f t="shared" si="20"/>
        <v>11.400960431654674</v>
      </c>
      <c r="AE94" s="89">
        <f t="shared" si="15"/>
        <v>13.883729531694097</v>
      </c>
      <c r="AF94" s="91">
        <v>1987</v>
      </c>
      <c r="AG94" s="106">
        <v>18.435039400000001</v>
      </c>
      <c r="AH94" s="96">
        <f t="shared" si="18"/>
        <v>35.744414074046759</v>
      </c>
      <c r="AI94" s="89">
        <f t="shared" si="16"/>
        <v>37.790639004438447</v>
      </c>
      <c r="AJ94" s="100"/>
      <c r="AK94" s="100"/>
      <c r="AL94" s="81">
        <v>1987</v>
      </c>
      <c r="AM94" s="81">
        <v>111.2</v>
      </c>
    </row>
    <row r="95" spans="1:39" x14ac:dyDescent="0.2">
      <c r="A95" s="86">
        <v>1988</v>
      </c>
      <c r="B95" s="87">
        <v>1430000</v>
      </c>
      <c r="C95" s="87">
        <v>4220000</v>
      </c>
      <c r="D95" s="87">
        <v>380000</v>
      </c>
      <c r="E95" s="87">
        <v>248000</v>
      </c>
      <c r="F95" s="87">
        <v>5260000</v>
      </c>
      <c r="G95" s="89">
        <v>164</v>
      </c>
      <c r="H95" s="89">
        <v>115.7</v>
      </c>
      <c r="I95" s="89">
        <f t="shared" si="17"/>
        <v>308.26897147796024</v>
      </c>
      <c r="J95" s="103">
        <f t="shared" si="7"/>
        <v>0.13164978486596213</v>
      </c>
      <c r="K95" s="89">
        <f t="shared" si="8"/>
        <v>261.32349768334552</v>
      </c>
      <c r="L95" s="89">
        <f t="shared" si="9"/>
        <v>389.96413793103443</v>
      </c>
      <c r="M95" s="89">
        <f t="shared" si="10"/>
        <v>131.6609796367639</v>
      </c>
      <c r="N95" s="89">
        <v>226</v>
      </c>
      <c r="O95" s="87">
        <v>31800000</v>
      </c>
      <c r="P95" s="87">
        <f t="shared" si="21"/>
        <v>52131147.54098361</v>
      </c>
      <c r="Q95" s="101">
        <f t="shared" si="22"/>
        <v>4.2622950819672267E-2</v>
      </c>
      <c r="R95" s="104">
        <f t="shared" si="11"/>
        <v>3.156771072438954E-2</v>
      </c>
      <c r="S95" s="104">
        <f t="shared" si="6"/>
        <v>3.0232654899902123E-2</v>
      </c>
      <c r="T95" s="105">
        <f t="shared" si="12"/>
        <v>2.8840589364026892E-2</v>
      </c>
      <c r="U95" s="87"/>
      <c r="V95" s="90"/>
      <c r="W95" s="91">
        <v>1988</v>
      </c>
      <c r="X95" s="92">
        <v>2.54</v>
      </c>
      <c r="Y95" s="89">
        <f t="shared" si="19"/>
        <v>4.7744096802074321</v>
      </c>
      <c r="Z95" s="103">
        <f t="shared" si="13"/>
        <v>-0.3567675021607607</v>
      </c>
      <c r="AA95" s="89">
        <f t="shared" si="14"/>
        <v>5.8309859099477643</v>
      </c>
      <c r="AB95" s="91">
        <v>1988</v>
      </c>
      <c r="AC95" s="96">
        <v>7.42</v>
      </c>
      <c r="AD95" s="96">
        <f t="shared" si="20"/>
        <v>13.827365600691444</v>
      </c>
      <c r="AE95" s="89">
        <f t="shared" si="15"/>
        <v>13.883729531694097</v>
      </c>
      <c r="AF95" s="91">
        <v>1988</v>
      </c>
      <c r="AG95" s="106">
        <v>14.923841700000001</v>
      </c>
      <c r="AH95" s="96">
        <f t="shared" si="18"/>
        <v>27.810972419507348</v>
      </c>
      <c r="AI95" s="89">
        <f t="shared" si="16"/>
        <v>37.790639004438447</v>
      </c>
      <c r="AJ95" s="100"/>
      <c r="AK95" s="100"/>
      <c r="AL95" s="81">
        <v>1988</v>
      </c>
      <c r="AM95" s="81">
        <v>115.7</v>
      </c>
    </row>
    <row r="96" spans="1:39" x14ac:dyDescent="0.2">
      <c r="A96" s="86">
        <v>1989</v>
      </c>
      <c r="B96" s="87">
        <v>1540000</v>
      </c>
      <c r="C96" s="87">
        <v>3410000</v>
      </c>
      <c r="D96" s="87">
        <v>446000</v>
      </c>
      <c r="E96" s="87">
        <v>307000</v>
      </c>
      <c r="F96" s="87">
        <v>4500000</v>
      </c>
      <c r="G96" s="89">
        <v>172</v>
      </c>
      <c r="H96" s="89">
        <v>121.1</v>
      </c>
      <c r="I96" s="89">
        <f t="shared" si="17"/>
        <v>308.889843104872</v>
      </c>
      <c r="J96" s="103">
        <f t="shared" si="7"/>
        <v>0.13392899331063801</v>
      </c>
      <c r="K96" s="89">
        <f t="shared" si="8"/>
        <v>261.32349768334552</v>
      </c>
      <c r="L96" s="89">
        <f t="shared" si="9"/>
        <v>389.96413793103443</v>
      </c>
      <c r="M96" s="89">
        <f t="shared" si="10"/>
        <v>131.6609796367639</v>
      </c>
      <c r="N96" s="89">
        <v>226</v>
      </c>
      <c r="O96" s="87">
        <v>29300000</v>
      </c>
      <c r="P96" s="87">
        <f t="shared" si="21"/>
        <v>48032786.885245904</v>
      </c>
      <c r="Q96" s="101">
        <f t="shared" si="22"/>
        <v>-7.8616352201257844E-2</v>
      </c>
      <c r="R96" s="104">
        <f t="shared" si="11"/>
        <v>3.156771072438954E-2</v>
      </c>
      <c r="S96" s="104">
        <f t="shared" si="6"/>
        <v>0</v>
      </c>
      <c r="T96" s="105">
        <f t="shared" si="12"/>
        <v>5.7538665589431659E-3</v>
      </c>
      <c r="U96" s="87"/>
      <c r="V96" s="90"/>
      <c r="W96" s="91">
        <v>1989</v>
      </c>
      <c r="X96" s="92">
        <v>2.36</v>
      </c>
      <c r="Y96" s="89">
        <f t="shared" si="19"/>
        <v>4.2382559867877792</v>
      </c>
      <c r="Z96" s="103">
        <f t="shared" si="13"/>
        <v>-0.42900082576383147</v>
      </c>
      <c r="AA96" s="89">
        <f t="shared" si="14"/>
        <v>5.8309859099477643</v>
      </c>
      <c r="AB96" s="91">
        <v>1989</v>
      </c>
      <c r="AC96" s="96">
        <v>5.69</v>
      </c>
      <c r="AD96" s="96">
        <f t="shared" si="20"/>
        <v>10.130643270024773</v>
      </c>
      <c r="AE96" s="89">
        <f t="shared" si="15"/>
        <v>13.883729531694097</v>
      </c>
      <c r="AF96" s="91">
        <v>1989</v>
      </c>
      <c r="AG96" s="106">
        <v>18.226113300000002</v>
      </c>
      <c r="AH96" s="96">
        <f t="shared" si="18"/>
        <v>32.450307915879442</v>
      </c>
      <c r="AI96" s="89">
        <f t="shared" si="16"/>
        <v>37.790639004438447</v>
      </c>
      <c r="AJ96" s="100"/>
      <c r="AK96" s="100"/>
      <c r="AL96" s="81">
        <v>1989</v>
      </c>
      <c r="AM96" s="81">
        <v>121.1</v>
      </c>
    </row>
    <row r="97" spans="1:39" x14ac:dyDescent="0.2">
      <c r="A97" s="86">
        <v>1990</v>
      </c>
      <c r="B97" s="87">
        <v>1720000</v>
      </c>
      <c r="C97" s="87">
        <v>4160000</v>
      </c>
      <c r="D97" s="87">
        <v>470000</v>
      </c>
      <c r="E97" s="87">
        <v>303000</v>
      </c>
      <c r="F97" s="87">
        <v>5410000</v>
      </c>
      <c r="G97" s="89">
        <v>132</v>
      </c>
      <c r="H97" s="89">
        <v>127.4</v>
      </c>
      <c r="I97" s="89">
        <f t="shared" si="17"/>
        <v>225.33249607535319</v>
      </c>
      <c r="J97" s="103">
        <f t="shared" si="7"/>
        <v>-0.17280850717985796</v>
      </c>
      <c r="K97" s="89">
        <f t="shared" si="8"/>
        <v>261.32349768334552</v>
      </c>
      <c r="L97" s="89">
        <f t="shared" si="9"/>
        <v>389.96413793103443</v>
      </c>
      <c r="M97" s="89">
        <f t="shared" si="10"/>
        <v>131.6609796367639</v>
      </c>
      <c r="N97" s="89">
        <v>164</v>
      </c>
      <c r="O97" s="87">
        <v>27500000</v>
      </c>
      <c r="P97" s="87">
        <f t="shared" si="21"/>
        <v>45081967.213114753</v>
      </c>
      <c r="Q97" s="101">
        <f t="shared" si="22"/>
        <v>-6.1433447098976135E-2</v>
      </c>
      <c r="R97" s="104">
        <f t="shared" si="11"/>
        <v>3.156771072438954E-2</v>
      </c>
      <c r="S97" s="104">
        <f t="shared" si="6"/>
        <v>-1.1924869313395758E-2</v>
      </c>
      <c r="T97" s="105">
        <f t="shared" si="12"/>
        <v>-3.3924760041499913E-2</v>
      </c>
      <c r="U97" s="87"/>
      <c r="V97" s="90"/>
      <c r="W97" s="91">
        <v>1990</v>
      </c>
      <c r="X97" s="92">
        <v>2.2799999999999998</v>
      </c>
      <c r="Y97" s="89">
        <f t="shared" si="19"/>
        <v>3.8921067503924642</v>
      </c>
      <c r="Z97" s="103">
        <f t="shared" si="13"/>
        <v>-0.47563579277864998</v>
      </c>
      <c r="AA97" s="89">
        <f t="shared" si="14"/>
        <v>5.8309859099477643</v>
      </c>
      <c r="AB97" s="91">
        <v>1990</v>
      </c>
      <c r="AC97" s="96">
        <v>5.74</v>
      </c>
      <c r="AD97" s="96">
        <f t="shared" si="20"/>
        <v>9.7142967032967036</v>
      </c>
      <c r="AE97" s="89">
        <f t="shared" si="15"/>
        <v>13.883729531694097</v>
      </c>
      <c r="AF97" s="91">
        <v>1990</v>
      </c>
      <c r="AG97" s="106">
        <v>23.725820299999999</v>
      </c>
      <c r="AH97" s="96">
        <f t="shared" si="18"/>
        <v>40.153250509285705</v>
      </c>
      <c r="AI97" s="89">
        <f t="shared" si="16"/>
        <v>37.790639004438447</v>
      </c>
      <c r="AJ97" s="100"/>
      <c r="AK97" s="100"/>
      <c r="AL97" s="81">
        <v>1990</v>
      </c>
      <c r="AM97" s="81">
        <v>127.4</v>
      </c>
    </row>
    <row r="98" spans="1:39" x14ac:dyDescent="0.2">
      <c r="A98" s="86">
        <v>1991</v>
      </c>
      <c r="B98" s="87">
        <v>1710000</v>
      </c>
      <c r="C98" s="87">
        <v>4160000</v>
      </c>
      <c r="D98" s="87">
        <v>624000</v>
      </c>
      <c r="E98" s="87">
        <v>343000</v>
      </c>
      <c r="F98" s="87">
        <v>5240000</v>
      </c>
      <c r="G98" s="89">
        <v>163</v>
      </c>
      <c r="H98" s="89">
        <v>134.6</v>
      </c>
      <c r="I98" s="89">
        <f t="shared" si="17"/>
        <v>263.36731054977713</v>
      </c>
      <c r="J98" s="103">
        <f t="shared" si="7"/>
        <v>-3.3183395346389033E-2</v>
      </c>
      <c r="K98" s="89">
        <f t="shared" si="8"/>
        <v>261.32349768334552</v>
      </c>
      <c r="L98" s="89">
        <f t="shared" si="9"/>
        <v>389.96413793103443</v>
      </c>
      <c r="M98" s="89">
        <f t="shared" si="10"/>
        <v>131.6609796367639</v>
      </c>
      <c r="N98" s="89">
        <v>195</v>
      </c>
      <c r="O98" s="87">
        <v>26100000</v>
      </c>
      <c r="P98" s="87">
        <f t="shared" si="21"/>
        <v>42786885.245901637</v>
      </c>
      <c r="Q98" s="101">
        <f t="shared" si="22"/>
        <v>-5.0909090909090904E-2</v>
      </c>
      <c r="R98" s="104">
        <f t="shared" si="11"/>
        <v>3.156771072438954E-2</v>
      </c>
      <c r="S98" s="104">
        <f t="shared" si="6"/>
        <v>-1.9495471272725995E-2</v>
      </c>
      <c r="T98" s="105">
        <f t="shared" si="12"/>
        <v>-6.3722768150229814E-2</v>
      </c>
      <c r="U98" s="87"/>
      <c r="V98" s="90"/>
      <c r="W98" s="91">
        <v>1991</v>
      </c>
      <c r="X98" s="92">
        <v>2.37</v>
      </c>
      <c r="Y98" s="89">
        <f t="shared" si="19"/>
        <v>3.8293283803863298</v>
      </c>
      <c r="Z98" s="103">
        <f t="shared" si="13"/>
        <v>-0.48409361069836554</v>
      </c>
      <c r="AA98" s="89">
        <f t="shared" si="14"/>
        <v>5.8309859099477643</v>
      </c>
      <c r="AB98" s="91">
        <v>1991</v>
      </c>
      <c r="AC98" s="96">
        <v>5.58</v>
      </c>
      <c r="AD98" s="96">
        <f t="shared" si="20"/>
        <v>8.9383640416047534</v>
      </c>
      <c r="AE98" s="89">
        <f t="shared" si="15"/>
        <v>13.883729531694097</v>
      </c>
      <c r="AF98" s="91">
        <v>1991</v>
      </c>
      <c r="AG98" s="106">
        <v>20.0033852</v>
      </c>
      <c r="AH98" s="96">
        <f t="shared" si="18"/>
        <v>32.042569710044582</v>
      </c>
      <c r="AI98" s="89">
        <f t="shared" si="16"/>
        <v>37.790639004438447</v>
      </c>
      <c r="AJ98" s="100"/>
      <c r="AK98" s="100"/>
      <c r="AL98" s="81">
        <v>1991</v>
      </c>
      <c r="AM98" s="81">
        <v>134.6</v>
      </c>
    </row>
    <row r="99" spans="1:39" x14ac:dyDescent="0.2">
      <c r="A99" s="86">
        <v>1992</v>
      </c>
      <c r="B99" s="87">
        <v>1770000</v>
      </c>
      <c r="C99" s="87">
        <v>4250000</v>
      </c>
      <c r="D99" s="87">
        <v>663000</v>
      </c>
      <c r="E99" s="87">
        <v>283000</v>
      </c>
      <c r="F99" s="87">
        <v>5350000</v>
      </c>
      <c r="G99" s="89">
        <v>171</v>
      </c>
      <c r="H99" s="89">
        <v>138.1</v>
      </c>
      <c r="I99" s="89">
        <f t="shared" si="17"/>
        <v>269.29094858797976</v>
      </c>
      <c r="J99" s="103">
        <f t="shared" si="7"/>
        <v>-1.1437827897882169E-2</v>
      </c>
      <c r="K99" s="89">
        <f t="shared" si="8"/>
        <v>261.32349768334552</v>
      </c>
      <c r="L99" s="89">
        <f t="shared" si="9"/>
        <v>389.96413793103443</v>
      </c>
      <c r="M99" s="89">
        <f t="shared" si="10"/>
        <v>131.6609796367639</v>
      </c>
      <c r="N99" s="89">
        <v>198</v>
      </c>
      <c r="O99" s="87">
        <v>23900000</v>
      </c>
      <c r="P99" s="87">
        <f t="shared" si="21"/>
        <v>39180327.868852459</v>
      </c>
      <c r="Q99" s="101">
        <f t="shared" si="22"/>
        <v>-8.4291187739463536E-2</v>
      </c>
      <c r="R99" s="104">
        <f t="shared" si="11"/>
        <v>3.156771072438954E-2</v>
      </c>
      <c r="S99" s="104">
        <f t="shared" si="6"/>
        <v>-4.7599505290692568E-2</v>
      </c>
      <c r="T99" s="105">
        <f t="shared" si="12"/>
        <v>-6.5648916540796409E-2</v>
      </c>
      <c r="U99" s="87"/>
      <c r="V99" s="90"/>
      <c r="W99" s="91">
        <v>1992</v>
      </c>
      <c r="X99" s="92">
        <v>2.0699999999999998</v>
      </c>
      <c r="Y99" s="89">
        <f t="shared" si="19"/>
        <v>3.2598377986965965</v>
      </c>
      <c r="Z99" s="103">
        <f t="shared" si="13"/>
        <v>-0.56081824764663279</v>
      </c>
      <c r="AA99" s="89">
        <f t="shared" si="14"/>
        <v>5.8309859099477643</v>
      </c>
      <c r="AB99" s="91">
        <v>1992</v>
      </c>
      <c r="AC99" s="96">
        <v>5.56</v>
      </c>
      <c r="AD99" s="96">
        <f t="shared" si="20"/>
        <v>8.6806053584359155</v>
      </c>
      <c r="AE99" s="89">
        <f t="shared" si="15"/>
        <v>13.883729531694097</v>
      </c>
      <c r="AF99" s="91">
        <v>1992</v>
      </c>
      <c r="AG99" s="106">
        <v>19.3208366</v>
      </c>
      <c r="AH99" s="96">
        <f t="shared" si="18"/>
        <v>30.164848510687911</v>
      </c>
      <c r="AI99" s="89">
        <f t="shared" si="16"/>
        <v>37.790639004438447</v>
      </c>
      <c r="AJ99" s="100"/>
      <c r="AK99" s="100"/>
      <c r="AL99" s="81">
        <v>1992</v>
      </c>
      <c r="AM99" s="81">
        <v>138.1</v>
      </c>
    </row>
    <row r="100" spans="1:39" x14ac:dyDescent="0.2">
      <c r="A100" s="86">
        <v>1993</v>
      </c>
      <c r="B100" s="87">
        <v>1480000</v>
      </c>
      <c r="C100" s="87">
        <v>4360000</v>
      </c>
      <c r="D100" s="87">
        <v>415000</v>
      </c>
      <c r="E100" s="87">
        <v>305000</v>
      </c>
      <c r="F100" s="87">
        <v>5430000</v>
      </c>
      <c r="G100" s="89">
        <v>159</v>
      </c>
      <c r="H100" s="89">
        <v>142.6</v>
      </c>
      <c r="I100" s="89">
        <f t="shared" si="17"/>
        <v>242.49172510518935</v>
      </c>
      <c r="J100" s="103">
        <f t="shared" si="7"/>
        <v>-0.10981728964998028</v>
      </c>
      <c r="K100" s="89">
        <f t="shared" si="8"/>
        <v>261.32349768334552</v>
      </c>
      <c r="L100" s="89">
        <f t="shared" si="9"/>
        <v>389.96413793103443</v>
      </c>
      <c r="M100" s="89">
        <f t="shared" si="10"/>
        <v>131.6609796367639</v>
      </c>
      <c r="N100" s="89">
        <v>180</v>
      </c>
      <c r="O100" s="87">
        <v>20400000</v>
      </c>
      <c r="P100" s="87">
        <f t="shared" si="21"/>
        <v>33442622.950819671</v>
      </c>
      <c r="Q100" s="101">
        <f t="shared" si="22"/>
        <v>-0.14644351464435146</v>
      </c>
      <c r="R100" s="104">
        <f t="shared" si="11"/>
        <v>3.156771072438954E-2</v>
      </c>
      <c r="S100" s="104">
        <f t="shared" si="6"/>
        <v>-8.4958882709912698E-2</v>
      </c>
      <c r="T100" s="105">
        <f t="shared" si="12"/>
        <v>-9.4755646573771113E-2</v>
      </c>
      <c r="U100" s="87"/>
      <c r="V100" s="90"/>
      <c r="W100" s="91">
        <v>1993</v>
      </c>
      <c r="X100" s="92">
        <v>2.5</v>
      </c>
      <c r="Y100" s="89">
        <f t="shared" si="19"/>
        <v>3.8127629733520334</v>
      </c>
      <c r="Z100" s="103">
        <f t="shared" si="13"/>
        <v>-0.48632538569424966</v>
      </c>
      <c r="AA100" s="89">
        <f t="shared" si="14"/>
        <v>5.8309859099477643</v>
      </c>
      <c r="AB100" s="91">
        <v>1993</v>
      </c>
      <c r="AC100" s="96">
        <v>6.4</v>
      </c>
      <c r="AD100" s="96">
        <f t="shared" si="20"/>
        <v>9.6767461430575032</v>
      </c>
      <c r="AE100" s="89">
        <f t="shared" si="15"/>
        <v>13.883729531694097</v>
      </c>
      <c r="AF100" s="91">
        <v>1993</v>
      </c>
      <c r="AG100" s="106">
        <v>16.9716342</v>
      </c>
      <c r="AH100" s="96">
        <f t="shared" si="18"/>
        <v>25.660968091598878</v>
      </c>
      <c r="AI100" s="89">
        <f t="shared" si="16"/>
        <v>37.790639004438447</v>
      </c>
      <c r="AJ100" s="100"/>
      <c r="AK100" s="100"/>
      <c r="AL100" s="81">
        <v>1993</v>
      </c>
      <c r="AM100" s="81">
        <v>142.6</v>
      </c>
    </row>
    <row r="101" spans="1:39" x14ac:dyDescent="0.2">
      <c r="A101" s="86">
        <v>1994</v>
      </c>
      <c r="B101" s="87">
        <v>1470000</v>
      </c>
      <c r="C101" s="87">
        <v>4800000</v>
      </c>
      <c r="D101" s="87">
        <v>464000</v>
      </c>
      <c r="E101" s="87">
        <v>234000</v>
      </c>
      <c r="F101" s="87">
        <v>5810000</v>
      </c>
      <c r="G101" s="89">
        <v>159</v>
      </c>
      <c r="H101" s="89">
        <v>146.19999999999999</v>
      </c>
      <c r="I101" s="89">
        <f t="shared" si="17"/>
        <v>236.52065663474693</v>
      </c>
      <c r="J101" s="103">
        <f t="shared" si="7"/>
        <v>-0.1317369733521695</v>
      </c>
      <c r="K101" s="89">
        <f t="shared" si="8"/>
        <v>261.32349768334552</v>
      </c>
      <c r="L101" s="89">
        <f t="shared" si="9"/>
        <v>389.96413793103443</v>
      </c>
      <c r="M101" s="89">
        <f t="shared" si="10"/>
        <v>131.6609796367639</v>
      </c>
      <c r="N101" s="89">
        <v>175</v>
      </c>
      <c r="O101" s="87">
        <v>23100000</v>
      </c>
      <c r="P101" s="87">
        <f t="shared" si="21"/>
        <v>37868852.459016398</v>
      </c>
      <c r="Q101" s="101">
        <f t="shared" si="22"/>
        <v>0.13235294117647078</v>
      </c>
      <c r="R101" s="104">
        <f t="shared" si="11"/>
        <v>3.156771072438954E-2</v>
      </c>
      <c r="S101" s="104">
        <f t="shared" si="6"/>
        <v>-4.6438140403147199E-2</v>
      </c>
      <c r="T101" s="105">
        <f t="shared" si="12"/>
        <v>-3.9883741197771161E-2</v>
      </c>
      <c r="U101" s="87"/>
      <c r="V101" s="90"/>
      <c r="W101" s="91">
        <v>1994</v>
      </c>
      <c r="X101" s="92">
        <v>2.2599999999999998</v>
      </c>
      <c r="Y101" s="89">
        <f t="shared" si="19"/>
        <v>3.361865937072503</v>
      </c>
      <c r="Z101" s="103">
        <f t="shared" si="13"/>
        <v>-0.5470725034199726</v>
      </c>
      <c r="AA101" s="89">
        <f t="shared" si="14"/>
        <v>5.8309859099477643</v>
      </c>
      <c r="AB101" s="91">
        <v>1994</v>
      </c>
      <c r="AC101" s="96">
        <v>5.48</v>
      </c>
      <c r="AD101" s="96">
        <f t="shared" si="20"/>
        <v>8.0816880984952117</v>
      </c>
      <c r="AE101" s="89">
        <f t="shared" si="15"/>
        <v>13.883729531694097</v>
      </c>
      <c r="AF101" s="91">
        <v>1994</v>
      </c>
      <c r="AG101" s="106">
        <v>15.817315199999999</v>
      </c>
      <c r="AH101" s="96">
        <f t="shared" si="18"/>
        <v>23.326753285034201</v>
      </c>
      <c r="AI101" s="89">
        <f t="shared" si="16"/>
        <v>37.790639004438447</v>
      </c>
      <c r="AJ101" s="100"/>
      <c r="AK101" s="100"/>
      <c r="AL101" s="81">
        <v>1994</v>
      </c>
      <c r="AM101" s="81">
        <v>146.19999999999999</v>
      </c>
    </row>
    <row r="102" spans="1:39" x14ac:dyDescent="0.2">
      <c r="A102" s="86">
        <v>1995</v>
      </c>
      <c r="B102" s="87">
        <v>1400000</v>
      </c>
      <c r="C102" s="87">
        <v>4830000</v>
      </c>
      <c r="D102" s="87">
        <v>409000</v>
      </c>
      <c r="E102" s="87">
        <v>312000</v>
      </c>
      <c r="F102" s="87">
        <v>5820000</v>
      </c>
      <c r="G102" s="89">
        <v>152</v>
      </c>
      <c r="H102" s="89">
        <v>150.30000000000001</v>
      </c>
      <c r="I102" s="89">
        <f t="shared" si="17"/>
        <v>219.93985362608115</v>
      </c>
      <c r="J102" s="103">
        <f t="shared" si="7"/>
        <v>-0.19260479948368481</v>
      </c>
      <c r="K102" s="89">
        <f t="shared" si="8"/>
        <v>261.32349768334552</v>
      </c>
      <c r="L102" s="89">
        <f t="shared" si="9"/>
        <v>389.96413793103443</v>
      </c>
      <c r="M102" s="89">
        <f t="shared" si="10"/>
        <v>131.6609796367639</v>
      </c>
      <c r="N102" s="89">
        <v>163</v>
      </c>
      <c r="O102" s="87">
        <v>24700000</v>
      </c>
      <c r="P102" s="87">
        <f t="shared" si="21"/>
        <v>40491803.278688528</v>
      </c>
      <c r="Q102" s="101">
        <f t="shared" si="22"/>
        <v>6.9264069264069139E-2</v>
      </c>
      <c r="R102" s="104">
        <f t="shared" si="11"/>
        <v>3.156771072438954E-2</v>
      </c>
      <c r="S102" s="104">
        <f t="shared" si="6"/>
        <v>-2.1247573216310878E-2</v>
      </c>
      <c r="T102" s="105">
        <f t="shared" si="12"/>
        <v>1.1035373682780181E-2</v>
      </c>
      <c r="U102" s="87"/>
      <c r="V102" s="90"/>
      <c r="W102" s="91">
        <v>1995</v>
      </c>
      <c r="X102" s="92">
        <v>3.24</v>
      </c>
      <c r="Y102" s="89">
        <f t="shared" si="19"/>
        <v>4.688191616766467</v>
      </c>
      <c r="Z102" s="103">
        <f t="shared" si="13"/>
        <v>-0.36838323353293412</v>
      </c>
      <c r="AA102" s="89">
        <f t="shared" si="14"/>
        <v>5.8309859099477643</v>
      </c>
      <c r="AB102" s="91">
        <v>1995</v>
      </c>
      <c r="AC102" s="96">
        <v>6.72</v>
      </c>
      <c r="AD102" s="96">
        <f t="shared" si="20"/>
        <v>9.6400479041916149</v>
      </c>
      <c r="AE102" s="89">
        <f t="shared" si="15"/>
        <v>13.883729531694097</v>
      </c>
      <c r="AF102" s="91">
        <v>1995</v>
      </c>
      <c r="AG102" s="106">
        <v>17.016679700000001</v>
      </c>
      <c r="AH102" s="96">
        <f t="shared" si="18"/>
        <v>24.410953493792412</v>
      </c>
      <c r="AI102" s="89">
        <f t="shared" si="16"/>
        <v>37.790639004438447</v>
      </c>
      <c r="AJ102" s="100"/>
      <c r="AK102" s="100"/>
      <c r="AL102" s="81">
        <v>1995</v>
      </c>
      <c r="AM102" s="81">
        <v>150.30000000000001</v>
      </c>
    </row>
    <row r="103" spans="1:39" x14ac:dyDescent="0.2">
      <c r="A103" s="86">
        <v>1996</v>
      </c>
      <c r="B103" s="87">
        <v>1430000</v>
      </c>
      <c r="C103" s="87">
        <v>4950000</v>
      </c>
      <c r="D103" s="87">
        <v>481000</v>
      </c>
      <c r="E103" s="87">
        <v>265000</v>
      </c>
      <c r="F103" s="87">
        <v>5900000</v>
      </c>
      <c r="G103" s="89">
        <v>146</v>
      </c>
      <c r="H103" s="89">
        <v>154.4</v>
      </c>
      <c r="I103" s="89">
        <f t="shared" si="17"/>
        <v>205.64818652849738</v>
      </c>
      <c r="J103" s="103">
        <f t="shared" si="7"/>
        <v>-0.24506924933997831</v>
      </c>
      <c r="K103" s="89">
        <f t="shared" si="8"/>
        <v>261.32349768334552</v>
      </c>
      <c r="L103" s="89">
        <f t="shared" si="9"/>
        <v>389.96413793103443</v>
      </c>
      <c r="M103" s="89">
        <f t="shared" si="10"/>
        <v>131.6609796367639</v>
      </c>
      <c r="N103" s="89">
        <v>152</v>
      </c>
      <c r="O103" s="87">
        <v>23900000</v>
      </c>
      <c r="P103" s="87">
        <f t="shared" si="21"/>
        <v>39180327.868852459</v>
      </c>
      <c r="Q103" s="101">
        <f t="shared" si="22"/>
        <v>-3.238866396761142E-2</v>
      </c>
      <c r="R103" s="104">
        <f t="shared" si="11"/>
        <v>3.156771072438954E-2</v>
      </c>
      <c r="S103" s="104">
        <f t="shared" si="6"/>
        <v>-1.7457197279998726E-2</v>
      </c>
      <c r="T103" s="105">
        <f t="shared" si="12"/>
        <v>5.4198946422640004E-2</v>
      </c>
      <c r="U103" s="87"/>
      <c r="V103" s="90"/>
      <c r="W103" s="91">
        <v>1996</v>
      </c>
      <c r="X103" s="92">
        <v>2.71</v>
      </c>
      <c r="Y103" s="89">
        <f t="shared" si="19"/>
        <v>3.8171683937823828</v>
      </c>
      <c r="Z103" s="103">
        <f t="shared" si="13"/>
        <v>-0.48573186528497414</v>
      </c>
      <c r="AA103" s="89">
        <f t="shared" si="14"/>
        <v>5.8309859099477643</v>
      </c>
      <c r="AB103" s="91">
        <v>1996</v>
      </c>
      <c r="AC103" s="96">
        <v>7.35</v>
      </c>
      <c r="AD103" s="96">
        <f t="shared" si="20"/>
        <v>10.263818005181346</v>
      </c>
      <c r="AE103" s="89">
        <f t="shared" si="15"/>
        <v>13.883729531694097</v>
      </c>
      <c r="AF103" s="91">
        <v>1996</v>
      </c>
      <c r="AG103" s="106">
        <v>20.668488400000001</v>
      </c>
      <c r="AH103" s="96">
        <f t="shared" si="18"/>
        <v>28.862258963238343</v>
      </c>
      <c r="AI103" s="89">
        <f t="shared" si="16"/>
        <v>37.790639004438447</v>
      </c>
      <c r="AJ103" s="100"/>
      <c r="AK103" s="100"/>
      <c r="AL103" s="81">
        <v>1996</v>
      </c>
      <c r="AM103" s="81">
        <v>154.4</v>
      </c>
    </row>
    <row r="104" spans="1:39" x14ac:dyDescent="0.2">
      <c r="A104" s="86">
        <v>1997</v>
      </c>
      <c r="B104" s="87">
        <v>1400000</v>
      </c>
      <c r="C104" s="87">
        <v>5490000</v>
      </c>
      <c r="D104" s="87">
        <v>466000</v>
      </c>
      <c r="E104" s="87">
        <v>200000</v>
      </c>
      <c r="F104" s="87">
        <v>6430000</v>
      </c>
      <c r="G104" s="89">
        <v>145</v>
      </c>
      <c r="H104" s="89">
        <v>159.1</v>
      </c>
      <c r="I104" s="89">
        <f t="shared" si="17"/>
        <v>198.2061596480201</v>
      </c>
      <c r="J104" s="103">
        <f t="shared" si="7"/>
        <v>-0.27238879459904741</v>
      </c>
      <c r="K104" s="89">
        <f t="shared" si="8"/>
        <v>261.32349768334552</v>
      </c>
      <c r="L104" s="89">
        <f t="shared" si="9"/>
        <v>389.96413793103443</v>
      </c>
      <c r="M104" s="89">
        <f t="shared" si="10"/>
        <v>131.6609796367639</v>
      </c>
      <c r="N104" s="89">
        <v>147</v>
      </c>
      <c r="O104" s="87">
        <v>25500000</v>
      </c>
      <c r="P104" s="87">
        <f t="shared" si="21"/>
        <v>41803278.688524589</v>
      </c>
      <c r="Q104" s="101">
        <f t="shared" si="22"/>
        <v>6.6945606694560622E-2</v>
      </c>
      <c r="R104" s="104">
        <f t="shared" si="11"/>
        <v>3.156771072438954E-2</v>
      </c>
      <c r="S104" s="104">
        <f t="shared" si="6"/>
        <v>1.3044343403284753E-2</v>
      </c>
      <c r="T104" s="105">
        <f t="shared" si="12"/>
        <v>3.3497428041154853E-2</v>
      </c>
      <c r="U104" s="87"/>
      <c r="V104" s="90"/>
      <c r="W104" s="91">
        <v>1997</v>
      </c>
      <c r="X104" s="92">
        <v>2.4300000000000002</v>
      </c>
      <c r="Y104" s="89">
        <f t="shared" si="19"/>
        <v>3.3216618478944064</v>
      </c>
      <c r="Z104" s="103">
        <f t="shared" si="13"/>
        <v>-0.55248900062853545</v>
      </c>
      <c r="AA104" s="89">
        <f t="shared" si="14"/>
        <v>5.8309859099477643</v>
      </c>
      <c r="AB104" s="91">
        <v>1997</v>
      </c>
      <c r="AC104" s="96">
        <v>6.47</v>
      </c>
      <c r="AD104" s="96">
        <f t="shared" si="20"/>
        <v>8.768049654305468</v>
      </c>
      <c r="AE104" s="89">
        <f t="shared" si="15"/>
        <v>13.883729531694097</v>
      </c>
      <c r="AF104" s="91">
        <v>1997</v>
      </c>
      <c r="AG104" s="106">
        <v>19.0925875</v>
      </c>
      <c r="AH104" s="96">
        <f t="shared" si="18"/>
        <v>25.873996171433063</v>
      </c>
      <c r="AI104" s="89">
        <f t="shared" si="16"/>
        <v>37.790639004438447</v>
      </c>
      <c r="AJ104" s="100"/>
      <c r="AK104" s="100"/>
      <c r="AL104" s="81">
        <v>1997</v>
      </c>
      <c r="AM104" s="81">
        <v>159.1</v>
      </c>
    </row>
    <row r="105" spans="1:39" x14ac:dyDescent="0.2">
      <c r="A105" s="86">
        <v>1998</v>
      </c>
      <c r="B105" s="87">
        <v>1300000</v>
      </c>
      <c r="C105" s="87">
        <v>4780000</v>
      </c>
      <c r="D105" s="87">
        <v>477000</v>
      </c>
      <c r="E105" s="87">
        <v>300000</v>
      </c>
      <c r="F105" s="87">
        <v>5600000</v>
      </c>
      <c r="G105" s="89">
        <v>174</v>
      </c>
      <c r="H105" s="89">
        <v>161.6</v>
      </c>
      <c r="I105" s="89">
        <f t="shared" si="17"/>
        <v>234.16782178217821</v>
      </c>
      <c r="J105" s="103">
        <f t="shared" si="7"/>
        <v>-0.14037418728248852</v>
      </c>
      <c r="K105" s="89">
        <f t="shared" si="8"/>
        <v>261.32349768334552</v>
      </c>
      <c r="L105" s="89">
        <f t="shared" si="9"/>
        <v>389.96413793103443</v>
      </c>
      <c r="M105" s="89">
        <f t="shared" si="10"/>
        <v>131.6609796367639</v>
      </c>
      <c r="N105" s="89">
        <v>174</v>
      </c>
      <c r="O105" s="87">
        <v>26000000</v>
      </c>
      <c r="P105" s="87">
        <f t="shared" si="21"/>
        <v>42622950.81967213</v>
      </c>
      <c r="Q105" s="101">
        <f t="shared" si="22"/>
        <v>1.9607843137254832E-2</v>
      </c>
      <c r="R105" s="104">
        <f t="shared" si="11"/>
        <v>3.156771072438954E-2</v>
      </c>
      <c r="S105" s="104">
        <f t="shared" si="6"/>
        <v>4.9708311950775741E-2</v>
      </c>
      <c r="T105" s="105">
        <f t="shared" si="12"/>
        <v>1.724476819110099E-2</v>
      </c>
      <c r="U105" s="87"/>
      <c r="V105" s="90"/>
      <c r="W105" s="91">
        <v>1998</v>
      </c>
      <c r="X105" s="92">
        <v>1.94</v>
      </c>
      <c r="Y105" s="89">
        <f t="shared" si="19"/>
        <v>2.6108366336633662</v>
      </c>
      <c r="Z105" s="103">
        <f t="shared" si="13"/>
        <v>-0.64825495049504944</v>
      </c>
      <c r="AA105" s="89">
        <f t="shared" si="14"/>
        <v>5.8309859099477643</v>
      </c>
      <c r="AB105" s="91">
        <v>1998</v>
      </c>
      <c r="AC105" s="96">
        <v>4.93</v>
      </c>
      <c r="AD105" s="96">
        <f t="shared" si="20"/>
        <v>6.5777060643564349</v>
      </c>
      <c r="AE105" s="89">
        <f t="shared" si="15"/>
        <v>13.883729531694097</v>
      </c>
      <c r="AF105" s="91">
        <v>1998</v>
      </c>
      <c r="AG105" s="106">
        <v>12.7156615</v>
      </c>
      <c r="AH105" s="96">
        <f t="shared" si="18"/>
        <v>16.965493663459156</v>
      </c>
      <c r="AI105" s="89">
        <f t="shared" si="16"/>
        <v>37.790639004438447</v>
      </c>
      <c r="AJ105" s="100"/>
      <c r="AK105" s="100"/>
      <c r="AL105" s="81">
        <v>1998</v>
      </c>
      <c r="AM105" s="81">
        <v>161.6</v>
      </c>
    </row>
    <row r="106" spans="1:39" x14ac:dyDescent="0.2">
      <c r="A106" s="102">
        <v>1999</v>
      </c>
      <c r="B106" s="87">
        <v>1200000</v>
      </c>
      <c r="C106" s="87">
        <v>4470000</v>
      </c>
      <c r="D106" s="87">
        <v>459000</v>
      </c>
      <c r="E106" s="87">
        <v>300000</v>
      </c>
      <c r="F106" s="87">
        <v>5210000</v>
      </c>
      <c r="G106" s="89">
        <v>162</v>
      </c>
      <c r="H106" s="89">
        <v>164.3</v>
      </c>
      <c r="I106" s="89">
        <f t="shared" si="17"/>
        <v>214.43554473524037</v>
      </c>
      <c r="J106" s="103">
        <f t="shared" si="7"/>
        <v>-0.21281101726256724</v>
      </c>
      <c r="K106" s="89">
        <f t="shared" si="8"/>
        <v>261.32349768334552</v>
      </c>
      <c r="L106" s="89">
        <f t="shared" si="9"/>
        <v>389.96413793103443</v>
      </c>
      <c r="M106" s="89">
        <f t="shared" si="10"/>
        <v>131.6609796367639</v>
      </c>
      <c r="N106" s="89">
        <v>158</v>
      </c>
      <c r="O106" s="87">
        <v>27200000</v>
      </c>
      <c r="P106" s="87">
        <f t="shared" si="21"/>
        <v>44590163.934426233</v>
      </c>
      <c r="Q106" s="101">
        <f t="shared" si="22"/>
        <v>4.6153846153846212E-2</v>
      </c>
      <c r="R106" s="104">
        <f t="shared" si="11"/>
        <v>3.156771072438954E-2</v>
      </c>
      <c r="S106" s="104">
        <f t="shared" si="6"/>
        <v>3.3216623201004269E-2</v>
      </c>
      <c r="T106" s="105">
        <f t="shared" si="12"/>
        <v>4.4055697487814793E-2</v>
      </c>
      <c r="U106" s="87"/>
      <c r="V106" s="90"/>
      <c r="W106" s="91">
        <v>1999</v>
      </c>
      <c r="X106" s="92">
        <v>1.82</v>
      </c>
      <c r="Y106" s="89">
        <f t="shared" si="19"/>
        <v>2.4090906877662812</v>
      </c>
      <c r="Z106" s="103">
        <f t="shared" si="13"/>
        <v>-0.6754351795496043</v>
      </c>
      <c r="AA106" s="89">
        <f t="shared" si="14"/>
        <v>5.8309859099477643</v>
      </c>
      <c r="AB106" s="91">
        <v>1999</v>
      </c>
      <c r="AC106" s="96">
        <v>4.63</v>
      </c>
      <c r="AD106" s="96">
        <f t="shared" si="20"/>
        <v>6.075923919659159</v>
      </c>
      <c r="AE106" s="89">
        <f t="shared" si="15"/>
        <v>13.883729531694097</v>
      </c>
      <c r="AF106" s="91">
        <v>1999</v>
      </c>
      <c r="AG106" s="106">
        <v>17.970077799999999</v>
      </c>
      <c r="AH106" s="96">
        <f t="shared" si="18"/>
        <v>23.582035754461344</v>
      </c>
      <c r="AI106" s="89">
        <f t="shared" si="16"/>
        <v>37.790639004438447</v>
      </c>
      <c r="AJ106" s="100"/>
      <c r="AK106" s="100"/>
      <c r="AL106" s="81">
        <v>1999</v>
      </c>
      <c r="AM106" s="81">
        <v>164.3</v>
      </c>
    </row>
    <row r="107" spans="1:39" x14ac:dyDescent="0.2">
      <c r="A107" s="107">
        <v>2000</v>
      </c>
      <c r="B107" s="108">
        <v>1200000</v>
      </c>
      <c r="C107" s="108">
        <v>4610000</v>
      </c>
      <c r="D107" s="108">
        <v>367000</v>
      </c>
      <c r="E107" s="108">
        <v>301000</v>
      </c>
      <c r="F107" s="108">
        <v>5600000</v>
      </c>
      <c r="G107" s="108">
        <v>155</v>
      </c>
      <c r="H107" s="108">
        <v>168.8</v>
      </c>
      <c r="I107" s="89">
        <f t="shared" si="17"/>
        <v>199.70023696682463</v>
      </c>
      <c r="J107" s="103">
        <f t="shared" si="7"/>
        <v>-0.26690406394875832</v>
      </c>
      <c r="K107" s="89">
        <f t="shared" si="8"/>
        <v>261.32349768334552</v>
      </c>
      <c r="L107" s="89">
        <f t="shared" si="9"/>
        <v>389.96413793103443</v>
      </c>
      <c r="M107" s="89">
        <f t="shared" si="10"/>
        <v>131.6609796367639</v>
      </c>
      <c r="N107" s="108">
        <v>147</v>
      </c>
      <c r="O107" s="108">
        <v>27000000</v>
      </c>
      <c r="P107" s="108">
        <f t="shared" si="21"/>
        <v>44262295.081967212</v>
      </c>
      <c r="Q107" s="101">
        <f t="shared" si="22"/>
        <v>-7.3529411764706731E-3</v>
      </c>
      <c r="R107" s="104">
        <f t="shared" si="11"/>
        <v>3.156771072438954E-2</v>
      </c>
      <c r="S107" s="104">
        <f t="shared" si="6"/>
        <v>1.7966209420791523E-2</v>
      </c>
      <c r="T107" s="105">
        <f t="shared" si="12"/>
        <v>1.9235467531193207E-2</v>
      </c>
      <c r="U107" s="109" t="s">
        <v>156</v>
      </c>
      <c r="V107" s="110"/>
      <c r="W107" s="91">
        <v>2000</v>
      </c>
      <c r="X107" s="92">
        <v>1.85</v>
      </c>
      <c r="Y107" s="89">
        <f t="shared" si="19"/>
        <v>2.3835189573459714</v>
      </c>
      <c r="Z107" s="103">
        <f t="shared" si="13"/>
        <v>-0.67888033175355456</v>
      </c>
      <c r="AA107" s="89">
        <f t="shared" si="14"/>
        <v>5.8309859099477643</v>
      </c>
      <c r="AB107" s="91">
        <v>2000</v>
      </c>
      <c r="AC107" s="96">
        <v>4.54</v>
      </c>
      <c r="AD107" s="96">
        <f t="shared" si="20"/>
        <v>5.7989893364928902</v>
      </c>
      <c r="AE107" s="89">
        <f t="shared" si="15"/>
        <v>13.883729531694097</v>
      </c>
      <c r="AF107" s="91">
        <v>2000</v>
      </c>
      <c r="AG107" s="106">
        <v>28.495449199999999</v>
      </c>
      <c r="AH107" s="96">
        <f t="shared" si="18"/>
        <v>36.397534372109</v>
      </c>
      <c r="AI107" s="89">
        <f t="shared" si="16"/>
        <v>37.790639004438447</v>
      </c>
      <c r="AJ107" s="100"/>
      <c r="AK107" s="100"/>
      <c r="AL107" s="81">
        <v>2000</v>
      </c>
      <c r="AM107" s="81">
        <v>168.8</v>
      </c>
    </row>
    <row r="108" spans="1:39" x14ac:dyDescent="0.2">
      <c r="A108" s="107">
        <v>2001</v>
      </c>
      <c r="B108" s="108">
        <v>1100000</v>
      </c>
      <c r="C108" s="108">
        <v>4540000</v>
      </c>
      <c r="D108" s="108">
        <v>366000</v>
      </c>
      <c r="E108" s="108"/>
      <c r="F108" s="108">
        <v>5300000</v>
      </c>
      <c r="G108" s="108">
        <v>151</v>
      </c>
      <c r="H108" s="108">
        <v>175.1</v>
      </c>
      <c r="I108" s="89">
        <f t="shared" si="17"/>
        <v>187.54700171330666</v>
      </c>
      <c r="J108" s="103">
        <f t="shared" si="7"/>
        <v>-0.31151836941755362</v>
      </c>
      <c r="K108" s="89">
        <f t="shared" si="8"/>
        <v>261.32349768334552</v>
      </c>
      <c r="L108" s="89">
        <f t="shared" si="9"/>
        <v>389.96413793103443</v>
      </c>
      <c r="M108" s="89">
        <f t="shared" si="10"/>
        <v>131.6609796367639</v>
      </c>
      <c r="N108" s="108">
        <v>139</v>
      </c>
      <c r="O108" s="108">
        <v>26400000</v>
      </c>
      <c r="P108" s="108">
        <f t="shared" si="21"/>
        <v>43278688.524590164</v>
      </c>
      <c r="Q108" s="101">
        <f t="shared" si="22"/>
        <v>-2.2222222222222143E-2</v>
      </c>
      <c r="R108" s="104">
        <f t="shared" si="11"/>
        <v>3.156771072438954E-2</v>
      </c>
      <c r="S108" s="104">
        <f t="shared" si="6"/>
        <v>2.0096377158644207E-2</v>
      </c>
      <c r="T108" s="105">
        <f t="shared" si="12"/>
        <v>5.1021291341022401E-3</v>
      </c>
      <c r="U108" s="111">
        <v>43900000</v>
      </c>
      <c r="V108" s="112">
        <v>56000000</v>
      </c>
      <c r="W108" s="91">
        <v>2001</v>
      </c>
      <c r="X108" s="92">
        <v>1.97</v>
      </c>
      <c r="Y108" s="89">
        <f t="shared" si="19"/>
        <v>2.4468052541404912</v>
      </c>
      <c r="Z108" s="103">
        <f t="shared" si="13"/>
        <v>-0.67035408338092517</v>
      </c>
      <c r="AA108" s="89">
        <f t="shared" si="14"/>
        <v>5.8309859099477643</v>
      </c>
      <c r="AB108" s="91">
        <v>2001</v>
      </c>
      <c r="AC108" s="96">
        <v>4.38</v>
      </c>
      <c r="AD108" s="96">
        <f t="shared" si="20"/>
        <v>5.3933283837806965</v>
      </c>
      <c r="AE108" s="89">
        <f t="shared" si="15"/>
        <v>13.883729531694097</v>
      </c>
      <c r="AF108" s="91">
        <v>2001</v>
      </c>
      <c r="AG108" s="106">
        <v>24.443891099999998</v>
      </c>
      <c r="AH108" s="96">
        <f t="shared" si="18"/>
        <v>30.099071159743001</v>
      </c>
      <c r="AI108" s="89">
        <f t="shared" si="16"/>
        <v>37.790639004438447</v>
      </c>
      <c r="AJ108" s="100"/>
      <c r="AK108" s="100"/>
      <c r="AL108" s="81">
        <v>2001</v>
      </c>
      <c r="AM108" s="81">
        <v>175.1</v>
      </c>
    </row>
    <row r="109" spans="1:39" x14ac:dyDescent="0.2">
      <c r="A109" s="107">
        <v>2002</v>
      </c>
      <c r="B109" s="108">
        <v>1200000</v>
      </c>
      <c r="C109" s="108">
        <v>4620000</v>
      </c>
      <c r="D109" s="108">
        <v>371000</v>
      </c>
      <c r="E109" s="108"/>
      <c r="F109" s="108">
        <v>5400000</v>
      </c>
      <c r="G109" s="108">
        <v>110</v>
      </c>
      <c r="H109" s="108">
        <v>177.1</v>
      </c>
      <c r="I109" s="89">
        <f t="shared" si="17"/>
        <v>135.08074534161491</v>
      </c>
      <c r="J109" s="103">
        <f t="shared" si="7"/>
        <v>-0.50412104185353801</v>
      </c>
      <c r="K109" s="89">
        <f t="shared" si="8"/>
        <v>261.32349768334552</v>
      </c>
      <c r="L109" s="89">
        <f t="shared" si="9"/>
        <v>389.96413793103443</v>
      </c>
      <c r="M109" s="89">
        <f t="shared" si="10"/>
        <v>131.6609796367639</v>
      </c>
      <c r="N109" s="108">
        <v>100</v>
      </c>
      <c r="O109" s="108">
        <v>27100000</v>
      </c>
      <c r="P109" s="108">
        <f t="shared" si="21"/>
        <v>44426229.508196719</v>
      </c>
      <c r="Q109" s="101">
        <f t="shared" si="22"/>
        <v>2.6515151515151381E-2</v>
      </c>
      <c r="R109" s="104">
        <f t="shared" si="11"/>
        <v>3.156771072438954E-2</v>
      </c>
      <c r="S109" s="104">
        <f t="shared" si="6"/>
        <v>1.2245423844838399E-2</v>
      </c>
      <c r="T109" s="105">
        <f t="shared" si="12"/>
        <v>-1.226995097293293E-3</v>
      </c>
      <c r="U109" s="111">
        <v>45500000</v>
      </c>
      <c r="V109" s="112">
        <v>56000000</v>
      </c>
      <c r="W109" s="91">
        <v>2002</v>
      </c>
      <c r="X109" s="92">
        <v>2.3199999999999998</v>
      </c>
      <c r="Y109" s="89">
        <f t="shared" si="19"/>
        <v>2.8489757199322416</v>
      </c>
      <c r="Z109" s="103">
        <f t="shared" si="13"/>
        <v>-0.61617165443252397</v>
      </c>
      <c r="AA109" s="89">
        <f t="shared" si="14"/>
        <v>5.8309859099477643</v>
      </c>
      <c r="AB109" s="91">
        <v>2002</v>
      </c>
      <c r="AC109" s="96">
        <v>5.53</v>
      </c>
      <c r="AD109" s="96">
        <f t="shared" si="20"/>
        <v>6.7324861660079058</v>
      </c>
      <c r="AE109" s="89">
        <f t="shared" si="15"/>
        <v>13.883729531694097</v>
      </c>
      <c r="AF109" s="91">
        <v>2002</v>
      </c>
      <c r="AG109" s="106">
        <v>25.023255800000001</v>
      </c>
      <c r="AH109" s="96">
        <f t="shared" si="18"/>
        <v>30.464506962382835</v>
      </c>
      <c r="AI109" s="89">
        <f t="shared" si="16"/>
        <v>37.790639004438447</v>
      </c>
      <c r="AJ109" s="100"/>
      <c r="AK109" s="100"/>
      <c r="AL109" s="81">
        <v>2002</v>
      </c>
      <c r="AM109" s="81">
        <v>177.1</v>
      </c>
    </row>
    <row r="110" spans="1:39" x14ac:dyDescent="0.2">
      <c r="A110" s="113">
        <v>2003</v>
      </c>
      <c r="B110" s="108">
        <v>1100000</v>
      </c>
      <c r="C110" s="108">
        <v>4720000</v>
      </c>
      <c r="D110" s="108">
        <v>329000</v>
      </c>
      <c r="E110" s="108"/>
      <c r="F110" s="108">
        <v>5600000</v>
      </c>
      <c r="G110" s="108">
        <v>110</v>
      </c>
      <c r="H110" s="108">
        <v>181.7</v>
      </c>
      <c r="I110" s="89">
        <f t="shared" si="17"/>
        <v>131.6609796367639</v>
      </c>
      <c r="J110" s="103">
        <f t="shared" si="7"/>
        <v>-0.51667493952813204</v>
      </c>
      <c r="K110" s="89">
        <f t="shared" si="8"/>
        <v>261.32349768334552</v>
      </c>
      <c r="L110" s="89">
        <f t="shared" si="9"/>
        <v>389.96413793103443</v>
      </c>
      <c r="M110" s="89">
        <f t="shared" si="10"/>
        <v>131.6609796367639</v>
      </c>
      <c r="N110" s="108">
        <v>97</v>
      </c>
      <c r="O110" s="108">
        <v>28600000</v>
      </c>
      <c r="P110" s="108">
        <f t="shared" si="21"/>
        <v>46885245.901639342</v>
      </c>
      <c r="Q110" s="101">
        <f t="shared" si="22"/>
        <v>5.5350553505534972E-2</v>
      </c>
      <c r="R110" s="104">
        <f t="shared" si="11"/>
        <v>3.156771072438954E-2</v>
      </c>
      <c r="S110" s="104">
        <f t="shared" si="6"/>
        <v>1.9244876491456564E-2</v>
      </c>
      <c r="T110" s="105">
        <f t="shared" si="12"/>
        <v>1.93752611781981E-2</v>
      </c>
      <c r="U110" s="111">
        <v>49100000</v>
      </c>
      <c r="V110" s="112">
        <v>56000000</v>
      </c>
      <c r="W110" s="91">
        <v>2003</v>
      </c>
      <c r="X110" s="92">
        <v>2.42</v>
      </c>
      <c r="Y110" s="89">
        <f t="shared" si="19"/>
        <v>2.8965415520088058</v>
      </c>
      <c r="Z110" s="103">
        <f t="shared" si="13"/>
        <v>-0.60976334617501371</v>
      </c>
      <c r="AA110" s="89">
        <f t="shared" si="14"/>
        <v>5.8309859099477643</v>
      </c>
      <c r="AB110" s="91">
        <v>2003</v>
      </c>
      <c r="AC110" s="96">
        <v>7.34</v>
      </c>
      <c r="AD110" s="96">
        <f t="shared" si="20"/>
        <v>8.7098370941111725</v>
      </c>
      <c r="AE110" s="89">
        <f t="shared" si="15"/>
        <v>13.883729531694097</v>
      </c>
      <c r="AF110" s="91">
        <v>2003</v>
      </c>
      <c r="AG110" s="106">
        <v>28.830703100000001</v>
      </c>
      <c r="AH110" s="96">
        <f t="shared" si="18"/>
        <v>34.21127075063842</v>
      </c>
      <c r="AI110" s="89">
        <f t="shared" si="16"/>
        <v>37.790639004438447</v>
      </c>
      <c r="AJ110" s="100"/>
      <c r="AK110" s="100"/>
      <c r="AL110" s="81">
        <v>2003</v>
      </c>
      <c r="AM110" s="81">
        <v>181.7</v>
      </c>
    </row>
    <row r="111" spans="1:39" x14ac:dyDescent="0.2">
      <c r="A111" s="107">
        <v>2004</v>
      </c>
      <c r="B111" s="87">
        <v>1200000</v>
      </c>
      <c r="C111" s="87">
        <v>4920000</v>
      </c>
      <c r="D111" s="87">
        <v>233000</v>
      </c>
      <c r="E111" s="87"/>
      <c r="F111" s="87">
        <v>6000000</v>
      </c>
      <c r="G111" s="87">
        <v>125</v>
      </c>
      <c r="H111" s="87">
        <v>185.2</v>
      </c>
      <c r="I111" s="89">
        <f t="shared" si="17"/>
        <v>146.78725701943844</v>
      </c>
      <c r="J111" s="103">
        <f t="shared" si="7"/>
        <v>-0.4611466505022922</v>
      </c>
      <c r="K111" s="89">
        <f t="shared" si="8"/>
        <v>261.32349768334552</v>
      </c>
      <c r="L111" s="89">
        <f t="shared" si="9"/>
        <v>389.96413793103443</v>
      </c>
      <c r="M111" s="89">
        <f t="shared" si="10"/>
        <v>131.6609796367639</v>
      </c>
      <c r="N111" s="87">
        <v>108</v>
      </c>
      <c r="O111" s="87">
        <v>32100000</v>
      </c>
      <c r="P111" s="87">
        <f t="shared" si="21"/>
        <v>52622950.81967213</v>
      </c>
      <c r="Q111" s="101">
        <f t="shared" si="22"/>
        <v>0.12237762237762251</v>
      </c>
      <c r="R111" s="104">
        <f t="shared" si="11"/>
        <v>3.156771072438954E-2</v>
      </c>
      <c r="S111" s="104">
        <f t="shared" si="6"/>
        <v>3.3682647190655501E-2</v>
      </c>
      <c r="T111" s="105">
        <f t="shared" si="12"/>
        <v>6.7334059925891809E-2</v>
      </c>
      <c r="U111" s="111">
        <v>54200000</v>
      </c>
      <c r="V111" s="112">
        <v>57000000</v>
      </c>
      <c r="W111" s="91">
        <v>2004</v>
      </c>
      <c r="X111" s="92">
        <v>2.06</v>
      </c>
      <c r="Y111" s="89">
        <f t="shared" si="19"/>
        <v>2.4190539956803456</v>
      </c>
      <c r="Z111" s="103">
        <f t="shared" si="13"/>
        <v>-0.67409287257019435</v>
      </c>
      <c r="AA111" s="89">
        <f t="shared" si="14"/>
        <v>5.8309859099477643</v>
      </c>
      <c r="AB111" s="91">
        <v>2004</v>
      </c>
      <c r="AC111" s="96">
        <v>5.74</v>
      </c>
      <c r="AD111" s="96">
        <f t="shared" si="20"/>
        <v>6.682512958963283</v>
      </c>
      <c r="AE111" s="89">
        <f t="shared" si="15"/>
        <v>13.883729531694097</v>
      </c>
      <c r="AF111" s="91">
        <v>2004</v>
      </c>
      <c r="AG111" s="106">
        <v>38.265000000000001</v>
      </c>
      <c r="AH111" s="96">
        <f t="shared" si="18"/>
        <v>44.548146058315332</v>
      </c>
      <c r="AI111" s="89">
        <f t="shared" si="16"/>
        <v>37.790639004438447</v>
      </c>
      <c r="AJ111" s="100"/>
      <c r="AK111" s="100"/>
      <c r="AL111" s="81">
        <v>2004</v>
      </c>
      <c r="AM111" s="81">
        <v>185.2</v>
      </c>
    </row>
    <row r="112" spans="1:39" x14ac:dyDescent="0.2">
      <c r="A112" s="113">
        <v>2005</v>
      </c>
      <c r="B112" s="87">
        <v>1200000</v>
      </c>
      <c r="C112" s="87">
        <v>4920000</v>
      </c>
      <c r="D112" s="87">
        <v>200000</v>
      </c>
      <c r="E112" s="87"/>
      <c r="F112" s="87">
        <v>5900000</v>
      </c>
      <c r="G112" s="87">
        <v>165</v>
      </c>
      <c r="H112" s="87">
        <v>190.7</v>
      </c>
      <c r="I112" s="89">
        <f t="shared" si="17"/>
        <v>188.17094913476666</v>
      </c>
      <c r="J112" s="103">
        <f t="shared" si="7"/>
        <v>-0.30922786978706007</v>
      </c>
      <c r="K112" s="89">
        <f t="shared" si="8"/>
        <v>261.32349768334552</v>
      </c>
      <c r="L112" s="89">
        <f t="shared" si="9"/>
        <v>389.96413793103443</v>
      </c>
      <c r="M112" s="89">
        <f t="shared" si="10"/>
        <v>131.6609796367639</v>
      </c>
      <c r="N112" s="87">
        <v>138</v>
      </c>
      <c r="O112" s="87">
        <v>33800000</v>
      </c>
      <c r="P112" s="87">
        <f t="shared" si="21"/>
        <v>55409836.065573774</v>
      </c>
      <c r="Q112" s="101">
        <f t="shared" si="22"/>
        <v>5.2959501557632516E-2</v>
      </c>
      <c r="R112" s="104">
        <f t="shared" si="11"/>
        <v>3.156771072438954E-2</v>
      </c>
      <c r="S112" s="104">
        <f t="shared" si="6"/>
        <v>4.5949188284475362E-2</v>
      </c>
      <c r="T112" s="105">
        <f t="shared" si="12"/>
        <v>7.642176323094918E-2</v>
      </c>
      <c r="U112" s="111">
        <v>54400000</v>
      </c>
      <c r="V112" s="112">
        <v>59000000</v>
      </c>
      <c r="W112" s="91">
        <v>2005</v>
      </c>
      <c r="X112" s="92">
        <v>2</v>
      </c>
      <c r="Y112" s="89">
        <f t="shared" si="19"/>
        <v>2.2808599895123232</v>
      </c>
      <c r="Z112" s="103">
        <f t="shared" si="13"/>
        <v>-0.69271106449921338</v>
      </c>
      <c r="AA112" s="89">
        <f t="shared" si="14"/>
        <v>5.8309859099477643</v>
      </c>
      <c r="AB112" s="91">
        <v>2005</v>
      </c>
      <c r="AC112" s="96">
        <v>5.66</v>
      </c>
      <c r="AD112" s="96">
        <f t="shared" si="20"/>
        <v>6.3993319349764031</v>
      </c>
      <c r="AE112" s="89">
        <f t="shared" si="15"/>
        <v>13.883729531694097</v>
      </c>
      <c r="AF112" s="91">
        <v>2005</v>
      </c>
      <c r="AG112" s="106">
        <v>54.521089500000002</v>
      </c>
      <c r="AH112" s="96">
        <f t="shared" si="18"/>
        <v>61.642853209727321</v>
      </c>
      <c r="AI112" s="89">
        <f t="shared" si="16"/>
        <v>37.790639004438447</v>
      </c>
      <c r="AJ112" s="100"/>
      <c r="AK112" s="100"/>
      <c r="AL112" s="81">
        <v>2005</v>
      </c>
      <c r="AM112" s="81">
        <v>190.7</v>
      </c>
    </row>
    <row r="113" spans="1:39" x14ac:dyDescent="0.2">
      <c r="A113" s="107">
        <v>2006</v>
      </c>
      <c r="B113" s="87">
        <v>1100000</v>
      </c>
      <c r="C113" s="87">
        <v>4470000</v>
      </c>
      <c r="D113" s="87">
        <v>332000</v>
      </c>
      <c r="E113" s="87"/>
      <c r="F113" s="87">
        <v>5200000</v>
      </c>
      <c r="G113" s="87">
        <v>170</v>
      </c>
      <c r="H113" s="87">
        <v>198.3</v>
      </c>
      <c r="I113" s="89">
        <f t="shared" si="17"/>
        <v>186.4427634896621</v>
      </c>
      <c r="J113" s="103">
        <f t="shared" si="7"/>
        <v>-0.31557200784323436</v>
      </c>
      <c r="K113" s="89">
        <f t="shared" si="8"/>
        <v>261.32349768334552</v>
      </c>
      <c r="L113" s="89">
        <f t="shared" si="9"/>
        <v>389.96413793103443</v>
      </c>
      <c r="M113" s="89">
        <f t="shared" si="10"/>
        <v>131.6609796367639</v>
      </c>
      <c r="N113" s="87">
        <v>137</v>
      </c>
      <c r="O113" s="87">
        <v>31200000</v>
      </c>
      <c r="P113" s="87">
        <f t="shared" si="21"/>
        <v>51147540.983606562</v>
      </c>
      <c r="Q113" s="101">
        <f t="shared" si="22"/>
        <v>-7.6923076923076872E-2</v>
      </c>
      <c r="R113" s="104">
        <f t="shared" si="11"/>
        <v>3.156771072438954E-2</v>
      </c>
      <c r="S113" s="104">
        <f t="shared" si="6"/>
        <v>3.3975226531950176E-2</v>
      </c>
      <c r="T113" s="105">
        <f t="shared" si="12"/>
        <v>2.9428498400178693E-2</v>
      </c>
      <c r="U113" s="111">
        <v>50700000</v>
      </c>
      <c r="V113" s="112">
        <v>60000000</v>
      </c>
      <c r="W113" s="91">
        <v>2006</v>
      </c>
      <c r="X113" s="92">
        <v>3.04</v>
      </c>
      <c r="Y113" s="89">
        <f t="shared" si="19"/>
        <v>3.3340353000504281</v>
      </c>
      <c r="Z113" s="103">
        <f t="shared" si="13"/>
        <v>-0.55082198688855277</v>
      </c>
      <c r="AA113" s="89">
        <f t="shared" si="14"/>
        <v>5.8309859099477643</v>
      </c>
      <c r="AB113" s="91">
        <v>2006</v>
      </c>
      <c r="AC113" s="96">
        <v>6.43</v>
      </c>
      <c r="AD113" s="96">
        <f t="shared" si="20"/>
        <v>6.9912874432677743</v>
      </c>
      <c r="AE113" s="89">
        <f t="shared" si="15"/>
        <v>13.883729531694097</v>
      </c>
      <c r="AF113" s="91">
        <v>2006</v>
      </c>
      <c r="AG113" s="106">
        <v>65.144062500000004</v>
      </c>
      <c r="AH113" s="96">
        <f t="shared" si="18"/>
        <v>70.830616821104385</v>
      </c>
      <c r="AI113" s="89">
        <f t="shared" si="16"/>
        <v>37.790639004438447</v>
      </c>
      <c r="AJ113" s="100"/>
      <c r="AK113" s="100"/>
      <c r="AL113" s="81">
        <v>2006</v>
      </c>
      <c r="AM113" s="81">
        <v>198.3</v>
      </c>
    </row>
    <row r="114" spans="1:39" x14ac:dyDescent="0.2">
      <c r="A114" s="107">
        <v>2007</v>
      </c>
      <c r="B114" s="87">
        <v>1100000</v>
      </c>
      <c r="C114" s="87">
        <v>4970000</v>
      </c>
      <c r="D114" s="87">
        <v>199000</v>
      </c>
      <c r="E114" s="87"/>
      <c r="F114" s="87">
        <v>5900000</v>
      </c>
      <c r="G114" s="87">
        <v>185</v>
      </c>
      <c r="H114" s="87">
        <f>AVERAGE(AM114:AM119)</f>
        <v>206.58425</v>
      </c>
      <c r="I114" s="89">
        <f t="shared" si="17"/>
        <v>194.75734476369809</v>
      </c>
      <c r="J114" s="103">
        <f t="shared" si="7"/>
        <v>-0.2850493312828849</v>
      </c>
      <c r="K114" s="89">
        <f t="shared" si="8"/>
        <v>261.32349768334552</v>
      </c>
      <c r="L114" s="89">
        <f t="shared" si="9"/>
        <v>389.96413793103443</v>
      </c>
      <c r="M114" s="89">
        <f t="shared" si="10"/>
        <v>131.6609796367639</v>
      </c>
      <c r="N114" s="87">
        <v>145</v>
      </c>
      <c r="O114" s="87">
        <v>35800000</v>
      </c>
      <c r="P114" s="87">
        <f t="shared" si="21"/>
        <v>58688524.590163939</v>
      </c>
      <c r="Q114" s="101">
        <f t="shared" si="22"/>
        <v>0.14743589743589736</v>
      </c>
      <c r="R114" s="104">
        <f t="shared" si="11"/>
        <v>3.156771072438954E-2</v>
      </c>
      <c r="S114" s="104">
        <f t="shared" si="6"/>
        <v>5.7262301951066519E-2</v>
      </c>
      <c r="T114" s="105">
        <f t="shared" si="12"/>
        <v>3.7033210639475067E-2</v>
      </c>
      <c r="U114" s="111">
        <v>58700000</v>
      </c>
      <c r="V114" s="112">
        <v>62000000</v>
      </c>
      <c r="W114" s="91">
        <v>2007</v>
      </c>
      <c r="X114" s="92">
        <v>4.2</v>
      </c>
      <c r="Y114" s="89">
        <f t="shared" si="19"/>
        <v>4.4215180973380104</v>
      </c>
      <c r="Z114" s="103">
        <f t="shared" si="13"/>
        <v>-0.40431083202131823</v>
      </c>
      <c r="AA114" s="89">
        <f t="shared" si="14"/>
        <v>5.8309859099477643</v>
      </c>
      <c r="AB114" s="91">
        <v>2007</v>
      </c>
      <c r="AC114" s="96">
        <v>10.1</v>
      </c>
      <c r="AD114" s="96">
        <f t="shared" si="20"/>
        <v>10.541273112543671</v>
      </c>
      <c r="AE114" s="89">
        <f t="shared" si="15"/>
        <v>13.883729531694097</v>
      </c>
      <c r="AF114" s="91">
        <v>2007</v>
      </c>
      <c r="AG114" s="106">
        <v>72.389078400000002</v>
      </c>
      <c r="AH114" s="96">
        <f t="shared" si="18"/>
        <v>75.551786710864931</v>
      </c>
      <c r="AI114" s="89">
        <f t="shared" si="16"/>
        <v>37.790639004438447</v>
      </c>
      <c r="AJ114" s="100"/>
      <c r="AK114" s="100"/>
      <c r="AL114" s="81">
        <v>2007.125</v>
      </c>
      <c r="AM114" s="81">
        <v>202.416</v>
      </c>
    </row>
    <row r="115" spans="1:39" ht="13.5" thickBot="1" x14ac:dyDescent="0.25">
      <c r="A115" s="107">
        <v>2008</v>
      </c>
      <c r="B115" s="87">
        <v>1100000</v>
      </c>
      <c r="C115" s="87">
        <v>5800000</v>
      </c>
      <c r="D115" s="87">
        <v>116000</v>
      </c>
      <c r="E115" s="87"/>
      <c r="F115" s="87">
        <v>6800000</v>
      </c>
      <c r="G115" s="87">
        <v>640</v>
      </c>
      <c r="H115" s="87">
        <f>AVERAGE(AM122:AM125)</f>
        <v>215.60999999999999</v>
      </c>
      <c r="I115" s="89">
        <f t="shared" si="17"/>
        <v>645.55076295162553</v>
      </c>
      <c r="J115" s="103">
        <f t="shared" si="7"/>
        <v>1.3698051040031278</v>
      </c>
      <c r="K115" s="89">
        <f>AVERAGE($I$67:$I$117)</f>
        <v>263.25833106210348</v>
      </c>
      <c r="L115" s="89">
        <f t="shared" si="9"/>
        <v>389.96413793103443</v>
      </c>
      <c r="M115" s="89">
        <f t="shared" si="10"/>
        <v>131.6609796367639</v>
      </c>
      <c r="N115" s="87">
        <v>485</v>
      </c>
      <c r="O115" s="87">
        <v>34800000</v>
      </c>
      <c r="P115" s="87">
        <f t="shared" si="21"/>
        <v>57049180.327868856</v>
      </c>
      <c r="Q115" s="101">
        <f t="shared" si="22"/>
        <v>-2.7932960893854775E-2</v>
      </c>
      <c r="R115" s="104">
        <f t="shared" si="11"/>
        <v>3.156771072438954E-2</v>
      </c>
      <c r="S115" s="104">
        <f>(P115/P110)^(1/5)-1</f>
        <v>4.0022277701749154E-2</v>
      </c>
      <c r="T115" s="105">
        <f t="shared" si="12"/>
        <v>9.7662429379399285E-3</v>
      </c>
      <c r="U115" s="111">
        <v>54500000</v>
      </c>
      <c r="V115" s="114">
        <v>62500000</v>
      </c>
      <c r="W115" s="115">
        <v>2008</v>
      </c>
      <c r="X115" s="116">
        <v>5.24</v>
      </c>
      <c r="Y115" s="89">
        <f t="shared" si="19"/>
        <v>5.2854468716664353</v>
      </c>
      <c r="Z115" s="103">
        <f t="shared" si="13"/>
        <v>-0.28791800009275992</v>
      </c>
      <c r="AA115" s="89">
        <f t="shared" si="14"/>
        <v>5.8309859099477643</v>
      </c>
      <c r="AB115" s="115">
        <v>2008</v>
      </c>
      <c r="AC115" s="96">
        <v>9.25</v>
      </c>
      <c r="AD115" s="96">
        <f t="shared" si="20"/>
        <v>9.25</v>
      </c>
      <c r="AE115" s="89">
        <f t="shared" si="15"/>
        <v>13.883729531694097</v>
      </c>
      <c r="AF115" s="115">
        <v>2008</v>
      </c>
      <c r="AG115" s="117">
        <v>97.255972799999995</v>
      </c>
      <c r="AH115" s="96">
        <f t="shared" si="18"/>
        <v>97.255972799999995</v>
      </c>
      <c r="AI115" s="89">
        <f t="shared" si="16"/>
        <v>37.790639004438447</v>
      </c>
      <c r="AJ115" s="100"/>
      <c r="AK115" s="100"/>
      <c r="AL115" s="81">
        <v>2007.375</v>
      </c>
      <c r="AM115" s="81">
        <v>206.68600000000001</v>
      </c>
    </row>
    <row r="116" spans="1:39" ht="13.5" thickBot="1" x14ac:dyDescent="0.25">
      <c r="A116" s="118">
        <v>2009</v>
      </c>
      <c r="B116" s="119"/>
      <c r="C116" s="119"/>
      <c r="D116" s="119"/>
      <c r="E116" s="119"/>
      <c r="F116" s="119"/>
      <c r="G116" s="120">
        <v>494</v>
      </c>
      <c r="H116" s="119">
        <v>214.49</v>
      </c>
      <c r="I116" s="89">
        <f t="shared" si="17"/>
        <v>500.88638164949413</v>
      </c>
      <c r="J116" s="121"/>
      <c r="K116" s="122"/>
      <c r="L116" s="89">
        <f t="shared" si="9"/>
        <v>389.96413793103443</v>
      </c>
      <c r="M116" s="89">
        <f t="shared" si="10"/>
        <v>131.6609796367639</v>
      </c>
      <c r="N116" s="119"/>
      <c r="O116" s="119"/>
      <c r="P116" s="111">
        <v>34700000</v>
      </c>
      <c r="Q116" s="101">
        <f t="shared" si="22"/>
        <v>-0.39175287356321842</v>
      </c>
      <c r="S116" s="104">
        <f>(P116/P111)^(1/5)-1</f>
        <v>-7.9908845620165092E-2</v>
      </c>
      <c r="T116" s="105">
        <f t="shared" si="12"/>
        <v>-0.12131157540099313</v>
      </c>
      <c r="U116" s="111">
        <v>32000000</v>
      </c>
      <c r="V116" s="123">
        <v>64000000</v>
      </c>
      <c r="W116" s="91">
        <v>2009</v>
      </c>
      <c r="X116" s="124">
        <v>3.75</v>
      </c>
      <c r="Y116" s="89">
        <f t="shared" si="19"/>
        <v>3.8022751643433255</v>
      </c>
      <c r="Z116" s="125"/>
      <c r="AA116" s="94"/>
      <c r="AC116" s="100"/>
      <c r="AD116" s="100"/>
      <c r="AE116" s="94"/>
      <c r="AG116" s="106"/>
      <c r="AH116" s="100"/>
      <c r="AI116" s="94"/>
      <c r="AJ116" s="100"/>
      <c r="AK116" s="100"/>
    </row>
    <row r="117" spans="1:39" ht="13.5" thickBot="1" x14ac:dyDescent="0.25">
      <c r="A117" s="118">
        <v>2010</v>
      </c>
      <c r="B117" s="119"/>
      <c r="C117" s="119"/>
      <c r="D117" s="119"/>
      <c r="E117" s="119"/>
      <c r="F117" s="119"/>
      <c r="G117" s="120">
        <v>360</v>
      </c>
      <c r="H117" s="126" t="s">
        <v>157</v>
      </c>
      <c r="I117" s="89">
        <f t="shared" si="17"/>
        <v>360.00000000000006</v>
      </c>
      <c r="J117" s="121"/>
      <c r="K117" s="122"/>
      <c r="L117" s="89">
        <f t="shared" si="9"/>
        <v>389.96413793103443</v>
      </c>
      <c r="M117" s="89">
        <f t="shared" si="10"/>
        <v>131.6609796367639</v>
      </c>
      <c r="N117" s="119"/>
      <c r="O117" s="119"/>
      <c r="P117" s="127"/>
      <c r="Q117" s="128">
        <f>AVERAGE(Q67:Q116)</f>
        <v>2.3101299038637384E-2</v>
      </c>
      <c r="R117" s="128"/>
      <c r="S117" s="128">
        <f>AVERAGE(S67:S116)</f>
        <v>2.8562366639102242E-2</v>
      </c>
      <c r="T117" s="128">
        <f>AVERAGE(T67:T116)</f>
        <v>2.7404729837971917E-2</v>
      </c>
      <c r="U117" s="123"/>
      <c r="V117" s="123"/>
      <c r="W117" s="115">
        <v>2010</v>
      </c>
      <c r="X117" s="124">
        <v>3.64</v>
      </c>
      <c r="Y117" s="89">
        <f t="shared" si="19"/>
        <v>3.64</v>
      </c>
      <c r="Z117" s="125"/>
      <c r="AA117" s="94"/>
      <c r="AC117" s="100"/>
      <c r="AD117" s="100"/>
      <c r="AE117" s="94"/>
      <c r="AG117" s="106"/>
      <c r="AH117" s="100"/>
      <c r="AI117" s="94"/>
      <c r="AJ117" s="100"/>
      <c r="AK117" s="100"/>
    </row>
    <row r="118" spans="1:39" ht="15.75" x14ac:dyDescent="0.2">
      <c r="A118" s="1149" t="s">
        <v>158</v>
      </c>
      <c r="B118" s="1149"/>
      <c r="C118" s="1149"/>
      <c r="D118" s="1149"/>
      <c r="E118" s="1149"/>
      <c r="F118" s="1149"/>
      <c r="G118" s="1149"/>
      <c r="H118" s="1149"/>
      <c r="I118" s="1149"/>
      <c r="J118" s="1149"/>
      <c r="K118" s="1149"/>
      <c r="L118" s="1149"/>
      <c r="M118" s="1149"/>
      <c r="N118" s="1149"/>
      <c r="O118" s="1149"/>
      <c r="P118" s="129"/>
      <c r="Q118" s="130">
        <f>(P115/P67)^(1/(2008-1960))-1</f>
        <v>2.8409506209154722E-2</v>
      </c>
      <c r="R118" s="130"/>
      <c r="S118" s="130"/>
      <c r="T118" s="130"/>
      <c r="U118" s="130"/>
      <c r="V118" s="130"/>
      <c r="W118" s="81">
        <f>V116*0.9</f>
        <v>57600000</v>
      </c>
      <c r="AL118" s="81">
        <v>2007.625</v>
      </c>
      <c r="AM118" s="81">
        <v>208.29900000000001</v>
      </c>
    </row>
    <row r="119" spans="1:39" x14ac:dyDescent="0.2">
      <c r="A119" s="1150" t="s">
        <v>159</v>
      </c>
      <c r="B119" s="1150"/>
      <c r="C119" s="1150"/>
      <c r="D119" s="1150"/>
      <c r="E119" s="1150"/>
      <c r="F119" s="1150"/>
      <c r="G119" s="1150"/>
      <c r="H119" s="1150"/>
      <c r="I119" s="1150"/>
      <c r="J119" s="1150"/>
      <c r="K119" s="1150"/>
      <c r="L119" s="1150"/>
      <c r="M119" s="1150"/>
      <c r="N119" s="1150"/>
      <c r="O119" s="1150"/>
      <c r="AL119" s="81">
        <v>2007.875</v>
      </c>
      <c r="AM119" s="81">
        <v>208.93600000000001</v>
      </c>
    </row>
    <row r="120" spans="1:39" x14ac:dyDescent="0.2">
      <c r="A120" s="131"/>
      <c r="B120" s="131"/>
      <c r="C120" s="131"/>
      <c r="D120" s="131"/>
      <c r="E120" s="131"/>
      <c r="F120" s="131"/>
      <c r="G120" s="131"/>
      <c r="H120" s="81">
        <f>(H117/H87)^(1/30)-1</f>
        <v>3.485934131405477E-2</v>
      </c>
      <c r="I120" s="131"/>
      <c r="J120" s="131"/>
      <c r="K120" s="131"/>
      <c r="L120" s="131"/>
      <c r="M120" s="131"/>
      <c r="N120" s="131"/>
      <c r="O120" s="131"/>
      <c r="R120" s="1151" t="s">
        <v>160</v>
      </c>
      <c r="S120" s="1151"/>
      <c r="T120" s="1151"/>
      <c r="U120" s="1151"/>
      <c r="V120" s="1151"/>
    </row>
    <row r="121" spans="1:39" x14ac:dyDescent="0.2">
      <c r="A121" s="131"/>
      <c r="B121" s="131"/>
      <c r="C121" s="131"/>
      <c r="D121" s="131"/>
      <c r="E121" s="131"/>
      <c r="F121" s="131"/>
      <c r="G121" s="131"/>
      <c r="H121" s="131"/>
      <c r="I121" s="131"/>
      <c r="J121" s="131"/>
      <c r="K121" s="131"/>
      <c r="L121" s="131"/>
      <c r="M121" s="131"/>
      <c r="N121" s="131"/>
      <c r="O121" s="131"/>
    </row>
    <row r="122" spans="1:39" ht="25.5" x14ac:dyDescent="0.2">
      <c r="T122" s="84" t="s">
        <v>161</v>
      </c>
      <c r="U122" s="84" t="s">
        <v>162</v>
      </c>
      <c r="V122" s="84" t="s">
        <v>146</v>
      </c>
      <c r="AL122" s="81">
        <v>2008.125</v>
      </c>
      <c r="AM122" s="81">
        <v>211.08</v>
      </c>
    </row>
    <row r="123" spans="1:39" x14ac:dyDescent="0.2">
      <c r="S123" s="81">
        <v>2001</v>
      </c>
      <c r="T123" s="97">
        <f t="shared" ref="T123:T131" si="23">P108/1000000</f>
        <v>43.278688524590166</v>
      </c>
      <c r="U123" s="97">
        <f>U108/1000000</f>
        <v>43.9</v>
      </c>
      <c r="V123" s="97">
        <f t="shared" ref="U123:V131" si="24">V108/1000000</f>
        <v>56</v>
      </c>
      <c r="AL123" s="81">
        <v>2008.375</v>
      </c>
      <c r="AM123" s="81">
        <v>214.82300000000001</v>
      </c>
    </row>
    <row r="124" spans="1:39" x14ac:dyDescent="0.2">
      <c r="S124" s="81">
        <v>2002</v>
      </c>
      <c r="T124" s="97">
        <f t="shared" si="23"/>
        <v>44.42622950819672</v>
      </c>
      <c r="U124" s="97">
        <f t="shared" si="24"/>
        <v>45.5</v>
      </c>
      <c r="V124" s="97">
        <f t="shared" si="24"/>
        <v>56</v>
      </c>
      <c r="AL124" s="81">
        <v>2008.625</v>
      </c>
      <c r="AM124" s="81">
        <v>219.964</v>
      </c>
    </row>
    <row r="125" spans="1:39" x14ac:dyDescent="0.2">
      <c r="S125" s="81">
        <v>2003</v>
      </c>
      <c r="T125" s="97">
        <f t="shared" si="23"/>
        <v>46.885245901639344</v>
      </c>
      <c r="U125" s="97">
        <f t="shared" si="24"/>
        <v>49.1</v>
      </c>
      <c r="V125" s="97">
        <f t="shared" si="24"/>
        <v>56</v>
      </c>
      <c r="AL125" s="81">
        <v>2008.875</v>
      </c>
      <c r="AM125" s="81">
        <v>216.57300000000001</v>
      </c>
    </row>
    <row r="126" spans="1:39" x14ac:dyDescent="0.2">
      <c r="S126" s="81">
        <v>2004</v>
      </c>
      <c r="T126" s="97">
        <f t="shared" si="23"/>
        <v>52.622950819672127</v>
      </c>
      <c r="U126" s="97">
        <f t="shared" si="24"/>
        <v>54.2</v>
      </c>
      <c r="V126" s="97">
        <f t="shared" si="24"/>
        <v>57</v>
      </c>
      <c r="AL126" s="81">
        <v>2009.125</v>
      </c>
      <c r="AM126" s="81">
        <v>211.143</v>
      </c>
    </row>
    <row r="127" spans="1:39" x14ac:dyDescent="0.2">
      <c r="S127" s="81">
        <v>2005</v>
      </c>
      <c r="T127" s="97">
        <f t="shared" si="23"/>
        <v>55.409836065573771</v>
      </c>
      <c r="U127" s="97">
        <f t="shared" si="24"/>
        <v>54.4</v>
      </c>
      <c r="V127" s="97">
        <f t="shared" si="24"/>
        <v>59</v>
      </c>
      <c r="AL127" s="81">
        <v>2009.375</v>
      </c>
      <c r="AM127" s="81">
        <v>213.24</v>
      </c>
    </row>
    <row r="128" spans="1:39" x14ac:dyDescent="0.2">
      <c r="S128" s="81">
        <v>2006</v>
      </c>
      <c r="T128" s="97">
        <f t="shared" si="23"/>
        <v>51.147540983606561</v>
      </c>
      <c r="U128" s="97">
        <f t="shared" si="24"/>
        <v>50.7</v>
      </c>
      <c r="V128" s="97">
        <f t="shared" si="24"/>
        <v>60</v>
      </c>
      <c r="AL128" s="81">
        <v>2009.625</v>
      </c>
      <c r="AM128" s="81">
        <v>215.351</v>
      </c>
    </row>
    <row r="129" spans="19:39" x14ac:dyDescent="0.2">
      <c r="S129" s="81">
        <v>2007</v>
      </c>
      <c r="T129" s="97">
        <f t="shared" si="23"/>
        <v>58.688524590163937</v>
      </c>
      <c r="U129" s="97">
        <f t="shared" si="24"/>
        <v>58.7</v>
      </c>
      <c r="V129" s="97">
        <f t="shared" si="24"/>
        <v>62</v>
      </c>
      <c r="AL129" s="81">
        <v>2009.875</v>
      </c>
      <c r="AM129" s="81">
        <v>216.17699999999999</v>
      </c>
    </row>
    <row r="130" spans="19:39" x14ac:dyDescent="0.2">
      <c r="S130" s="81">
        <v>2008</v>
      </c>
      <c r="T130" s="97">
        <f t="shared" si="23"/>
        <v>57.049180327868854</v>
      </c>
      <c r="U130" s="97">
        <f t="shared" si="24"/>
        <v>54.5</v>
      </c>
      <c r="V130" s="97">
        <f t="shared" si="24"/>
        <v>62.5</v>
      </c>
    </row>
    <row r="131" spans="19:39" x14ac:dyDescent="0.2">
      <c r="S131" s="81">
        <v>2009</v>
      </c>
      <c r="T131" s="97">
        <f t="shared" si="23"/>
        <v>34.700000000000003</v>
      </c>
      <c r="U131" s="97">
        <f t="shared" si="24"/>
        <v>32</v>
      </c>
      <c r="V131" s="97">
        <f t="shared" si="24"/>
        <v>64</v>
      </c>
    </row>
    <row r="132" spans="19:39" x14ac:dyDescent="0.2">
      <c r="V132" s="97"/>
    </row>
    <row r="133" spans="19:39" x14ac:dyDescent="0.2">
      <c r="V133" s="97"/>
    </row>
    <row r="134" spans="19:39" x14ac:dyDescent="0.2">
      <c r="V134" s="97"/>
    </row>
    <row r="135" spans="19:39" x14ac:dyDescent="0.2">
      <c r="V135" s="97"/>
    </row>
  </sheetData>
  <mergeCells count="11">
    <mergeCell ref="A1:O1"/>
    <mergeCell ref="A2:O2"/>
    <mergeCell ref="A3:O3"/>
    <mergeCell ref="A4:O4"/>
    <mergeCell ref="B5:P5"/>
    <mergeCell ref="AB5:AE5"/>
    <mergeCell ref="AF5:AI5"/>
    <mergeCell ref="A118:O118"/>
    <mergeCell ref="A119:O119"/>
    <mergeCell ref="R120:V120"/>
    <mergeCell ref="W5:AA5"/>
  </mergeCells>
  <printOptions horizontalCentered="1"/>
  <pageMargins left="0.5" right="0.5" top="0.5" bottom="0.5" header="0" footer="0"/>
  <pageSetup orientation="portrait" horizontalDpi="300" verticalDpi="300"/>
  <headerFooter alignWithMargins="0"/>
  <drawing r:id="rId1"/>
  <legacyDrawing r:id="rId2"/>
  <oleObjects>
    <mc:AlternateContent xmlns:mc="http://schemas.openxmlformats.org/markup-compatibility/2006">
      <mc:Choice Requires="x14">
        <oleObject progId="Document" dvAspect="DVASPECT_ICON" shapeId="8193" r:id="rId3">
          <objectPr defaultSize="0" autoPict="0" r:id="rId4">
            <anchor moveWithCells="1">
              <from>
                <xdr:col>15</xdr:col>
                <xdr:colOff>0</xdr:colOff>
                <xdr:row>0</xdr:row>
                <xdr:rowOff>0</xdr:rowOff>
              </from>
              <to>
                <xdr:col>16</xdr:col>
                <xdr:colOff>142875</xdr:colOff>
                <xdr:row>4</xdr:row>
                <xdr:rowOff>0</xdr:rowOff>
              </to>
            </anchor>
          </objectPr>
        </oleObject>
      </mc:Choice>
      <mc:Fallback>
        <oleObject progId="Document" dvAspect="DVASPECT_ICON" shapeId="8193" r:id="rId3"/>
      </mc:Fallback>
    </mc:AlternateContent>
    <mc:AlternateContent xmlns:mc="http://schemas.openxmlformats.org/markup-compatibility/2006">
      <mc:Choice Requires="x14">
        <oleObject progId="Document" dvAspect="DVASPECT_ICON" shapeId="8194" r:id="rId5">
          <objectPr defaultSize="0" autoPict="0" r:id="rId4">
            <anchor moveWithCells="1">
              <from>
                <xdr:col>28</xdr:col>
                <xdr:colOff>0</xdr:colOff>
                <xdr:row>0</xdr:row>
                <xdr:rowOff>0</xdr:rowOff>
              </from>
              <to>
                <xdr:col>29</xdr:col>
                <xdr:colOff>0</xdr:colOff>
                <xdr:row>4</xdr:row>
                <xdr:rowOff>0</xdr:rowOff>
              </to>
            </anchor>
          </objectPr>
        </oleObject>
      </mc:Choice>
      <mc:Fallback>
        <oleObject progId="Document" dvAspect="DVASPECT_ICON" shapeId="8194" r:id="rId5"/>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גיליון40"/>
  <dimension ref="A2:AF33"/>
  <sheetViews>
    <sheetView rightToLeft="1" topLeftCell="A4" workbookViewId="0">
      <selection activeCell="D33" sqref="D33"/>
    </sheetView>
  </sheetViews>
  <sheetFormatPr defaultRowHeight="12.75" x14ac:dyDescent="0.2"/>
  <cols>
    <col min="1" max="1" width="13.5703125" bestFit="1" customWidth="1"/>
    <col min="2" max="3" width="7.140625" bestFit="1" customWidth="1"/>
    <col min="4" max="4" width="8" bestFit="1" customWidth="1"/>
    <col min="5" max="5" width="10" bestFit="1" customWidth="1"/>
    <col min="6" max="32" width="9.5703125" bestFit="1" customWidth="1"/>
  </cols>
  <sheetData>
    <row r="2" spans="1:32" x14ac:dyDescent="0.2">
      <c r="B2">
        <v>1.23</v>
      </c>
      <c r="C2">
        <v>1.353</v>
      </c>
      <c r="D2">
        <v>1.343</v>
      </c>
      <c r="E2" s="183" t="e">
        <f>#REF!-('מחיר לטון אשלג מול מנית כיל'!B2+'מחיר לטון אשלג מול מנית כיל'!C2+'מחיר לטון אשלג מול מנית כיל'!D2)</f>
        <v>#REF!</v>
      </c>
      <c r="F2">
        <v>1.23</v>
      </c>
      <c r="G2">
        <v>1.4650000000000001</v>
      </c>
      <c r="H2">
        <v>1.179</v>
      </c>
      <c r="I2" s="183">
        <v>1.2259999999999991</v>
      </c>
      <c r="J2">
        <v>1.23</v>
      </c>
      <c r="K2">
        <v>1.244</v>
      </c>
      <c r="L2">
        <v>1.1850000000000001</v>
      </c>
      <c r="M2" s="183">
        <v>1.0619999999999998</v>
      </c>
      <c r="N2">
        <v>0.67700000000000005</v>
      </c>
      <c r="O2">
        <v>0.90100000000000002</v>
      </c>
      <c r="P2">
        <v>0.999</v>
      </c>
      <c r="Q2" s="183">
        <v>1.335</v>
      </c>
    </row>
    <row r="3" spans="1:32" ht="13.5" thickBot="1" x14ac:dyDescent="0.25">
      <c r="B3">
        <v>192.92</v>
      </c>
      <c r="C3">
        <v>191.75</v>
      </c>
      <c r="D3">
        <v>190.68199999999999</v>
      </c>
      <c r="E3" s="51" t="e">
        <f>#REF!</f>
        <v>#REF!</v>
      </c>
      <c r="F3">
        <v>206.64500000000001</v>
      </c>
      <c r="G3">
        <v>233.88300000000001</v>
      </c>
      <c r="H3">
        <v>227.602</v>
      </c>
      <c r="I3">
        <v>161.10800000000006</v>
      </c>
      <c r="J3">
        <v>236.99100000000001</v>
      </c>
      <c r="K3">
        <v>245.44499999999999</v>
      </c>
      <c r="L3">
        <v>233.63499999999999</v>
      </c>
      <c r="M3" s="51">
        <v>211.77999999999997</v>
      </c>
      <c r="N3">
        <v>143.71</v>
      </c>
      <c r="O3">
        <v>180.71899999999999</v>
      </c>
      <c r="P3">
        <v>197.42500000000001</v>
      </c>
      <c r="Q3" s="51">
        <v>269.50699999999995</v>
      </c>
    </row>
    <row r="4" spans="1:32" ht="13.5" thickTop="1" x14ac:dyDescent="0.2">
      <c r="B4" s="184" t="s">
        <v>255</v>
      </c>
      <c r="C4" s="184" t="s">
        <v>256</v>
      </c>
      <c r="D4" s="184" t="s">
        <v>257</v>
      </c>
      <c r="E4" s="184" t="s">
        <v>258</v>
      </c>
      <c r="F4" s="184" t="s">
        <v>210</v>
      </c>
      <c r="G4" s="184" t="s">
        <v>211</v>
      </c>
      <c r="H4" s="184" t="s">
        <v>212</v>
      </c>
      <c r="I4" s="184" t="s">
        <v>213</v>
      </c>
      <c r="J4" s="184" t="s">
        <v>214</v>
      </c>
      <c r="K4" s="184" t="s">
        <v>215</v>
      </c>
      <c r="L4" s="184" t="s">
        <v>216</v>
      </c>
      <c r="M4" s="184" t="s">
        <v>217</v>
      </c>
      <c r="N4" s="184" t="s">
        <v>218</v>
      </c>
      <c r="O4" s="184" t="s">
        <v>219</v>
      </c>
      <c r="P4" s="184" t="s">
        <v>220</v>
      </c>
      <c r="Q4" s="184" t="s">
        <v>221</v>
      </c>
      <c r="R4" s="184" t="s">
        <v>208</v>
      </c>
      <c r="S4" s="184" t="s">
        <v>207</v>
      </c>
      <c r="T4" s="184" t="s">
        <v>206</v>
      </c>
      <c r="U4" s="184" t="s">
        <v>205</v>
      </c>
      <c r="V4" s="184" t="s">
        <v>63</v>
      </c>
      <c r="W4" s="184" t="s">
        <v>64</v>
      </c>
      <c r="X4" s="184" t="s">
        <v>65</v>
      </c>
      <c r="Y4" s="184" t="s">
        <v>66</v>
      </c>
      <c r="Z4" s="184" t="s">
        <v>27</v>
      </c>
      <c r="AA4" s="184" t="s">
        <v>28</v>
      </c>
      <c r="AB4" s="184" t="s">
        <v>29</v>
      </c>
      <c r="AC4" s="184" t="s">
        <v>30</v>
      </c>
      <c r="AD4" s="184" t="s">
        <v>31</v>
      </c>
      <c r="AE4" s="184" t="s">
        <v>32</v>
      </c>
      <c r="AF4" s="184" t="s">
        <v>209</v>
      </c>
    </row>
    <row r="5" spans="1:32" x14ac:dyDescent="0.2">
      <c r="A5" s="49" t="s">
        <v>222</v>
      </c>
      <c r="B5" s="182">
        <f t="shared" ref="B5:Q5" si="0">B3/B2</f>
        <v>156.84552845528455</v>
      </c>
      <c r="C5" s="182">
        <f t="shared" si="0"/>
        <v>141.72209903917221</v>
      </c>
      <c r="D5" s="182">
        <f t="shared" si="0"/>
        <v>141.98212956068502</v>
      </c>
      <c r="E5" s="182" t="e">
        <f t="shared" si="0"/>
        <v>#REF!</v>
      </c>
      <c r="F5" s="182">
        <f t="shared" si="0"/>
        <v>168.00406504065043</v>
      </c>
      <c r="G5" s="182">
        <f t="shared" si="0"/>
        <v>159.64709897610922</v>
      </c>
      <c r="H5" s="182">
        <f t="shared" si="0"/>
        <v>193.04664970313826</v>
      </c>
      <c r="I5" s="182">
        <f t="shared" si="0"/>
        <v>131.40946166394795</v>
      </c>
      <c r="J5" s="182">
        <f t="shared" si="0"/>
        <v>192.67560975609757</v>
      </c>
      <c r="K5" s="182">
        <f t="shared" si="0"/>
        <v>197.30305466237942</v>
      </c>
      <c r="L5" s="182">
        <f t="shared" si="0"/>
        <v>197.16033755274259</v>
      </c>
      <c r="M5" s="182">
        <f t="shared" si="0"/>
        <v>199.41619585687383</v>
      </c>
      <c r="N5" s="182">
        <f t="shared" si="0"/>
        <v>212.27474150664696</v>
      </c>
      <c r="O5" s="182">
        <f t="shared" si="0"/>
        <v>200.5760266370699</v>
      </c>
      <c r="P5" s="182">
        <f t="shared" si="0"/>
        <v>197.62262262262263</v>
      </c>
      <c r="Q5" s="182">
        <f t="shared" si="0"/>
        <v>201.87790262172282</v>
      </c>
      <c r="R5" s="182">
        <v>209.86189258312021</v>
      </c>
      <c r="S5" s="182">
        <v>214.45520581113797</v>
      </c>
      <c r="T5" s="182">
        <v>235.52705707931801</v>
      </c>
      <c r="U5" s="182">
        <v>278.77972027972032</v>
      </c>
      <c r="V5" s="182">
        <v>376.3517985611511</v>
      </c>
      <c r="W5" s="182">
        <v>545.59094125973104</v>
      </c>
      <c r="X5" s="182">
        <v>708.29516539440203</v>
      </c>
      <c r="Y5" s="182">
        <v>598.14371257485107</v>
      </c>
      <c r="Z5" s="182">
        <v>681.18060200668901</v>
      </c>
      <c r="AA5" s="182">
        <v>598.50144092219011</v>
      </c>
      <c r="AB5" s="182">
        <v>461.56762513312032</v>
      </c>
      <c r="AC5" s="182">
        <v>429.68474923234396</v>
      </c>
      <c r="AD5" s="182">
        <v>390.28593872741561</v>
      </c>
      <c r="AE5" s="182">
        <v>356.34364261168383</v>
      </c>
      <c r="AF5" s="182">
        <v>360.10148514851483</v>
      </c>
    </row>
    <row r="6" spans="1:32" x14ac:dyDescent="0.2">
      <c r="A6" s="159" t="s">
        <v>259</v>
      </c>
      <c r="B6">
        <v>4.6661999999999999</v>
      </c>
      <c r="C6">
        <v>5.5770999999999997</v>
      </c>
      <c r="D6">
        <v>5.6253000000000002</v>
      </c>
      <c r="E6">
        <v>6.0016999999999996</v>
      </c>
      <c r="F6">
        <v>7.2366999999999999</v>
      </c>
      <c r="G6">
        <v>8.3742999999999999</v>
      </c>
      <c r="H6">
        <v>8.1630000000000003</v>
      </c>
      <c r="I6">
        <v>9.8323</v>
      </c>
      <c r="J6">
        <v>11.24</v>
      </c>
      <c r="K6">
        <v>13.95</v>
      </c>
      <c r="L6">
        <v>13.0214</v>
      </c>
      <c r="M6">
        <v>14.574999999999999</v>
      </c>
      <c r="N6">
        <v>13.9842</v>
      </c>
      <c r="O6">
        <v>15.1563</v>
      </c>
      <c r="P6">
        <v>16.338999999999999</v>
      </c>
      <c r="Q6">
        <v>21.44</v>
      </c>
      <c r="R6">
        <v>21.65</v>
      </c>
      <c r="S6">
        <v>29.13</v>
      </c>
      <c r="T6">
        <v>30.22</v>
      </c>
      <c r="U6">
        <v>42.74</v>
      </c>
      <c r="V6">
        <v>40.78</v>
      </c>
      <c r="W6">
        <v>67.430000000000007</v>
      </c>
      <c r="X6">
        <v>45.25</v>
      </c>
      <c r="Y6">
        <v>23.37</v>
      </c>
      <c r="Z6">
        <v>31.31</v>
      </c>
      <c r="AA6">
        <v>36.76</v>
      </c>
      <c r="AB6">
        <v>38.979999999999997</v>
      </c>
      <c r="AC6">
        <v>47.62</v>
      </c>
      <c r="AD6">
        <v>47.21</v>
      </c>
      <c r="AE6">
        <v>43.79</v>
      </c>
      <c r="AF6">
        <v>52.63</v>
      </c>
    </row>
    <row r="7" spans="1:32" x14ac:dyDescent="0.2">
      <c r="B7" s="185">
        <v>37711</v>
      </c>
      <c r="C7" s="185">
        <v>37802</v>
      </c>
      <c r="D7" s="185">
        <v>37894</v>
      </c>
      <c r="E7" s="185">
        <v>37986</v>
      </c>
      <c r="F7" s="185">
        <v>38077</v>
      </c>
      <c r="G7" s="185">
        <v>38168</v>
      </c>
      <c r="H7" s="185">
        <v>38260</v>
      </c>
      <c r="I7" s="185">
        <v>38352</v>
      </c>
      <c r="J7" s="185">
        <v>38442</v>
      </c>
      <c r="K7" s="185">
        <v>38533</v>
      </c>
      <c r="L7" s="185">
        <v>38625</v>
      </c>
      <c r="M7" s="185">
        <v>38717</v>
      </c>
      <c r="N7" s="185">
        <v>38807</v>
      </c>
      <c r="O7" s="185">
        <v>38898</v>
      </c>
      <c r="P7" s="185">
        <v>38990</v>
      </c>
      <c r="Q7" s="185">
        <v>39082</v>
      </c>
      <c r="R7" s="185">
        <v>39172</v>
      </c>
      <c r="S7" s="185">
        <v>39263</v>
      </c>
      <c r="T7" s="185">
        <v>39355</v>
      </c>
      <c r="U7" s="185">
        <v>39447</v>
      </c>
      <c r="V7" s="185">
        <v>39538</v>
      </c>
      <c r="W7" s="185">
        <v>39629</v>
      </c>
      <c r="X7" s="185">
        <v>39721</v>
      </c>
      <c r="Y7" s="185">
        <v>39813</v>
      </c>
      <c r="Z7" s="185">
        <v>39903</v>
      </c>
      <c r="AA7" s="185">
        <v>39994</v>
      </c>
      <c r="AB7" s="185">
        <v>40086</v>
      </c>
      <c r="AC7" s="185">
        <v>40178</v>
      </c>
      <c r="AD7" s="185">
        <v>40268</v>
      </c>
      <c r="AE7" s="185">
        <v>40359</v>
      </c>
      <c r="AF7" s="185">
        <v>40451</v>
      </c>
    </row>
    <row r="8" spans="1:32" x14ac:dyDescent="0.2">
      <c r="F8" s="185">
        <v>38077</v>
      </c>
      <c r="G8" s="185">
        <v>38168</v>
      </c>
      <c r="H8" s="185">
        <v>38260</v>
      </c>
      <c r="I8" s="185">
        <v>38352</v>
      </c>
      <c r="J8" s="185">
        <v>38442</v>
      </c>
      <c r="K8" s="185">
        <v>38533</v>
      </c>
      <c r="L8" s="185">
        <v>38625</v>
      </c>
      <c r="M8" s="185">
        <v>38717</v>
      </c>
      <c r="N8" s="185">
        <v>38807</v>
      </c>
      <c r="O8" s="185">
        <v>38898</v>
      </c>
      <c r="P8" s="185">
        <v>38990</v>
      </c>
      <c r="Q8" s="185">
        <v>39082</v>
      </c>
      <c r="R8" s="185">
        <v>39172</v>
      </c>
      <c r="S8" s="185">
        <v>39263</v>
      </c>
      <c r="T8" s="185">
        <v>39355</v>
      </c>
      <c r="U8" s="185">
        <v>39447</v>
      </c>
      <c r="V8" s="185">
        <v>39538</v>
      </c>
      <c r="W8" s="185">
        <v>39629</v>
      </c>
      <c r="X8" s="185">
        <v>39721</v>
      </c>
      <c r="Y8" s="185">
        <v>39813</v>
      </c>
      <c r="Z8" s="185">
        <v>39903</v>
      </c>
      <c r="AA8" s="185">
        <v>39994</v>
      </c>
      <c r="AB8" s="185">
        <v>40086</v>
      </c>
      <c r="AC8" s="185">
        <v>40178</v>
      </c>
      <c r="AD8" s="185">
        <v>40268</v>
      </c>
      <c r="AE8" s="185">
        <v>40359</v>
      </c>
      <c r="AF8" s="185">
        <v>40451</v>
      </c>
    </row>
    <row r="9" spans="1:32" x14ac:dyDescent="0.2">
      <c r="E9" t="s">
        <v>261</v>
      </c>
      <c r="F9" t="e">
        <f>#REF!</f>
        <v>#REF!</v>
      </c>
      <c r="G9" t="e">
        <f>#REF!</f>
        <v>#REF!</v>
      </c>
      <c r="H9" t="e">
        <f>#REF!</f>
        <v>#REF!</v>
      </c>
      <c r="I9" t="e">
        <f>#REF!</f>
        <v>#REF!</v>
      </c>
      <c r="J9" t="e">
        <f>#REF!</f>
        <v>#REF!</v>
      </c>
      <c r="K9" t="e">
        <f>#REF!</f>
        <v>#REF!</v>
      </c>
      <c r="L9" t="e">
        <f>#REF!</f>
        <v>#REF!</v>
      </c>
      <c r="M9" t="e">
        <f>#REF!</f>
        <v>#REF!</v>
      </c>
      <c r="N9" t="e">
        <f>#REF!</f>
        <v>#REF!</v>
      </c>
      <c r="O9" t="e">
        <f>#REF!</f>
        <v>#REF!</v>
      </c>
      <c r="P9" t="e">
        <f>#REF!</f>
        <v>#REF!</v>
      </c>
      <c r="Q9" t="e">
        <f>#REF!</f>
        <v>#REF!</v>
      </c>
      <c r="R9" t="e">
        <f>#REF!</f>
        <v>#REF!</v>
      </c>
      <c r="S9" t="e">
        <f>#REF!</f>
        <v>#REF!</v>
      </c>
      <c r="T9" t="e">
        <f>#REF!</f>
        <v>#REF!</v>
      </c>
      <c r="U9" t="e">
        <f>#REF!</f>
        <v>#REF!</v>
      </c>
      <c r="V9" t="e">
        <f>#REF!</f>
        <v>#REF!</v>
      </c>
      <c r="W9" t="e">
        <f>#REF!</f>
        <v>#REF!</v>
      </c>
      <c r="X9" t="e">
        <f>#REF!</f>
        <v>#REF!</v>
      </c>
      <c r="Y9" t="e">
        <f>#REF!</f>
        <v>#REF!</v>
      </c>
      <c r="Z9" t="e">
        <f>#REF!</f>
        <v>#REF!</v>
      </c>
      <c r="AA9" t="e">
        <f>#REF!</f>
        <v>#REF!</v>
      </c>
      <c r="AB9" t="e">
        <f>#REF!</f>
        <v>#REF!</v>
      </c>
      <c r="AC9" t="e">
        <f>#REF!</f>
        <v>#REF!</v>
      </c>
      <c r="AD9" t="e">
        <f>#REF!</f>
        <v>#REF!</v>
      </c>
      <c r="AE9" t="e">
        <f>#REF!</f>
        <v>#REF!</v>
      </c>
      <c r="AF9" s="51" t="e">
        <f>#REF!</f>
        <v>#REF!</v>
      </c>
    </row>
    <row r="10" spans="1:32" x14ac:dyDescent="0.2">
      <c r="E10" t="s">
        <v>260</v>
      </c>
      <c r="F10" s="181">
        <f>F6</f>
        <v>7.2366999999999999</v>
      </c>
      <c r="G10" s="181">
        <f t="shared" ref="G10:AF10" si="1">G6</f>
        <v>8.3742999999999999</v>
      </c>
      <c r="H10" s="181">
        <f t="shared" si="1"/>
        <v>8.1630000000000003</v>
      </c>
      <c r="I10" s="181">
        <f t="shared" si="1"/>
        <v>9.8323</v>
      </c>
      <c r="J10" s="181">
        <f t="shared" si="1"/>
        <v>11.24</v>
      </c>
      <c r="K10" s="181">
        <f t="shared" si="1"/>
        <v>13.95</v>
      </c>
      <c r="L10" s="181">
        <f t="shared" si="1"/>
        <v>13.0214</v>
      </c>
      <c r="M10" s="181">
        <f t="shared" si="1"/>
        <v>14.574999999999999</v>
      </c>
      <c r="N10" s="181">
        <f t="shared" si="1"/>
        <v>13.9842</v>
      </c>
      <c r="O10" s="181">
        <f t="shared" si="1"/>
        <v>15.1563</v>
      </c>
      <c r="P10" s="181">
        <f t="shared" si="1"/>
        <v>16.338999999999999</v>
      </c>
      <c r="Q10" s="181">
        <f t="shared" si="1"/>
        <v>21.44</v>
      </c>
      <c r="R10" s="181">
        <f t="shared" si="1"/>
        <v>21.65</v>
      </c>
      <c r="S10" s="181">
        <f t="shared" si="1"/>
        <v>29.13</v>
      </c>
      <c r="T10" s="181">
        <f t="shared" si="1"/>
        <v>30.22</v>
      </c>
      <c r="U10" s="181">
        <f t="shared" si="1"/>
        <v>42.74</v>
      </c>
      <c r="V10" s="181">
        <f t="shared" si="1"/>
        <v>40.78</v>
      </c>
      <c r="W10" s="181">
        <f t="shared" si="1"/>
        <v>67.430000000000007</v>
      </c>
      <c r="X10" s="181">
        <f t="shared" si="1"/>
        <v>45.25</v>
      </c>
      <c r="Y10" s="181">
        <f t="shared" si="1"/>
        <v>23.37</v>
      </c>
      <c r="Z10" s="181">
        <f t="shared" si="1"/>
        <v>31.31</v>
      </c>
      <c r="AA10" s="181">
        <f t="shared" si="1"/>
        <v>36.76</v>
      </c>
      <c r="AB10" s="181">
        <f t="shared" si="1"/>
        <v>38.979999999999997</v>
      </c>
      <c r="AC10" s="181">
        <f t="shared" si="1"/>
        <v>47.62</v>
      </c>
      <c r="AD10" s="181">
        <f t="shared" si="1"/>
        <v>47.21</v>
      </c>
      <c r="AE10" s="181">
        <f t="shared" si="1"/>
        <v>43.79</v>
      </c>
      <c r="AF10" s="181">
        <f t="shared" si="1"/>
        <v>52.63</v>
      </c>
    </row>
    <row r="33" spans="4:4" x14ac:dyDescent="0.2">
      <c r="D33" s="49" t="s">
        <v>262</v>
      </c>
    </row>
  </sheetData>
  <pageMargins left="0.70866141732283472" right="0.70866141732283472" top="0.74803149606299213" bottom="0.74803149606299213" header="0.31496062992125984" footer="0.31496062992125984"/>
  <pageSetup paperSize="9" scale="77" orientation="portrait"/>
  <colBreaks count="2" manualBreakCount="2">
    <brk id="12" min="1" max="6" man="1"/>
    <brk id="24" min="1" max="6"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9</vt:i4>
      </vt:variant>
    </vt:vector>
  </HeadingPairs>
  <TitlesOfParts>
    <vt:vector size="33" baseType="lpstr">
      <vt:lpstr>IC&amp;CF&amp;BS</vt:lpstr>
      <vt:lpstr>Reported Rev.. Split</vt:lpstr>
      <vt:lpstr>DCF 1.6.2025</vt:lpstr>
      <vt:lpstr>Q2.25F</vt:lpstr>
      <vt:lpstr>Final Potash Pricing Q1.25</vt:lpstr>
      <vt:lpstr>Consolidated Sector Results</vt:lpstr>
      <vt:lpstr>ייצור שנתי בעתיד</vt:lpstr>
      <vt:lpstr>ריכוז תוצאות EBITDA ו- FFO</vt:lpstr>
      <vt:lpstr>היצע מול ביקוש ברנשטיין</vt:lpstr>
      <vt:lpstr>Comps</vt:lpstr>
      <vt:lpstr>ביצועים מול Peer</vt:lpstr>
      <vt:lpstr>השפעת גידול במכירות על על' המכר</vt:lpstr>
      <vt:lpstr> מאזן ויחסי יעילות תפעולית</vt:lpstr>
      <vt:lpstr>ביאור עלות מכר והנהלה וכלליות</vt:lpstr>
      <vt:lpstr>השקעה ברכוש קבוע</vt:lpstr>
      <vt:lpstr>תחשיב Wacc</vt:lpstr>
      <vt:lpstr>תמלוגים</vt:lpstr>
      <vt:lpstr>דיבידנדים שנים קודמות</vt:lpstr>
      <vt:lpstr>נתחי שוק סין, הודו, ברזיל</vt:lpstr>
      <vt:lpstr>מיזוג כיל-פוטאש</vt:lpstr>
      <vt:lpstr>כושר ייצור פוטנציאלי</vt:lpstr>
      <vt:lpstr>קציר מלח - רגישות</vt:lpstr>
      <vt:lpstr>Potash</vt:lpstr>
      <vt:lpstr>מחיר לטון אשלג מול מנית כיל</vt:lpstr>
      <vt:lpstr>' מאזן ויחסי יעילות תפעולית'!Print_Area</vt:lpstr>
      <vt:lpstr>'DCF 1.6.2025'!Print_Area</vt:lpstr>
      <vt:lpstr>'Final Potash Pricing Q1.25'!Print_Area</vt:lpstr>
      <vt:lpstr>'השקעה ברכוש קבוע'!Print_Area</vt:lpstr>
      <vt:lpstr>'כושר ייצור פוטנציאלי'!Print_Area</vt:lpstr>
      <vt:lpstr>'מחיר לטון אשלג מול מנית כיל'!Print_Area</vt:lpstr>
      <vt:lpstr>'DCF 1.6.2025'!Print_Titles</vt:lpstr>
      <vt:lpstr>Potash!Print_Titles</vt:lpstr>
      <vt:lpstr>'מחיר לטון אשלג מול מנית כיל'!Print_Titles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ירון בלומשטיין</dc:creator>
  <cp:lastModifiedBy>בן דמינוביץ - Ben Daminovich</cp:lastModifiedBy>
  <cp:lastPrinted>2025-02-27T14:05:50Z</cp:lastPrinted>
  <dcterms:created xsi:type="dcterms:W3CDTF">2010-09-24T12:58:10Z</dcterms:created>
  <dcterms:modified xsi:type="dcterms:W3CDTF">2025-12-18T12:55:06Z</dcterms:modified>
</cp:coreProperties>
</file>