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f309dba528d373/Finance^J Python and Stats/Equity Securities Analysis/IROBOT/"/>
    </mc:Choice>
  </mc:AlternateContent>
  <xr:revisionPtr revIDLastSave="29" documentId="13_ncr:1_{72F4350C-E19C-433F-8B75-F50C21A607FA}" xr6:coauthVersionLast="47" xr6:coauthVersionMax="47" xr10:uidLastSave="{D089DF94-C311-884F-90DF-F44F7E24030C}"/>
  <bookViews>
    <workbookView xWindow="0" yWindow="780" windowWidth="34200" windowHeight="20200" xr2:uid="{E5040641-418C-49DA-97A2-5727AADE8999}"/>
  </bookViews>
  <sheets>
    <sheet name="DCF MODEL" sheetId="1" r:id="rId1"/>
    <sheet name="BBG Multiples" sheetId="8" r:id="rId2"/>
    <sheet name="BBG Profitability Comps" sheetId="9" r:id="rId3"/>
    <sheet name="BBG INFO" sheetId="10" r:id="rId4"/>
    <sheet name="OTHER INFO" sheetId="6" r:id="rId5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olver_adj" localSheetId="0" hidden="1">'DCF MODEL'!$J$125:$N$125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'DCF MODEL'!$J$125</definedName>
    <definedName name="solver_lhs2" localSheetId="0" hidden="1">'DCF MODEL'!$K$125</definedName>
    <definedName name="solver_lhs3" localSheetId="0" hidden="1">'DCF MODEL'!$L$125</definedName>
    <definedName name="solver_lhs4" localSheetId="0" hidden="1">'DCF MODEL'!$M$125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'DCF MODEL'!$B$269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'DCF MODEL'!$K$125</definedName>
    <definedName name="solver_rhs2" localSheetId="0" hidden="1">'DCF MODEL'!$L$125</definedName>
    <definedName name="solver_rhs3" localSheetId="0" hidden="1">'DCF MODEL'!$M$125</definedName>
    <definedName name="solver_rhs4" localSheetId="0" hidden="1">'DCF MODEL'!$N$125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4" i="1" l="1"/>
  <c r="F14" i="1"/>
  <c r="I136" i="1" l="1"/>
  <c r="F167" i="1"/>
  <c r="G167" i="1"/>
  <c r="H167" i="1"/>
  <c r="I167" i="1"/>
  <c r="E167" i="1"/>
  <c r="G166" i="1"/>
  <c r="H165" i="1" s="1"/>
  <c r="H166" i="1"/>
  <c r="I165" i="1" s="1"/>
  <c r="I166" i="1"/>
  <c r="J165" i="1" s="1"/>
  <c r="F166" i="1"/>
  <c r="G165" i="1" s="1"/>
  <c r="E166" i="1"/>
  <c r="F165" i="1" s="1"/>
  <c r="B262" i="1"/>
  <c r="B279" i="1" s="1"/>
  <c r="B261" i="1"/>
  <c r="B278" i="1" s="1"/>
  <c r="I168" i="1" l="1"/>
  <c r="F168" i="1"/>
  <c r="B263" i="1"/>
  <c r="G168" i="1"/>
  <c r="B280" i="1"/>
  <c r="H168" i="1"/>
  <c r="J168" i="1" l="1"/>
  <c r="K168" i="1" s="1"/>
  <c r="L168" i="1" l="1"/>
  <c r="M168" i="1" l="1"/>
  <c r="F211" i="1"/>
  <c r="G211" i="1"/>
  <c r="H211" i="1"/>
  <c r="I211" i="1"/>
  <c r="F215" i="1"/>
  <c r="G215" i="1"/>
  <c r="H215" i="1"/>
  <c r="I215" i="1"/>
  <c r="E216" i="1"/>
  <c r="E215" i="1"/>
  <c r="E211" i="1"/>
  <c r="E29" i="1"/>
  <c r="E212" i="1"/>
  <c r="I141" i="1"/>
  <c r="I143" i="1" s="1"/>
  <c r="J106" i="1"/>
  <c r="J135" i="1" s="1"/>
  <c r="E35" i="1"/>
  <c r="J83" i="1"/>
  <c r="K83" i="1" s="1"/>
  <c r="L83" i="1" s="1"/>
  <c r="M83" i="1" s="1"/>
  <c r="N83" i="1" s="1"/>
  <c r="O83" i="1" s="1"/>
  <c r="P83" i="1" s="1"/>
  <c r="Q83" i="1" s="1"/>
  <c r="R83" i="1" s="1"/>
  <c r="S83" i="1" s="1"/>
  <c r="N168" i="1" l="1"/>
  <c r="J139" i="1"/>
  <c r="K106" i="1"/>
  <c r="O168" i="1" l="1"/>
  <c r="P168" i="1"/>
  <c r="L106" i="1"/>
  <c r="K135" i="1"/>
  <c r="Q168" i="1" l="1"/>
  <c r="M106" i="1"/>
  <c r="L135" i="1"/>
  <c r="R168" i="1" l="1"/>
  <c r="S168" i="1" s="1"/>
  <c r="N106" i="1"/>
  <c r="M135" i="1"/>
  <c r="N135" i="1" l="1"/>
  <c r="O106" i="1"/>
  <c r="I132" i="1"/>
  <c r="H132" i="1"/>
  <c r="G132" i="1"/>
  <c r="F132" i="1"/>
  <c r="E129" i="1"/>
  <c r="I129" i="1"/>
  <c r="H129" i="1"/>
  <c r="G129" i="1"/>
  <c r="F136" i="1"/>
  <c r="E136" i="1"/>
  <c r="E137" i="1" s="1"/>
  <c r="H141" i="1"/>
  <c r="H143" i="1" s="1"/>
  <c r="G141" i="1"/>
  <c r="G143" i="1" s="1"/>
  <c r="F141" i="1"/>
  <c r="F143" i="1" s="1"/>
  <c r="E141" i="1"/>
  <c r="F139" i="1" s="1"/>
  <c r="G174" i="1"/>
  <c r="H136" i="1"/>
  <c r="G136" i="1"/>
  <c r="I157" i="1"/>
  <c r="H157" i="1"/>
  <c r="G157" i="1"/>
  <c r="F157" i="1"/>
  <c r="I156" i="1"/>
  <c r="H156" i="1"/>
  <c r="G156" i="1"/>
  <c r="F156" i="1"/>
  <c r="E157" i="1"/>
  <c r="E156" i="1"/>
  <c r="I152" i="1"/>
  <c r="H152" i="1"/>
  <c r="G152" i="1"/>
  <c r="F152" i="1"/>
  <c r="I151" i="1"/>
  <c r="H151" i="1"/>
  <c r="G151" i="1"/>
  <c r="F151" i="1"/>
  <c r="E152" i="1"/>
  <c r="E151" i="1"/>
  <c r="I150" i="1"/>
  <c r="H150" i="1"/>
  <c r="G150" i="1"/>
  <c r="F150" i="1"/>
  <c r="E150" i="1"/>
  <c r="E121" i="1"/>
  <c r="I120" i="1"/>
  <c r="H120" i="1"/>
  <c r="G120" i="1"/>
  <c r="F120" i="1"/>
  <c r="E120" i="1"/>
  <c r="I108" i="1"/>
  <c r="H108" i="1"/>
  <c r="G108" i="1"/>
  <c r="F108" i="1"/>
  <c r="E108" i="1"/>
  <c r="I101" i="1"/>
  <c r="H101" i="1"/>
  <c r="G101" i="1"/>
  <c r="F101" i="1"/>
  <c r="E101" i="1"/>
  <c r="I96" i="1"/>
  <c r="H96" i="1"/>
  <c r="G96" i="1"/>
  <c r="F96" i="1"/>
  <c r="E96" i="1"/>
  <c r="I87" i="1"/>
  <c r="H87" i="1"/>
  <c r="G87" i="1"/>
  <c r="F87" i="1"/>
  <c r="E87" i="1"/>
  <c r="I79" i="1"/>
  <c r="H79" i="1"/>
  <c r="G79" i="1"/>
  <c r="F79" i="1"/>
  <c r="E79" i="1"/>
  <c r="B285" i="1"/>
  <c r="B268" i="1"/>
  <c r="P106" i="1" l="1"/>
  <c r="O135" i="1"/>
  <c r="I197" i="1"/>
  <c r="I198" i="1"/>
  <c r="E197" i="1"/>
  <c r="E198" i="1"/>
  <c r="F198" i="1"/>
  <c r="F197" i="1"/>
  <c r="G198" i="1"/>
  <c r="G197" i="1"/>
  <c r="H198" i="1"/>
  <c r="H197" i="1"/>
  <c r="F129" i="1"/>
  <c r="G139" i="1"/>
  <c r="E103" i="1"/>
  <c r="H137" i="1"/>
  <c r="F158" i="1"/>
  <c r="H158" i="1"/>
  <c r="G158" i="1"/>
  <c r="G103" i="1"/>
  <c r="I158" i="1"/>
  <c r="E158" i="1"/>
  <c r="H89" i="1"/>
  <c r="H207" i="1" s="1"/>
  <c r="E153" i="1"/>
  <c r="H103" i="1"/>
  <c r="F153" i="1"/>
  <c r="I103" i="1"/>
  <c r="F103" i="1"/>
  <c r="I137" i="1"/>
  <c r="F89" i="1"/>
  <c r="F207" i="1" s="1"/>
  <c r="I89" i="1"/>
  <c r="I207" i="1" s="1"/>
  <c r="H153" i="1"/>
  <c r="G153" i="1"/>
  <c r="F137" i="1"/>
  <c r="I153" i="1"/>
  <c r="E89" i="1"/>
  <c r="E207" i="1" s="1"/>
  <c r="G89" i="1"/>
  <c r="G207" i="1" s="1"/>
  <c r="G137" i="1"/>
  <c r="J51" i="1"/>
  <c r="K51" i="1" s="1"/>
  <c r="L51" i="1" s="1"/>
  <c r="M51" i="1" s="1"/>
  <c r="N51" i="1" s="1"/>
  <c r="O51" i="1" s="1"/>
  <c r="J50" i="1"/>
  <c r="K50" i="1" s="1"/>
  <c r="L50" i="1" s="1"/>
  <c r="M50" i="1" s="1"/>
  <c r="N50" i="1" s="1"/>
  <c r="O50" i="1" s="1"/>
  <c r="J49" i="1"/>
  <c r="P135" i="1" l="1"/>
  <c r="Q106" i="1"/>
  <c r="P51" i="1"/>
  <c r="O176" i="1"/>
  <c r="P50" i="1"/>
  <c r="O175" i="1"/>
  <c r="H110" i="1"/>
  <c r="H206" i="1" s="1"/>
  <c r="H205" i="1"/>
  <c r="E110" i="1"/>
  <c r="E113" i="1" s="1"/>
  <c r="E5" i="1" s="1"/>
  <c r="E205" i="1"/>
  <c r="G110" i="1"/>
  <c r="G206" i="1" s="1"/>
  <c r="G205" i="1"/>
  <c r="I110" i="1"/>
  <c r="I206" i="1" s="1"/>
  <c r="I205" i="1"/>
  <c r="F110" i="1"/>
  <c r="F113" i="1" s="1"/>
  <c r="F5" i="1" s="1"/>
  <c r="F205" i="1"/>
  <c r="H139" i="1"/>
  <c r="E160" i="1"/>
  <c r="F160" i="1"/>
  <c r="G160" i="1"/>
  <c r="H160" i="1"/>
  <c r="K49" i="1"/>
  <c r="J174" i="1"/>
  <c r="I160" i="1"/>
  <c r="J175" i="1"/>
  <c r="K175" i="1"/>
  <c r="L175" i="1"/>
  <c r="M175" i="1"/>
  <c r="N175" i="1"/>
  <c r="J176" i="1"/>
  <c r="K176" i="1"/>
  <c r="L176" i="1"/>
  <c r="M176" i="1"/>
  <c r="N176" i="1"/>
  <c r="F175" i="1"/>
  <c r="G175" i="1"/>
  <c r="H175" i="1"/>
  <c r="I175" i="1"/>
  <c r="F176" i="1"/>
  <c r="G176" i="1"/>
  <c r="H176" i="1"/>
  <c r="I176" i="1"/>
  <c r="H174" i="1"/>
  <c r="I174" i="1"/>
  <c r="F174" i="1"/>
  <c r="G14" i="1"/>
  <c r="H14" i="1"/>
  <c r="I14" i="1"/>
  <c r="G15" i="1"/>
  <c r="H15" i="1"/>
  <c r="I15" i="1"/>
  <c r="G16" i="1"/>
  <c r="H16" i="1"/>
  <c r="I16" i="1"/>
  <c r="F15" i="1"/>
  <c r="F16" i="1"/>
  <c r="F52" i="1"/>
  <c r="F40" i="1" s="1"/>
  <c r="G52" i="1"/>
  <c r="G40" i="1" s="1"/>
  <c r="H52" i="1"/>
  <c r="H40" i="1" s="1"/>
  <c r="I52" i="1"/>
  <c r="J52" i="1"/>
  <c r="E52" i="1"/>
  <c r="E40" i="1" s="1"/>
  <c r="E237" i="1"/>
  <c r="E8" i="1"/>
  <c r="F6" i="1"/>
  <c r="F7" i="1" s="1"/>
  <c r="F35" i="1" s="1"/>
  <c r="F206" i="1" l="1"/>
  <c r="I40" i="1"/>
  <c r="I17" i="1"/>
  <c r="H113" i="1"/>
  <c r="H5" i="1" s="1"/>
  <c r="R106" i="1"/>
  <c r="Q135" i="1"/>
  <c r="Q51" i="1"/>
  <c r="P176" i="1"/>
  <c r="J53" i="1"/>
  <c r="J125" i="1"/>
  <c r="E242" i="1" s="1"/>
  <c r="E249" i="1" s="1"/>
  <c r="Q50" i="1"/>
  <c r="P175" i="1"/>
  <c r="F31" i="1"/>
  <c r="F32" i="1"/>
  <c r="F33" i="1"/>
  <c r="F34" i="1"/>
  <c r="F37" i="1"/>
  <c r="F36" i="1"/>
  <c r="F38" i="1"/>
  <c r="F39" i="1"/>
  <c r="J56" i="1"/>
  <c r="I113" i="1"/>
  <c r="I5" i="1" s="1"/>
  <c r="E206" i="1"/>
  <c r="G113" i="1"/>
  <c r="G5" i="1" s="1"/>
  <c r="I213" i="1"/>
  <c r="G213" i="1"/>
  <c r="F212" i="1"/>
  <c r="F216" i="1"/>
  <c r="F213" i="1"/>
  <c r="F214" i="1"/>
  <c r="E213" i="1"/>
  <c r="E214" i="1"/>
  <c r="H213" i="1"/>
  <c r="J85" i="1"/>
  <c r="J127" i="1" s="1"/>
  <c r="J84" i="1"/>
  <c r="J126" i="1" s="1"/>
  <c r="F161" i="1"/>
  <c r="F121" i="1" s="1"/>
  <c r="E30" i="1"/>
  <c r="E34" i="1"/>
  <c r="E37" i="1"/>
  <c r="E28" i="1"/>
  <c r="E38" i="1"/>
  <c r="E32" i="1"/>
  <c r="E36" i="1"/>
  <c r="E31" i="1"/>
  <c r="E39" i="1"/>
  <c r="J99" i="1"/>
  <c r="J132" i="1" s="1"/>
  <c r="J86" i="1"/>
  <c r="J128" i="1" s="1"/>
  <c r="J94" i="1"/>
  <c r="J100" i="1"/>
  <c r="J134" i="1" s="1"/>
  <c r="J78" i="1"/>
  <c r="J152" i="1" s="1"/>
  <c r="F8" i="1"/>
  <c r="F29" i="1"/>
  <c r="F28" i="1"/>
  <c r="J95" i="1"/>
  <c r="J157" i="1" s="1"/>
  <c r="G161" i="1"/>
  <c r="G121" i="1" s="1"/>
  <c r="G38" i="1"/>
  <c r="G36" i="1"/>
  <c r="G39" i="1"/>
  <c r="G33" i="1"/>
  <c r="G37" i="1"/>
  <c r="G34" i="1"/>
  <c r="G32" i="1"/>
  <c r="E33" i="1"/>
  <c r="I36" i="1"/>
  <c r="I39" i="1"/>
  <c r="I33" i="1"/>
  <c r="I37" i="1"/>
  <c r="I34" i="1"/>
  <c r="I38" i="1"/>
  <c r="I32" i="1"/>
  <c r="H32" i="1"/>
  <c r="H39" i="1"/>
  <c r="H33" i="1"/>
  <c r="H37" i="1"/>
  <c r="H36" i="1"/>
  <c r="H34" i="1"/>
  <c r="H38" i="1"/>
  <c r="I139" i="1"/>
  <c r="H161" i="1"/>
  <c r="H121" i="1" s="1"/>
  <c r="I161" i="1"/>
  <c r="I121" i="1" s="1"/>
  <c r="L49" i="1"/>
  <c r="K174" i="1"/>
  <c r="K52" i="1"/>
  <c r="K125" i="1" s="1"/>
  <c r="F242" i="1" s="1"/>
  <c r="I31" i="1"/>
  <c r="I30" i="1"/>
  <c r="H31" i="1"/>
  <c r="H30" i="1"/>
  <c r="G31" i="1"/>
  <c r="G30" i="1"/>
  <c r="F30" i="1"/>
  <c r="E256" i="1"/>
  <c r="E273" i="1"/>
  <c r="I54" i="1"/>
  <c r="I57" i="1" s="1"/>
  <c r="E238" i="1" s="1"/>
  <c r="I184" i="1"/>
  <c r="I183" i="1"/>
  <c r="I185" i="1"/>
  <c r="H54" i="1"/>
  <c r="H57" i="1" s="1"/>
  <c r="H183" i="1"/>
  <c r="H184" i="1"/>
  <c r="H185" i="1"/>
  <c r="E54" i="1"/>
  <c r="E57" i="1" s="1"/>
  <c r="E62" i="1" s="1"/>
  <c r="E185" i="1"/>
  <c r="E183" i="1"/>
  <c r="E184" i="1"/>
  <c r="G54" i="1"/>
  <c r="G57" i="1" s="1"/>
  <c r="G184" i="1"/>
  <c r="G185" i="1"/>
  <c r="G183" i="1"/>
  <c r="F54" i="1"/>
  <c r="F57" i="1" s="1"/>
  <c r="F183" i="1"/>
  <c r="F185" i="1"/>
  <c r="F184" i="1"/>
  <c r="J55" i="1"/>
  <c r="J59" i="1"/>
  <c r="J184" i="1"/>
  <c r="J185" i="1"/>
  <c r="J183" i="1"/>
  <c r="J177" i="1"/>
  <c r="I22" i="1"/>
  <c r="F22" i="1"/>
  <c r="I177" i="1"/>
  <c r="H22" i="1"/>
  <c r="H177" i="1"/>
  <c r="F177" i="1"/>
  <c r="G22" i="1"/>
  <c r="G177" i="1"/>
  <c r="I20" i="1"/>
  <c r="H20" i="1"/>
  <c r="G20" i="1"/>
  <c r="F20" i="1"/>
  <c r="E21" i="1"/>
  <c r="I23" i="1"/>
  <c r="I21" i="1"/>
  <c r="I19" i="1"/>
  <c r="E22" i="1"/>
  <c r="H23" i="1"/>
  <c r="H21" i="1"/>
  <c r="H19" i="1"/>
  <c r="E23" i="1"/>
  <c r="G23" i="1"/>
  <c r="G21" i="1"/>
  <c r="G19" i="1"/>
  <c r="F23" i="1"/>
  <c r="F21" i="1"/>
  <c r="F19" i="1"/>
  <c r="E18" i="1"/>
  <c r="F17" i="1"/>
  <c r="I18" i="1"/>
  <c r="G18" i="1"/>
  <c r="H18" i="1"/>
  <c r="F18" i="1"/>
  <c r="H17" i="1"/>
  <c r="E19" i="1"/>
  <c r="G17" i="1"/>
  <c r="E20" i="1"/>
  <c r="G6" i="1"/>
  <c r="R135" i="1" l="1"/>
  <c r="S106" i="1"/>
  <c r="S135" i="1" s="1"/>
  <c r="Q176" i="1"/>
  <c r="R51" i="1"/>
  <c r="Q175" i="1"/>
  <c r="R50" i="1"/>
  <c r="J133" i="1"/>
  <c r="J166" i="1"/>
  <c r="F62" i="1"/>
  <c r="F201" i="1"/>
  <c r="F202" i="1"/>
  <c r="F208" i="1"/>
  <c r="E24" i="1"/>
  <c r="E202" i="1"/>
  <c r="E201" i="1"/>
  <c r="E208" i="1"/>
  <c r="I190" i="1"/>
  <c r="I202" i="1"/>
  <c r="I201" i="1"/>
  <c r="I208" i="1"/>
  <c r="G62" i="1"/>
  <c r="G64" i="1" s="1"/>
  <c r="G201" i="1"/>
  <c r="G202" i="1"/>
  <c r="G208" i="1"/>
  <c r="H62" i="1"/>
  <c r="H201" i="1"/>
  <c r="H202" i="1"/>
  <c r="H208" i="1"/>
  <c r="J120" i="1"/>
  <c r="J82" i="1" s="1"/>
  <c r="J129" i="1"/>
  <c r="J101" i="1"/>
  <c r="J60" i="1"/>
  <c r="K86" i="1"/>
  <c r="K100" i="1"/>
  <c r="K134" i="1" s="1"/>
  <c r="K95" i="1"/>
  <c r="K157" i="1" s="1"/>
  <c r="K85" i="1"/>
  <c r="K127" i="1" s="1"/>
  <c r="K84" i="1"/>
  <c r="K126" i="1" s="1"/>
  <c r="K99" i="1"/>
  <c r="K132" i="1" s="1"/>
  <c r="K78" i="1"/>
  <c r="K152" i="1" s="1"/>
  <c r="K94" i="1"/>
  <c r="K185" i="1"/>
  <c r="K184" i="1"/>
  <c r="K56" i="1"/>
  <c r="K183" i="1"/>
  <c r="K53" i="1"/>
  <c r="M49" i="1"/>
  <c r="L174" i="1"/>
  <c r="L52" i="1"/>
  <c r="L125" i="1" s="1"/>
  <c r="G242" i="1" s="1"/>
  <c r="K55" i="1"/>
  <c r="K59" i="1"/>
  <c r="K177" i="1"/>
  <c r="E190" i="1"/>
  <c r="F189" i="1"/>
  <c r="I189" i="1"/>
  <c r="F190" i="1"/>
  <c r="F178" i="1"/>
  <c r="E188" i="1"/>
  <c r="E189" i="1"/>
  <c r="I188" i="1"/>
  <c r="F179" i="1"/>
  <c r="F188" i="1"/>
  <c r="G179" i="1"/>
  <c r="G188" i="1"/>
  <c r="H179" i="1"/>
  <c r="G178" i="1"/>
  <c r="H188" i="1"/>
  <c r="G189" i="1"/>
  <c r="I179" i="1"/>
  <c r="H190" i="1"/>
  <c r="H178" i="1"/>
  <c r="H189" i="1"/>
  <c r="I178" i="1"/>
  <c r="G190" i="1"/>
  <c r="J54" i="1"/>
  <c r="J188" i="1" s="1"/>
  <c r="H64" i="1"/>
  <c r="H24" i="1"/>
  <c r="F64" i="1"/>
  <c r="F24" i="1"/>
  <c r="E64" i="1"/>
  <c r="I62" i="1"/>
  <c r="E241" i="1"/>
  <c r="E250" i="1" s="1"/>
  <c r="H6" i="1"/>
  <c r="G7" i="1"/>
  <c r="R176" i="1" l="1"/>
  <c r="S51" i="1"/>
  <c r="S176" i="1" s="1"/>
  <c r="S50" i="1"/>
  <c r="S175" i="1" s="1"/>
  <c r="R175" i="1"/>
  <c r="K133" i="1"/>
  <c r="K166" i="1"/>
  <c r="L165" i="1" s="1"/>
  <c r="K165" i="1"/>
  <c r="J167" i="1"/>
  <c r="J58" i="1" s="1"/>
  <c r="G24" i="1"/>
  <c r="G216" i="1"/>
  <c r="G212" i="1"/>
  <c r="G214" i="1"/>
  <c r="J87" i="1"/>
  <c r="K128" i="1"/>
  <c r="K120" i="1"/>
  <c r="K82" i="1" s="1"/>
  <c r="K60" i="1"/>
  <c r="G8" i="1"/>
  <c r="G29" i="1"/>
  <c r="G35" i="1"/>
  <c r="G28" i="1"/>
  <c r="L100" i="1"/>
  <c r="L134" i="1" s="1"/>
  <c r="L95" i="1"/>
  <c r="L157" i="1" s="1"/>
  <c r="L85" i="1"/>
  <c r="L127" i="1" s="1"/>
  <c r="L78" i="1"/>
  <c r="L152" i="1" s="1"/>
  <c r="L99" i="1"/>
  <c r="L132" i="1" s="1"/>
  <c r="L94" i="1"/>
  <c r="L86" i="1"/>
  <c r="L84" i="1"/>
  <c r="L126" i="1" s="1"/>
  <c r="K101" i="1"/>
  <c r="F241" i="1"/>
  <c r="F250" i="1" s="1"/>
  <c r="K54" i="1"/>
  <c r="K188" i="1" s="1"/>
  <c r="N49" i="1"/>
  <c r="O49" i="1" s="1"/>
  <c r="M174" i="1"/>
  <c r="M52" i="1"/>
  <c r="M125" i="1" s="1"/>
  <c r="H242" i="1" s="1"/>
  <c r="L185" i="1"/>
  <c r="L183" i="1"/>
  <c r="L59" i="1"/>
  <c r="L53" i="1"/>
  <c r="L56" i="1"/>
  <c r="L55" i="1"/>
  <c r="L184" i="1"/>
  <c r="L177" i="1"/>
  <c r="J57" i="1"/>
  <c r="J61" i="1"/>
  <c r="E66" i="1"/>
  <c r="E26" i="1" s="1"/>
  <c r="E25" i="1"/>
  <c r="F66" i="1"/>
  <c r="F25" i="1"/>
  <c r="H66" i="1"/>
  <c r="H25" i="1"/>
  <c r="E239" i="1"/>
  <c r="E240" i="1" s="1"/>
  <c r="I64" i="1"/>
  <c r="I24" i="1"/>
  <c r="G66" i="1"/>
  <c r="G25" i="1"/>
  <c r="I6" i="1"/>
  <c r="H7" i="1"/>
  <c r="K167" i="1" l="1"/>
  <c r="K58" i="1" s="1"/>
  <c r="E248" i="1"/>
  <c r="P49" i="1"/>
  <c r="O174" i="1"/>
  <c r="O52" i="1"/>
  <c r="K129" i="1"/>
  <c r="G249" i="1"/>
  <c r="F249" i="1"/>
  <c r="L133" i="1"/>
  <c r="L166" i="1"/>
  <c r="M165" i="1" s="1"/>
  <c r="H119" i="1"/>
  <c r="H122" i="1" s="1"/>
  <c r="H140" i="1" s="1"/>
  <c r="H219" i="1"/>
  <c r="H220" i="1"/>
  <c r="H212" i="1"/>
  <c r="H216" i="1"/>
  <c r="H214" i="1"/>
  <c r="F119" i="1"/>
  <c r="F122" i="1" s="1"/>
  <c r="F140" i="1" s="1"/>
  <c r="F219" i="1"/>
  <c r="F220" i="1"/>
  <c r="J201" i="1"/>
  <c r="J202" i="1"/>
  <c r="G119" i="1"/>
  <c r="G122" i="1" s="1"/>
  <c r="G140" i="1" s="1"/>
  <c r="G219" i="1"/>
  <c r="G220" i="1"/>
  <c r="E119" i="1"/>
  <c r="E122" i="1" s="1"/>
  <c r="E220" i="1"/>
  <c r="E219" i="1"/>
  <c r="L120" i="1"/>
  <c r="L82" i="1" s="1"/>
  <c r="K87" i="1"/>
  <c r="L128" i="1"/>
  <c r="L129" i="1" s="1"/>
  <c r="M99" i="1"/>
  <c r="M132" i="1" s="1"/>
  <c r="M94" i="1"/>
  <c r="M86" i="1"/>
  <c r="M84" i="1"/>
  <c r="M126" i="1" s="1"/>
  <c r="M100" i="1"/>
  <c r="M134" i="1" s="1"/>
  <c r="M95" i="1"/>
  <c r="M157" i="1" s="1"/>
  <c r="M85" i="1"/>
  <c r="M127" i="1" s="1"/>
  <c r="M78" i="1"/>
  <c r="M152" i="1" s="1"/>
  <c r="L60" i="1"/>
  <c r="H8" i="1"/>
  <c r="H29" i="1"/>
  <c r="H35" i="1"/>
  <c r="H28" i="1"/>
  <c r="J62" i="1"/>
  <c r="J63" i="1" s="1"/>
  <c r="J64" i="1" s="1"/>
  <c r="J65" i="1" s="1"/>
  <c r="K57" i="1"/>
  <c r="M183" i="1"/>
  <c r="L101" i="1"/>
  <c r="K61" i="1"/>
  <c r="L54" i="1"/>
  <c r="N52" i="1"/>
  <c r="N125" i="1" s="1"/>
  <c r="I242" i="1" s="1"/>
  <c r="N174" i="1"/>
  <c r="G241" i="1"/>
  <c r="G250" i="1" s="1"/>
  <c r="M59" i="1"/>
  <c r="M53" i="1"/>
  <c r="M55" i="1"/>
  <c r="M184" i="1"/>
  <c r="M177" i="1"/>
  <c r="M185" i="1"/>
  <c r="M56" i="1"/>
  <c r="F238" i="1"/>
  <c r="F239" i="1" s="1"/>
  <c r="F240" i="1" s="1"/>
  <c r="J178" i="1"/>
  <c r="J190" i="1"/>
  <c r="J179" i="1"/>
  <c r="J189" i="1"/>
  <c r="H191" i="1"/>
  <c r="H26" i="1"/>
  <c r="H180" i="1"/>
  <c r="G191" i="1"/>
  <c r="G26" i="1"/>
  <c r="G180" i="1"/>
  <c r="F26" i="1"/>
  <c r="F191" i="1"/>
  <c r="F180" i="1"/>
  <c r="I66" i="1"/>
  <c r="I25" i="1"/>
  <c r="E191" i="1"/>
  <c r="J6" i="1"/>
  <c r="I7" i="1"/>
  <c r="F248" i="1" l="1"/>
  <c r="O100" i="1"/>
  <c r="O86" i="1"/>
  <c r="O177" i="1"/>
  <c r="O125" i="1"/>
  <c r="J242" i="1" s="1"/>
  <c r="J249" i="1" s="1"/>
  <c r="O78" i="1"/>
  <c r="O152" i="1" s="1"/>
  <c r="O94" i="1"/>
  <c r="O95" i="1"/>
  <c r="O184" i="1"/>
  <c r="O84" i="1"/>
  <c r="O185" i="1"/>
  <c r="O85" i="1"/>
  <c r="O99" i="1"/>
  <c r="O53" i="1"/>
  <c r="O56" i="1"/>
  <c r="O59" i="1"/>
  <c r="O55" i="1"/>
  <c r="O183" i="1"/>
  <c r="P174" i="1"/>
  <c r="Q49" i="1"/>
  <c r="R49" i="1" s="1"/>
  <c r="P52" i="1"/>
  <c r="P183" i="1" s="1"/>
  <c r="H249" i="1"/>
  <c r="M133" i="1"/>
  <c r="M166" i="1"/>
  <c r="N165" i="1" s="1"/>
  <c r="L167" i="1"/>
  <c r="L58" i="1" s="1"/>
  <c r="I212" i="1"/>
  <c r="I216" i="1"/>
  <c r="I214" i="1"/>
  <c r="K201" i="1"/>
  <c r="K202" i="1"/>
  <c r="I219" i="1"/>
  <c r="I220" i="1"/>
  <c r="M120" i="1"/>
  <c r="M82" i="1" s="1"/>
  <c r="M128" i="1"/>
  <c r="M129" i="1" s="1"/>
  <c r="N99" i="1"/>
  <c r="N132" i="1" s="1"/>
  <c r="N94" i="1"/>
  <c r="N86" i="1"/>
  <c r="N84" i="1"/>
  <c r="N126" i="1" s="1"/>
  <c r="N95" i="1"/>
  <c r="N157" i="1" s="1"/>
  <c r="N100" i="1"/>
  <c r="N134" i="1" s="1"/>
  <c r="N85" i="1"/>
  <c r="N127" i="1" s="1"/>
  <c r="N78" i="1"/>
  <c r="N152" i="1" s="1"/>
  <c r="I8" i="1"/>
  <c r="I29" i="1"/>
  <c r="I35" i="1"/>
  <c r="I28" i="1"/>
  <c r="M60" i="1"/>
  <c r="I119" i="1"/>
  <c r="I122" i="1" s="1"/>
  <c r="I140" i="1" s="1"/>
  <c r="I26" i="1"/>
  <c r="K190" i="1"/>
  <c r="K62" i="1"/>
  <c r="K63" i="1" s="1"/>
  <c r="K64" i="1" s="1"/>
  <c r="K179" i="1"/>
  <c r="G238" i="1"/>
  <c r="G239" i="1" s="1"/>
  <c r="G240" i="1" s="1"/>
  <c r="K189" i="1"/>
  <c r="K178" i="1"/>
  <c r="M101" i="1"/>
  <c r="L61" i="1"/>
  <c r="L188" i="1"/>
  <c r="L57" i="1"/>
  <c r="N53" i="1"/>
  <c r="N177" i="1"/>
  <c r="N55" i="1"/>
  <c r="N185" i="1"/>
  <c r="N59" i="1"/>
  <c r="N184" i="1"/>
  <c r="N56" i="1"/>
  <c r="M54" i="1"/>
  <c r="H241" i="1"/>
  <c r="H250" i="1" s="1"/>
  <c r="N183" i="1"/>
  <c r="I191" i="1"/>
  <c r="I180" i="1"/>
  <c r="J66" i="1"/>
  <c r="K6" i="1"/>
  <c r="J7" i="1"/>
  <c r="G248" i="1" l="1"/>
  <c r="S49" i="1"/>
  <c r="R174" i="1"/>
  <c r="R52" i="1"/>
  <c r="R183" i="1" s="1"/>
  <c r="Q52" i="1"/>
  <c r="Q183" i="1" s="1"/>
  <c r="Q174" i="1"/>
  <c r="O60" i="1"/>
  <c r="O157" i="1"/>
  <c r="O133" i="1"/>
  <c r="O166" i="1"/>
  <c r="P165" i="1" s="1"/>
  <c r="P100" i="1"/>
  <c r="P134" i="1" s="1"/>
  <c r="P86" i="1"/>
  <c r="P128" i="1" s="1"/>
  <c r="P95" i="1"/>
  <c r="P157" i="1" s="1"/>
  <c r="P184" i="1"/>
  <c r="P84" i="1"/>
  <c r="P126" i="1" s="1"/>
  <c r="P177" i="1"/>
  <c r="P185" i="1"/>
  <c r="P85" i="1"/>
  <c r="P127" i="1" s="1"/>
  <c r="P94" i="1"/>
  <c r="P125" i="1"/>
  <c r="K242" i="1" s="1"/>
  <c r="K249" i="1" s="1"/>
  <c r="P78" i="1"/>
  <c r="P152" i="1" s="1"/>
  <c r="P99" i="1"/>
  <c r="P53" i="1"/>
  <c r="P54" i="1" s="1"/>
  <c r="P56" i="1"/>
  <c r="P55" i="1"/>
  <c r="P59" i="1"/>
  <c r="O132" i="1"/>
  <c r="O101" i="1"/>
  <c r="O120" i="1"/>
  <c r="J241" i="1"/>
  <c r="J250" i="1" s="1"/>
  <c r="O127" i="1"/>
  <c r="O128" i="1"/>
  <c r="O54" i="1"/>
  <c r="O126" i="1"/>
  <c r="O134" i="1"/>
  <c r="M167" i="1"/>
  <c r="M58" i="1" s="1"/>
  <c r="I249" i="1"/>
  <c r="N133" i="1"/>
  <c r="N166" i="1"/>
  <c r="L202" i="1"/>
  <c r="L201" i="1"/>
  <c r="L87" i="1"/>
  <c r="N120" i="1"/>
  <c r="N82" i="1" s="1"/>
  <c r="N128" i="1"/>
  <c r="N129" i="1" s="1"/>
  <c r="N60" i="1"/>
  <c r="J8" i="1"/>
  <c r="J76" i="1"/>
  <c r="J93" i="1"/>
  <c r="J77" i="1"/>
  <c r="J119" i="1"/>
  <c r="J68" i="1"/>
  <c r="J136" i="1" s="1"/>
  <c r="L62" i="1"/>
  <c r="L63" i="1" s="1"/>
  <c r="L64" i="1" s="1"/>
  <c r="L65" i="1" s="1"/>
  <c r="L66" i="1" s="1"/>
  <c r="N101" i="1"/>
  <c r="L189" i="1"/>
  <c r="L190" i="1"/>
  <c r="L178" i="1"/>
  <c r="L179" i="1"/>
  <c r="H238" i="1"/>
  <c r="H239" i="1" s="1"/>
  <c r="H240" i="1" s="1"/>
  <c r="N54" i="1"/>
  <c r="I241" i="1"/>
  <c r="I250" i="1" s="1"/>
  <c r="M188" i="1"/>
  <c r="M61" i="1"/>
  <c r="M57" i="1"/>
  <c r="K65" i="1"/>
  <c r="K66" i="1" s="1"/>
  <c r="J191" i="1"/>
  <c r="J180" i="1"/>
  <c r="L6" i="1"/>
  <c r="K7" i="1"/>
  <c r="H248" i="1" l="1"/>
  <c r="S52" i="1"/>
  <c r="S183" i="1" s="1"/>
  <c r="S174" i="1"/>
  <c r="R99" i="1"/>
  <c r="R125" i="1"/>
  <c r="M242" i="1" s="1"/>
  <c r="M249" i="1" s="1"/>
  <c r="R84" i="1"/>
  <c r="R94" i="1"/>
  <c r="R100" i="1"/>
  <c r="R177" i="1"/>
  <c r="R85" i="1"/>
  <c r="R95" i="1"/>
  <c r="R157" i="1" s="1"/>
  <c r="R185" i="1"/>
  <c r="R184" i="1"/>
  <c r="R86" i="1"/>
  <c r="R78" i="1"/>
  <c r="R152" i="1" s="1"/>
  <c r="R59" i="1"/>
  <c r="R55" i="1"/>
  <c r="R53" i="1"/>
  <c r="R54" i="1" s="1"/>
  <c r="R56" i="1"/>
  <c r="O82" i="1"/>
  <c r="O87" i="1" s="1"/>
  <c r="O129" i="1"/>
  <c r="K241" i="1"/>
  <c r="K250" i="1" s="1"/>
  <c r="P120" i="1"/>
  <c r="P60" i="1"/>
  <c r="P188" i="1"/>
  <c r="P57" i="1"/>
  <c r="P61" i="1"/>
  <c r="P101" i="1"/>
  <c r="P132" i="1"/>
  <c r="O188" i="1"/>
  <c r="O61" i="1"/>
  <c r="O57" i="1"/>
  <c r="P129" i="1"/>
  <c r="P133" i="1"/>
  <c r="P166" i="1"/>
  <c r="Q165" i="1" s="1"/>
  <c r="N167" i="1"/>
  <c r="N58" i="1" s="1"/>
  <c r="O165" i="1"/>
  <c r="O167" i="1" s="1"/>
  <c r="O58" i="1" s="1"/>
  <c r="Q100" i="1"/>
  <c r="Q134" i="1" s="1"/>
  <c r="Q95" i="1"/>
  <c r="Q157" i="1" s="1"/>
  <c r="Q184" i="1"/>
  <c r="Q84" i="1"/>
  <c r="Q126" i="1" s="1"/>
  <c r="Q125" i="1"/>
  <c r="L242" i="1" s="1"/>
  <c r="L249" i="1" s="1"/>
  <c r="Q78" i="1"/>
  <c r="Q152" i="1" s="1"/>
  <c r="Q185" i="1"/>
  <c r="Q85" i="1"/>
  <c r="Q127" i="1" s="1"/>
  <c r="Q94" i="1"/>
  <c r="Q177" i="1"/>
  <c r="Q99" i="1"/>
  <c r="Q86" i="1"/>
  <c r="Q128" i="1" s="1"/>
  <c r="Q53" i="1"/>
  <c r="Q54" i="1" s="1"/>
  <c r="Q56" i="1"/>
  <c r="Q59" i="1"/>
  <c r="Q55" i="1"/>
  <c r="M87" i="1"/>
  <c r="J151" i="1"/>
  <c r="J212" i="1"/>
  <c r="J211" i="1"/>
  <c r="K119" i="1"/>
  <c r="J216" i="1"/>
  <c r="J215" i="1"/>
  <c r="L119" i="1"/>
  <c r="M201" i="1"/>
  <c r="M202" i="1"/>
  <c r="J150" i="1"/>
  <c r="J214" i="1"/>
  <c r="J213" i="1"/>
  <c r="N87" i="1"/>
  <c r="J107" i="1"/>
  <c r="J108" i="1" s="1"/>
  <c r="J220" i="1" s="1"/>
  <c r="J137" i="1"/>
  <c r="J156" i="1"/>
  <c r="J158" i="1" s="1"/>
  <c r="J96" i="1"/>
  <c r="J103" i="1" s="1"/>
  <c r="K8" i="1"/>
  <c r="K76" i="1"/>
  <c r="K93" i="1"/>
  <c r="K77" i="1"/>
  <c r="M62" i="1"/>
  <c r="M63" i="1" s="1"/>
  <c r="M64" i="1" s="1"/>
  <c r="N57" i="1"/>
  <c r="J238" i="1" s="1"/>
  <c r="N61" i="1"/>
  <c r="N188" i="1"/>
  <c r="M179" i="1"/>
  <c r="M178" i="1"/>
  <c r="I238" i="1"/>
  <c r="M189" i="1"/>
  <c r="M190" i="1"/>
  <c r="K68" i="1"/>
  <c r="K136" i="1" s="1"/>
  <c r="K137" i="1" s="1"/>
  <c r="K191" i="1"/>
  <c r="K180" i="1"/>
  <c r="L68" i="1"/>
  <c r="L136" i="1" s="1"/>
  <c r="L137" i="1" s="1"/>
  <c r="L180" i="1"/>
  <c r="L191" i="1"/>
  <c r="M6" i="1"/>
  <c r="L7" i="1"/>
  <c r="J153" i="1" l="1"/>
  <c r="R188" i="1"/>
  <c r="R57" i="1"/>
  <c r="R61" i="1"/>
  <c r="R128" i="1"/>
  <c r="R134" i="1"/>
  <c r="R133" i="1"/>
  <c r="R166" i="1"/>
  <c r="S165" i="1" s="1"/>
  <c r="R126" i="1"/>
  <c r="R120" i="1"/>
  <c r="M241" i="1"/>
  <c r="M250" i="1" s="1"/>
  <c r="R60" i="1"/>
  <c r="R132" i="1"/>
  <c r="R101" i="1"/>
  <c r="R127" i="1"/>
  <c r="S185" i="1"/>
  <c r="S99" i="1"/>
  <c r="S125" i="1"/>
  <c r="N242" i="1" s="1"/>
  <c r="N249" i="1" s="1"/>
  <c r="S84" i="1"/>
  <c r="S126" i="1" s="1"/>
  <c r="S94" i="1"/>
  <c r="S100" i="1"/>
  <c r="S134" i="1" s="1"/>
  <c r="S78" i="1"/>
  <c r="S152" i="1" s="1"/>
  <c r="S177" i="1"/>
  <c r="S85" i="1"/>
  <c r="S127" i="1" s="1"/>
  <c r="S95" i="1"/>
  <c r="S157" i="1" s="1"/>
  <c r="S184" i="1"/>
  <c r="S86" i="1"/>
  <c r="S128" i="1" s="1"/>
  <c r="S55" i="1"/>
  <c r="S59" i="1"/>
  <c r="S56" i="1"/>
  <c r="S53" i="1"/>
  <c r="P82" i="1"/>
  <c r="P87" i="1" s="1"/>
  <c r="P167" i="1"/>
  <c r="P58" i="1" s="1"/>
  <c r="P62" i="1" s="1"/>
  <c r="P63" i="1" s="1"/>
  <c r="P64" i="1" s="1"/>
  <c r="P65" i="1" s="1"/>
  <c r="P66" i="1" s="1"/>
  <c r="Q133" i="1"/>
  <c r="Q166" i="1"/>
  <c r="J239" i="1"/>
  <c r="J240" i="1" s="1"/>
  <c r="Q188" i="1"/>
  <c r="Q57" i="1"/>
  <c r="M238" i="1" s="1"/>
  <c r="Q61" i="1"/>
  <c r="O62" i="1"/>
  <c r="O63" i="1" s="1"/>
  <c r="O64" i="1" s="1"/>
  <c r="O65" i="1" s="1"/>
  <c r="O66" i="1" s="1"/>
  <c r="K238" i="1"/>
  <c r="K239" i="1" s="1"/>
  <c r="K240" i="1" s="1"/>
  <c r="O179" i="1"/>
  <c r="O189" i="1"/>
  <c r="O178" i="1"/>
  <c r="O202" i="1"/>
  <c r="O190" i="1"/>
  <c r="O201" i="1"/>
  <c r="L238" i="1"/>
  <c r="P189" i="1"/>
  <c r="P178" i="1"/>
  <c r="P190" i="1"/>
  <c r="P179" i="1"/>
  <c r="L241" i="1"/>
  <c r="L250" i="1" s="1"/>
  <c r="Q120" i="1"/>
  <c r="Q101" i="1"/>
  <c r="Q132" i="1"/>
  <c r="Q60" i="1"/>
  <c r="Q129" i="1"/>
  <c r="K150" i="1"/>
  <c r="K214" i="1"/>
  <c r="K213" i="1"/>
  <c r="J208" i="1"/>
  <c r="J205" i="1"/>
  <c r="K151" i="1"/>
  <c r="K212" i="1"/>
  <c r="K211" i="1"/>
  <c r="N201" i="1"/>
  <c r="N202" i="1"/>
  <c r="K216" i="1"/>
  <c r="K215" i="1"/>
  <c r="J110" i="1"/>
  <c r="J206" i="1" s="1"/>
  <c r="K156" i="1"/>
  <c r="K158" i="1" s="1"/>
  <c r="K96" i="1"/>
  <c r="K103" i="1" s="1"/>
  <c r="J160" i="1"/>
  <c r="L8" i="1"/>
  <c r="L76" i="1"/>
  <c r="L77" i="1"/>
  <c r="L93" i="1"/>
  <c r="K107" i="1"/>
  <c r="N62" i="1"/>
  <c r="N63" i="1" s="1"/>
  <c r="N64" i="1" s="1"/>
  <c r="N178" i="1"/>
  <c r="N190" i="1"/>
  <c r="N179" i="1"/>
  <c r="N189" i="1"/>
  <c r="I239" i="1"/>
  <c r="I240" i="1" s="1"/>
  <c r="M65" i="1"/>
  <c r="M66" i="1" s="1"/>
  <c r="N6" i="1"/>
  <c r="M7" i="1"/>
  <c r="J161" i="1" l="1"/>
  <c r="J121" i="1" s="1"/>
  <c r="N7" i="1"/>
  <c r="O6" i="1"/>
  <c r="J248" i="1"/>
  <c r="I248" i="1"/>
  <c r="K248" i="1"/>
  <c r="R129" i="1"/>
  <c r="P202" i="1"/>
  <c r="Q82" i="1"/>
  <c r="Q87" i="1" s="1"/>
  <c r="S60" i="1"/>
  <c r="S132" i="1"/>
  <c r="S101" i="1"/>
  <c r="S120" i="1"/>
  <c r="N241" i="1"/>
  <c r="N250" i="1" s="1"/>
  <c r="M239" i="1"/>
  <c r="M240" i="1" s="1"/>
  <c r="Q167" i="1"/>
  <c r="Q58" i="1" s="1"/>
  <c r="Q62" i="1" s="1"/>
  <c r="Q63" i="1" s="1"/>
  <c r="Q64" i="1" s="1"/>
  <c r="Q65" i="1" s="1"/>
  <c r="Q66" i="1" s="1"/>
  <c r="R165" i="1"/>
  <c r="R167" i="1" s="1"/>
  <c r="R58" i="1" s="1"/>
  <c r="R201" i="1" s="1"/>
  <c r="R189" i="1"/>
  <c r="R179" i="1"/>
  <c r="N238" i="1"/>
  <c r="R178" i="1"/>
  <c r="R190" i="1"/>
  <c r="S133" i="1"/>
  <c r="S166" i="1"/>
  <c r="S167" i="1" s="1"/>
  <c r="S58" i="1" s="1"/>
  <c r="S54" i="1"/>
  <c r="S129" i="1"/>
  <c r="P201" i="1"/>
  <c r="K153" i="1"/>
  <c r="K160" i="1" s="1"/>
  <c r="K161" i="1" s="1"/>
  <c r="K121" i="1" s="1"/>
  <c r="K122" i="1" s="1"/>
  <c r="K140" i="1" s="1"/>
  <c r="Q179" i="1"/>
  <c r="Q178" i="1"/>
  <c r="Q190" i="1"/>
  <c r="Q189" i="1"/>
  <c r="O191" i="1"/>
  <c r="O68" i="1"/>
  <c r="O136" i="1" s="1"/>
  <c r="O137" i="1" s="1"/>
  <c r="O119" i="1"/>
  <c r="L239" i="1"/>
  <c r="L240" i="1" s="1"/>
  <c r="P191" i="1"/>
  <c r="P180" i="1"/>
  <c r="P68" i="1"/>
  <c r="P136" i="1" s="1"/>
  <c r="P137" i="1" s="1"/>
  <c r="P119" i="1"/>
  <c r="K208" i="1"/>
  <c r="M119" i="1"/>
  <c r="L150" i="1"/>
  <c r="L214" i="1"/>
  <c r="L213" i="1"/>
  <c r="L216" i="1"/>
  <c r="L215" i="1"/>
  <c r="L151" i="1"/>
  <c r="L212" i="1"/>
  <c r="L211" i="1"/>
  <c r="N8" i="1"/>
  <c r="N76" i="1"/>
  <c r="N77" i="1"/>
  <c r="N93" i="1"/>
  <c r="L156" i="1"/>
  <c r="L158" i="1" s="1"/>
  <c r="L96" i="1"/>
  <c r="L103" i="1" s="1"/>
  <c r="M8" i="1"/>
  <c r="M76" i="1"/>
  <c r="M93" i="1"/>
  <c r="M77" i="1"/>
  <c r="L107" i="1"/>
  <c r="K108" i="1"/>
  <c r="N65" i="1"/>
  <c r="N66" i="1" s="1"/>
  <c r="O180" i="1" s="1"/>
  <c r="M68" i="1"/>
  <c r="M136" i="1" s="1"/>
  <c r="M137" i="1" s="1"/>
  <c r="M191" i="1"/>
  <c r="M180" i="1"/>
  <c r="K4" i="1"/>
  <c r="F4" i="1"/>
  <c r="G4" i="1" s="1"/>
  <c r="H4" i="1" s="1"/>
  <c r="I4" i="1" s="1"/>
  <c r="J122" i="1" l="1"/>
  <c r="J140" i="1" s="1"/>
  <c r="E243" i="1"/>
  <c r="L248" i="1"/>
  <c r="O7" i="1"/>
  <c r="P6" i="1"/>
  <c r="M248" i="1"/>
  <c r="Q202" i="1"/>
  <c r="R62" i="1"/>
  <c r="R63" i="1" s="1"/>
  <c r="R64" i="1" s="1"/>
  <c r="R65" i="1" s="1"/>
  <c r="R66" i="1" s="1"/>
  <c r="R119" i="1" s="1"/>
  <c r="R82" i="1"/>
  <c r="S82" i="1" s="1"/>
  <c r="S87" i="1" s="1"/>
  <c r="R202" i="1"/>
  <c r="Q201" i="1"/>
  <c r="N239" i="1"/>
  <c r="N240" i="1" s="1"/>
  <c r="H228" i="1"/>
  <c r="S188" i="1"/>
  <c r="S61" i="1"/>
  <c r="S57" i="1"/>
  <c r="Q191" i="1"/>
  <c r="Q180" i="1"/>
  <c r="Q68" i="1"/>
  <c r="Q136" i="1" s="1"/>
  <c r="Q137" i="1" s="1"/>
  <c r="Q119" i="1"/>
  <c r="L153" i="1"/>
  <c r="L160" i="1" s="1"/>
  <c r="L161" i="1" s="1"/>
  <c r="L121" i="1" s="1"/>
  <c r="L122" i="1" s="1"/>
  <c r="L140" i="1" s="1"/>
  <c r="L208" i="1"/>
  <c r="K110" i="1"/>
  <c r="K206" i="1" s="1"/>
  <c r="K220" i="1"/>
  <c r="N216" i="1"/>
  <c r="N215" i="1"/>
  <c r="N119" i="1"/>
  <c r="N151" i="1"/>
  <c r="N212" i="1"/>
  <c r="N211" i="1"/>
  <c r="K205" i="1"/>
  <c r="N150" i="1"/>
  <c r="N214" i="1"/>
  <c r="N213" i="1"/>
  <c r="M151" i="1"/>
  <c r="M212" i="1"/>
  <c r="M211" i="1"/>
  <c r="M216" i="1"/>
  <c r="M215" i="1"/>
  <c r="M150" i="1"/>
  <c r="M214" i="1"/>
  <c r="M213" i="1"/>
  <c r="J141" i="1"/>
  <c r="K139" i="1" s="1"/>
  <c r="M156" i="1"/>
  <c r="M158" i="1" s="1"/>
  <c r="M96" i="1"/>
  <c r="M103" i="1" s="1"/>
  <c r="N156" i="1"/>
  <c r="N158" i="1" s="1"/>
  <c r="N96" i="1"/>
  <c r="N103" i="1" s="1"/>
  <c r="M107" i="1"/>
  <c r="L108" i="1"/>
  <c r="F243" i="1"/>
  <c r="N180" i="1"/>
  <c r="N191" i="1"/>
  <c r="N68" i="1"/>
  <c r="N136" i="1" s="1"/>
  <c r="N137" i="1" s="1"/>
  <c r="L4" i="1"/>
  <c r="F237" i="1"/>
  <c r="P7" i="1" l="1"/>
  <c r="Q6" i="1"/>
  <c r="O8" i="1"/>
  <c r="O76" i="1"/>
  <c r="O77" i="1"/>
  <c r="O93" i="1"/>
  <c r="F251" i="1"/>
  <c r="F252" i="1" s="1"/>
  <c r="F244" i="1"/>
  <c r="F274" i="1" s="1"/>
  <c r="N248" i="1"/>
  <c r="E251" i="1"/>
  <c r="E252" i="1" s="1"/>
  <c r="E257" i="1"/>
  <c r="R191" i="1"/>
  <c r="R180" i="1"/>
  <c r="R68" i="1"/>
  <c r="R136" i="1" s="1"/>
  <c r="R137" i="1" s="1"/>
  <c r="R87" i="1"/>
  <c r="S179" i="1"/>
  <c r="S202" i="1"/>
  <c r="S189" i="1"/>
  <c r="S178" i="1"/>
  <c r="S190" i="1"/>
  <c r="S201" i="1"/>
  <c r="S62" i="1"/>
  <c r="S63" i="1" s="1"/>
  <c r="S64" i="1" s="1"/>
  <c r="E274" i="1"/>
  <c r="M153" i="1"/>
  <c r="M160" i="1" s="1"/>
  <c r="M161" i="1" s="1"/>
  <c r="M121" i="1" s="1"/>
  <c r="M122" i="1" s="1"/>
  <c r="M140" i="1" s="1"/>
  <c r="N153" i="1"/>
  <c r="N160" i="1" s="1"/>
  <c r="N208" i="1"/>
  <c r="L110" i="1"/>
  <c r="L206" i="1" s="1"/>
  <c r="L220" i="1"/>
  <c r="M208" i="1"/>
  <c r="L205" i="1"/>
  <c r="G243" i="1"/>
  <c r="K141" i="1"/>
  <c r="K75" i="1" s="1"/>
  <c r="K79" i="1" s="1"/>
  <c r="J75" i="1"/>
  <c r="J79" i="1" s="1"/>
  <c r="J89" i="1" s="1"/>
  <c r="N107" i="1"/>
  <c r="M108" i="1"/>
  <c r="M205" i="1" s="1"/>
  <c r="F256" i="1"/>
  <c r="F273" i="1"/>
  <c r="M4" i="1"/>
  <c r="G237" i="1"/>
  <c r="O215" i="1" l="1"/>
  <c r="O156" i="1"/>
  <c r="O158" i="1" s="1"/>
  <c r="O96" i="1"/>
  <c r="O103" i="1" s="1"/>
  <c r="O208" i="1" s="1"/>
  <c r="O216" i="1"/>
  <c r="O211" i="1"/>
  <c r="O151" i="1"/>
  <c r="O153" i="1" s="1"/>
  <c r="O160" i="1" s="1"/>
  <c r="O161" i="1" s="1"/>
  <c r="O121" i="1" s="1"/>
  <c r="O212" i="1"/>
  <c r="O213" i="1"/>
  <c r="O214" i="1"/>
  <c r="O150" i="1"/>
  <c r="G251" i="1"/>
  <c r="G252" i="1" s="1"/>
  <c r="G244" i="1"/>
  <c r="G257" i="1" s="1"/>
  <c r="Q7" i="1"/>
  <c r="R6" i="1"/>
  <c r="P8" i="1"/>
  <c r="P76" i="1"/>
  <c r="P93" i="1"/>
  <c r="P77" i="1"/>
  <c r="S65" i="1"/>
  <c r="S66" i="1" s="1"/>
  <c r="N108" i="1"/>
  <c r="N220" i="1" s="1"/>
  <c r="O107" i="1"/>
  <c r="F257" i="1"/>
  <c r="N161" i="1"/>
  <c r="N121" i="1" s="1"/>
  <c r="N122" i="1" s="1"/>
  <c r="N140" i="1" s="1"/>
  <c r="J143" i="1"/>
  <c r="J113" i="1"/>
  <c r="J5" i="1" s="1"/>
  <c r="J207" i="1"/>
  <c r="J219" i="1"/>
  <c r="M110" i="1"/>
  <c r="M206" i="1" s="1"/>
  <c r="M220" i="1"/>
  <c r="J197" i="1"/>
  <c r="J198" i="1"/>
  <c r="H243" i="1"/>
  <c r="K89" i="1"/>
  <c r="K197" i="1"/>
  <c r="K198" i="1"/>
  <c r="K143" i="1"/>
  <c r="L139" i="1"/>
  <c r="G256" i="1"/>
  <c r="G273" i="1"/>
  <c r="N4" i="1"/>
  <c r="H237" i="1"/>
  <c r="O122" i="1" l="1"/>
  <c r="O140" i="1" s="1"/>
  <c r="J243" i="1"/>
  <c r="P215" i="1"/>
  <c r="P216" i="1"/>
  <c r="P96" i="1"/>
  <c r="P103" i="1" s="1"/>
  <c r="P208" i="1" s="1"/>
  <c r="P156" i="1"/>
  <c r="P158" i="1" s="1"/>
  <c r="Q8" i="1"/>
  <c r="Q76" i="1"/>
  <c r="Q77" i="1"/>
  <c r="Q93" i="1"/>
  <c r="I237" i="1"/>
  <c r="O4" i="1"/>
  <c r="P213" i="1"/>
  <c r="P150" i="1"/>
  <c r="P214" i="1"/>
  <c r="R7" i="1"/>
  <c r="S6" i="1"/>
  <c r="S7" i="1" s="1"/>
  <c r="P211" i="1"/>
  <c r="P151" i="1"/>
  <c r="P212" i="1"/>
  <c r="H251" i="1"/>
  <c r="H252" i="1" s="1"/>
  <c r="H244" i="1"/>
  <c r="H274" i="1" s="1"/>
  <c r="N205" i="1"/>
  <c r="S191" i="1"/>
  <c r="S180" i="1"/>
  <c r="S68" i="1"/>
  <c r="S136" i="1" s="1"/>
  <c r="S137" i="1" s="1"/>
  <c r="S119" i="1"/>
  <c r="N110" i="1"/>
  <c r="N206" i="1" s="1"/>
  <c r="O108" i="1"/>
  <c r="P107" i="1"/>
  <c r="I243" i="1"/>
  <c r="G274" i="1"/>
  <c r="K113" i="1"/>
  <c r="K5" i="1" s="1"/>
  <c r="K207" i="1"/>
  <c r="K219" i="1"/>
  <c r="L141" i="1"/>
  <c r="H256" i="1"/>
  <c r="H273" i="1"/>
  <c r="I256" i="1"/>
  <c r="I273" i="1"/>
  <c r="P4" i="1" l="1"/>
  <c r="J237" i="1"/>
  <c r="P153" i="1"/>
  <c r="P160" i="1" s="1"/>
  <c r="P161" i="1" s="1"/>
  <c r="P121" i="1" s="1"/>
  <c r="I251" i="1"/>
  <c r="I252" i="1" s="1"/>
  <c r="I244" i="1"/>
  <c r="L228" i="1" s="1"/>
  <c r="Q215" i="1"/>
  <c r="Q216" i="1"/>
  <c r="Q156" i="1"/>
  <c r="Q158" i="1" s="1"/>
  <c r="Q96" i="1"/>
  <c r="Q103" i="1" s="1"/>
  <c r="Q208" i="1" s="1"/>
  <c r="J251" i="1"/>
  <c r="J252" i="1" s="1"/>
  <c r="J244" i="1"/>
  <c r="S8" i="1"/>
  <c r="S76" i="1"/>
  <c r="S93" i="1"/>
  <c r="S77" i="1"/>
  <c r="Q212" i="1"/>
  <c r="Q151" i="1"/>
  <c r="Q211" i="1"/>
  <c r="R8" i="1"/>
  <c r="R76" i="1"/>
  <c r="R93" i="1"/>
  <c r="R77" i="1"/>
  <c r="Q213" i="1"/>
  <c r="Q150" i="1"/>
  <c r="Q214" i="1"/>
  <c r="P108" i="1"/>
  <c r="Q107" i="1"/>
  <c r="O110" i="1"/>
  <c r="O206" i="1" s="1"/>
  <c r="O205" i="1"/>
  <c r="O220" i="1"/>
  <c r="H257" i="1"/>
  <c r="L75" i="1"/>
  <c r="L79" i="1" s="1"/>
  <c r="M139" i="1"/>
  <c r="Q153" i="1" l="1"/>
  <c r="Q160" i="1" s="1"/>
  <c r="Q161" i="1" s="1"/>
  <c r="Q121" i="1" s="1"/>
  <c r="S214" i="1"/>
  <c r="S150" i="1"/>
  <c r="S213" i="1"/>
  <c r="R213" i="1"/>
  <c r="R214" i="1"/>
  <c r="R150" i="1"/>
  <c r="R211" i="1"/>
  <c r="R212" i="1"/>
  <c r="R151" i="1"/>
  <c r="R215" i="1"/>
  <c r="R216" i="1"/>
  <c r="R96" i="1"/>
  <c r="R103" i="1" s="1"/>
  <c r="R208" i="1" s="1"/>
  <c r="R156" i="1"/>
  <c r="R158" i="1" s="1"/>
  <c r="J257" i="1"/>
  <c r="J274" i="1"/>
  <c r="K243" i="1"/>
  <c r="P122" i="1"/>
  <c r="P140" i="1" s="1"/>
  <c r="I257" i="1"/>
  <c r="S215" i="1"/>
  <c r="S96" i="1"/>
  <c r="S103" i="1" s="1"/>
  <c r="S208" i="1" s="1"/>
  <c r="S156" i="1"/>
  <c r="S158" i="1" s="1"/>
  <c r="S216" i="1"/>
  <c r="J256" i="1"/>
  <c r="J273" i="1"/>
  <c r="I274" i="1"/>
  <c r="Q4" i="1"/>
  <c r="K237" i="1"/>
  <c r="L243" i="1"/>
  <c r="Q122" i="1"/>
  <c r="Q140" i="1" s="1"/>
  <c r="S211" i="1"/>
  <c r="S212" i="1"/>
  <c r="S151" i="1"/>
  <c r="S153" i="1" s="1"/>
  <c r="Q108" i="1"/>
  <c r="Q110" i="1" s="1"/>
  <c r="Q206" i="1" s="1"/>
  <c r="R107" i="1"/>
  <c r="P110" i="1"/>
  <c r="P206" i="1" s="1"/>
  <c r="P205" i="1"/>
  <c r="P220" i="1"/>
  <c r="L89" i="1"/>
  <c r="L197" i="1"/>
  <c r="L198" i="1"/>
  <c r="L143" i="1"/>
  <c r="M141" i="1"/>
  <c r="S160" i="1" l="1"/>
  <c r="K251" i="1"/>
  <c r="K252" i="1" s="1"/>
  <c r="K244" i="1"/>
  <c r="K274" i="1" s="1"/>
  <c r="L251" i="1"/>
  <c r="L252" i="1" s="1"/>
  <c r="L244" i="1"/>
  <c r="R4" i="1"/>
  <c r="L237" i="1"/>
  <c r="K273" i="1"/>
  <c r="K256" i="1"/>
  <c r="R153" i="1"/>
  <c r="R160" i="1" s="1"/>
  <c r="R161" i="1" s="1"/>
  <c r="R121" i="1" s="1"/>
  <c r="Q220" i="1"/>
  <c r="Q205" i="1"/>
  <c r="S107" i="1"/>
  <c r="S108" i="1" s="1"/>
  <c r="R108" i="1"/>
  <c r="L113" i="1"/>
  <c r="L5" i="1" s="1"/>
  <c r="L207" i="1"/>
  <c r="L219" i="1"/>
  <c r="N139" i="1"/>
  <c r="M75" i="1"/>
  <c r="M79" i="1" s="1"/>
  <c r="L273" i="1" l="1"/>
  <c r="L256" i="1"/>
  <c r="S4" i="1"/>
  <c r="N237" i="1" s="1"/>
  <c r="M237" i="1"/>
  <c r="M243" i="1"/>
  <c r="R122" i="1"/>
  <c r="R140" i="1" s="1"/>
  <c r="K257" i="1"/>
  <c r="L274" i="1"/>
  <c r="L257" i="1"/>
  <c r="S161" i="1"/>
  <c r="S121" i="1" s="1"/>
  <c r="R110" i="1"/>
  <c r="R206" i="1" s="1"/>
  <c r="R205" i="1"/>
  <c r="R220" i="1"/>
  <c r="S110" i="1"/>
  <c r="S206" i="1" s="1"/>
  <c r="S205" i="1"/>
  <c r="S220" i="1"/>
  <c r="M89" i="1"/>
  <c r="M197" i="1"/>
  <c r="M198" i="1"/>
  <c r="M143" i="1"/>
  <c r="N141" i="1"/>
  <c r="O139" i="1" s="1"/>
  <c r="O141" i="1" s="1"/>
  <c r="M251" i="1" l="1"/>
  <c r="M252" i="1" s="1"/>
  <c r="M244" i="1"/>
  <c r="M273" i="1"/>
  <c r="M256" i="1"/>
  <c r="N273" i="1"/>
  <c r="N256" i="1"/>
  <c r="N243" i="1"/>
  <c r="S122" i="1"/>
  <c r="S140" i="1" s="1"/>
  <c r="O75" i="1"/>
  <c r="O79" i="1" s="1"/>
  <c r="P139" i="1"/>
  <c r="P141" i="1" s="1"/>
  <c r="M113" i="1"/>
  <c r="M5" i="1" s="1"/>
  <c r="M207" i="1"/>
  <c r="M219" i="1"/>
  <c r="N75" i="1"/>
  <c r="N79" i="1" s="1"/>
  <c r="N251" i="1" l="1"/>
  <c r="N252" i="1" s="1"/>
  <c r="N244" i="1"/>
  <c r="M257" i="1"/>
  <c r="M274" i="1"/>
  <c r="O143" i="1"/>
  <c r="P75" i="1"/>
  <c r="P79" i="1" s="1"/>
  <c r="Q139" i="1"/>
  <c r="Q141" i="1" s="1"/>
  <c r="R139" i="1" s="1"/>
  <c r="R141" i="1" s="1"/>
  <c r="O89" i="1"/>
  <c r="O197" i="1"/>
  <c r="O198" i="1"/>
  <c r="N89" i="1"/>
  <c r="N197" i="1"/>
  <c r="N198" i="1"/>
  <c r="N143" i="1"/>
  <c r="N274" i="1" l="1"/>
  <c r="B277" i="1" s="1"/>
  <c r="H229" i="1"/>
  <c r="N257" i="1" s="1"/>
  <c r="B260" i="1" s="1"/>
  <c r="B264" i="1" s="1"/>
  <c r="B266" i="1" s="1"/>
  <c r="B269" i="1" s="1"/>
  <c r="B270" i="1" s="1"/>
  <c r="S139" i="1"/>
  <c r="S141" i="1" s="1"/>
  <c r="R75" i="1"/>
  <c r="R79" i="1" s="1"/>
  <c r="P143" i="1"/>
  <c r="O113" i="1"/>
  <c r="O5" i="1" s="1"/>
  <c r="O207" i="1"/>
  <c r="O219" i="1"/>
  <c r="Q75" i="1"/>
  <c r="Q79" i="1" s="1"/>
  <c r="P89" i="1"/>
  <c r="P198" i="1"/>
  <c r="P197" i="1"/>
  <c r="N113" i="1"/>
  <c r="N5" i="1" s="1"/>
  <c r="N207" i="1"/>
  <c r="N219" i="1"/>
  <c r="E260" i="1" l="1"/>
  <c r="L229" i="1"/>
  <c r="E277" i="1"/>
  <c r="B281" i="1"/>
  <c r="B283" i="1" s="1"/>
  <c r="B286" i="1" s="1"/>
  <c r="B287" i="1" s="1"/>
  <c r="R143" i="1"/>
  <c r="R89" i="1"/>
  <c r="R197" i="1"/>
  <c r="R198" i="1"/>
  <c r="S75" i="1"/>
  <c r="S79" i="1" s="1"/>
  <c r="Q143" i="1"/>
  <c r="P113" i="1"/>
  <c r="P5" i="1" s="1"/>
  <c r="P207" i="1"/>
  <c r="P219" i="1"/>
  <c r="Q89" i="1"/>
  <c r="Q198" i="1"/>
  <c r="Q197" i="1"/>
  <c r="S89" i="1" l="1"/>
  <c r="S197" i="1"/>
  <c r="S198" i="1"/>
  <c r="S143" i="1"/>
  <c r="R113" i="1"/>
  <c r="R5" i="1" s="1"/>
  <c r="R207" i="1"/>
  <c r="R219" i="1"/>
  <c r="Q113" i="1"/>
  <c r="Q5" i="1" s="1"/>
  <c r="Q207" i="1"/>
  <c r="Q219" i="1"/>
  <c r="S113" i="1" l="1"/>
  <c r="S5" i="1" s="1"/>
  <c r="S207" i="1"/>
  <c r="S2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</author>
    <author>Mario Andrés Frixone Andrade</author>
  </authors>
  <commentList>
    <comment ref="A34" authorId="0" shapeId="0" xr:uid="{260F04F2-9869-48B7-B387-CDC8655C2DBF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Deferred income tax assets, employee post-retirement benefits, long term contract assets, capital projects in development, derivative and hedging assets</t>
        </r>
      </text>
    </comment>
    <comment ref="A53" authorId="1" shapeId="0" xr:uid="{7E7DCD3C-306F-464A-8CA1-DB1E07033CAA}">
      <text>
        <r>
          <rPr>
            <b/>
            <sz val="9"/>
            <color indexed="81"/>
            <rFont val="Tahoma"/>
            <family val="2"/>
          </rPr>
          <t>Mario Andrés Frixone Andrade:</t>
        </r>
        <r>
          <rPr>
            <sz val="9"/>
            <color indexed="81"/>
            <rFont val="Tahoma"/>
            <family val="2"/>
          </rPr>
          <t xml:space="preserve">
plant operating costs&amp;other, property taxes</t>
        </r>
      </text>
    </comment>
    <comment ref="A55" authorId="1" shapeId="0" xr:uid="{249764A7-1841-4133-B806-6EEDDAD96E8E}">
      <text>
        <r>
          <rPr>
            <b/>
            <sz val="9"/>
            <color indexed="81"/>
            <rFont val="Tahoma"/>
            <family val="2"/>
          </rPr>
          <t>Mario Andrés Frixone Andrade:</t>
        </r>
        <r>
          <rPr>
            <sz val="9"/>
            <color indexed="81"/>
            <rFont val="Tahoma"/>
            <family val="2"/>
          </rPr>
          <t xml:space="preserve">
commodity purchases resold, asset impairment and gain/loss on assets sold</t>
        </r>
      </text>
    </comment>
    <comment ref="A86" authorId="0" shapeId="0" xr:uid="{4E822A6E-01A4-4F84-9BAE-D1ADDC9A1C2C}">
      <text>
        <r>
          <rPr>
            <b/>
            <sz val="9"/>
            <color indexed="81"/>
            <rFont val="Tahoma"/>
            <family val="2"/>
          </rPr>
          <t>Felipe:</t>
        </r>
        <r>
          <rPr>
            <sz val="9"/>
            <color indexed="81"/>
            <rFont val="Tahoma"/>
            <family val="2"/>
          </rPr>
          <t xml:space="preserve">
Deferred income tax assets, employee post-retirement benefits, long term contract assets, capital projects in development, derivative and hedging assets</t>
        </r>
      </text>
    </comment>
  </commentList>
</comments>
</file>

<file path=xl/sharedStrings.xml><?xml version="1.0" encoding="utf-8"?>
<sst xmlns="http://schemas.openxmlformats.org/spreadsheetml/2006/main" count="234" uniqueCount="189">
  <si>
    <t>Balance Sheet Check</t>
  </si>
  <si>
    <t>End of Period</t>
  </si>
  <si>
    <t>Days in Period</t>
  </si>
  <si>
    <t>Fraction of Year</t>
  </si>
  <si>
    <t>Assumptions</t>
  </si>
  <si>
    <t>Income Statement</t>
  </si>
  <si>
    <t>Balance Sheet</t>
  </si>
  <si>
    <t>Cash Flow Statement</t>
  </si>
  <si>
    <t>Supporting Schedules</t>
  </si>
  <si>
    <t>Financial Analysis</t>
  </si>
  <si>
    <t>Total Revenue</t>
  </si>
  <si>
    <t>Cost of Goods Sold</t>
  </si>
  <si>
    <t>Gross Profit</t>
  </si>
  <si>
    <t>EBITDA</t>
  </si>
  <si>
    <t>Depreciation &amp; Amortization</t>
  </si>
  <si>
    <t>EBIT</t>
  </si>
  <si>
    <t>EBT</t>
  </si>
  <si>
    <t>Taxes</t>
  </si>
  <si>
    <t>Net Income</t>
  </si>
  <si>
    <t>Dividend</t>
  </si>
  <si>
    <t>Natural Gas Pipelines</t>
  </si>
  <si>
    <t>Other Revenue</t>
  </si>
  <si>
    <t>Revenue:</t>
  </si>
  <si>
    <t>Accounts Receivable</t>
  </si>
  <si>
    <t>Inventory</t>
  </si>
  <si>
    <t>ASSETS:</t>
  </si>
  <si>
    <t>Current Assets</t>
  </si>
  <si>
    <t>Cash &amp; Cash Equivalents</t>
  </si>
  <si>
    <t>Total Current Assets</t>
  </si>
  <si>
    <t>Other Current Assets</t>
  </si>
  <si>
    <t>Non-Current Assets</t>
  </si>
  <si>
    <t>Goodwill</t>
  </si>
  <si>
    <t>Other Intangible Assets</t>
  </si>
  <si>
    <t>Total Non-Current Assets</t>
  </si>
  <si>
    <t>Total Assets</t>
  </si>
  <si>
    <t>Current Liabilities</t>
  </si>
  <si>
    <t>Accounts Payable</t>
  </si>
  <si>
    <t>Short-Term Debt</t>
  </si>
  <si>
    <t>Other Current Liabilities</t>
  </si>
  <si>
    <t>Total Current Liabilities</t>
  </si>
  <si>
    <t>Non-Current Liabilities</t>
  </si>
  <si>
    <t>Long-Term Debt</t>
  </si>
  <si>
    <t>Other Long-Term Liabilities</t>
  </si>
  <si>
    <t>Total Non-Current Liabilities</t>
  </si>
  <si>
    <t>Total Liabilities</t>
  </si>
  <si>
    <t>EQUITY</t>
  </si>
  <si>
    <t>Shareholder's Equity</t>
  </si>
  <si>
    <t>Retained Earnings</t>
  </si>
  <si>
    <t>Total Equity</t>
  </si>
  <si>
    <t>Total Liabilities + Equity</t>
  </si>
  <si>
    <t>Operating Cash Flow</t>
  </si>
  <si>
    <t>Plus: Depreciation &amp; Amortization</t>
  </si>
  <si>
    <t>Less: Changes in Working Capital</t>
  </si>
  <si>
    <t>Investing Cash Flow</t>
  </si>
  <si>
    <t>Total Cash Flow from Operations</t>
  </si>
  <si>
    <t>Total Cash Flow from Investing</t>
  </si>
  <si>
    <t>Financing Cash Flow</t>
  </si>
  <si>
    <t>Dividend payment</t>
  </si>
  <si>
    <t>Total Cash Flow from Financing</t>
  </si>
  <si>
    <t>Net Increase (decrease) in Cash</t>
  </si>
  <si>
    <t>Opening Cash Balance</t>
  </si>
  <si>
    <t>Closing Cash Balance</t>
  </si>
  <si>
    <t>Working Capital Schedule</t>
  </si>
  <si>
    <t>Net Working Capital (NWC)</t>
  </si>
  <si>
    <t>Change in NWC</t>
  </si>
  <si>
    <t>Capex</t>
  </si>
  <si>
    <t>Debt &amp; Interest Schedule</t>
  </si>
  <si>
    <t>Interest Expense</t>
  </si>
  <si>
    <t>YoY Growth:</t>
  </si>
  <si>
    <t>Margins</t>
  </si>
  <si>
    <t xml:space="preserve">Gross Profit </t>
  </si>
  <si>
    <t>Terminal Value</t>
  </si>
  <si>
    <t>Tax Rate</t>
  </si>
  <si>
    <t>EV/EBITDA</t>
  </si>
  <si>
    <t>Discount Rate</t>
  </si>
  <si>
    <t>Perpetual Growth Rate</t>
  </si>
  <si>
    <t>EV/EBITDA Multiple</t>
  </si>
  <si>
    <t>Discounted Cash Flow</t>
  </si>
  <si>
    <t>EBIAT</t>
  </si>
  <si>
    <t>Less: Capital Expenditures</t>
  </si>
  <si>
    <t>Less: Changes in Net Working capital</t>
  </si>
  <si>
    <t>Unlevered Free Cash Flow (FCFF)</t>
  </si>
  <si>
    <t>Discounted Cash Flow Valuation</t>
  </si>
  <si>
    <t>Perp.Growth Rate</t>
  </si>
  <si>
    <t>Current Share Price</t>
  </si>
  <si>
    <t>Enterprise Value</t>
  </si>
  <si>
    <t>Equity Value</t>
  </si>
  <si>
    <t>Equity Value/Share</t>
  </si>
  <si>
    <t>Target Price</t>
  </si>
  <si>
    <t>TP Upside</t>
  </si>
  <si>
    <t>Charts &amp; Graphs</t>
  </si>
  <si>
    <t>TC Energy Corporation (TRP)</t>
  </si>
  <si>
    <t xml:space="preserve"> </t>
  </si>
  <si>
    <t>Oil Pipelines</t>
  </si>
  <si>
    <t>Operating Income (EBIT)</t>
  </si>
  <si>
    <t xml:space="preserve">Interest </t>
  </si>
  <si>
    <t xml:space="preserve">Foreign Exchange </t>
  </si>
  <si>
    <t>Other Non-Operating Income</t>
  </si>
  <si>
    <t>Other Operating Expense</t>
  </si>
  <si>
    <t>Income from Affiliates</t>
  </si>
  <si>
    <t>Net Income Attributable to Non-Cont. Int.</t>
  </si>
  <si>
    <t>Net Income to Controlling Interest</t>
  </si>
  <si>
    <t>Revenue growth</t>
  </si>
  <si>
    <t>COGS as % of Total Revenue</t>
  </si>
  <si>
    <t>Other Operaring Expense % Rev.</t>
  </si>
  <si>
    <t>Dep &amp; Amort % Rev</t>
  </si>
  <si>
    <t>Foreign Exchange % Rev</t>
  </si>
  <si>
    <t>Income from Affiliates % Rev</t>
  </si>
  <si>
    <t>Other Non-Operating Income % Rev</t>
  </si>
  <si>
    <t>Effective Tax Rate</t>
  </si>
  <si>
    <t>Revenue Contribution</t>
  </si>
  <si>
    <t>Financial Health</t>
  </si>
  <si>
    <t>Short term liquidity ratios</t>
  </si>
  <si>
    <t xml:space="preserve">   Current ratio</t>
  </si>
  <si>
    <t xml:space="preserve">   Quick ratio</t>
  </si>
  <si>
    <t>Solvency ratios</t>
  </si>
  <si>
    <t xml:space="preserve">  Interest coverage ratio</t>
  </si>
  <si>
    <t xml:space="preserve">  EBITDA/Interest expense</t>
  </si>
  <si>
    <t>Leverage ratios</t>
  </si>
  <si>
    <t xml:space="preserve">  Debt to equity</t>
  </si>
  <si>
    <t xml:space="preserve">  Debt to capital</t>
  </si>
  <si>
    <t xml:space="preserve">  Total assets to equity</t>
  </si>
  <si>
    <t xml:space="preserve">  Debt to EBITDA</t>
  </si>
  <si>
    <t>Operating Assets &amp; Liabilities</t>
  </si>
  <si>
    <t>Inventory turnover</t>
  </si>
  <si>
    <t>Inventory days</t>
  </si>
  <si>
    <t>A/R turnover</t>
  </si>
  <si>
    <t>A/R days</t>
  </si>
  <si>
    <t>A/P turnover</t>
  </si>
  <si>
    <t>A/P days</t>
  </si>
  <si>
    <t>Net Income Attributable to Non-Cont. Int. (% net income)</t>
  </si>
  <si>
    <t>Divdend payout ratio</t>
  </si>
  <si>
    <t>Less: Taxes</t>
  </si>
  <si>
    <t>Profitability</t>
  </si>
  <si>
    <t>ROA</t>
  </si>
  <si>
    <t>ROE</t>
  </si>
  <si>
    <t>Intrinsic Value (PGM)</t>
  </si>
  <si>
    <t>Unlevered Free Cash Flow</t>
  </si>
  <si>
    <t>Intrinsic Value (EMM)</t>
  </si>
  <si>
    <t>% EV from TV</t>
  </si>
  <si>
    <t>Historical</t>
  </si>
  <si>
    <t>Forecasted</t>
  </si>
  <si>
    <t>PP&amp;E, Net</t>
  </si>
  <si>
    <t>Other LT Assets</t>
  </si>
  <si>
    <t>Investments in Affiliates/ JVs</t>
  </si>
  <si>
    <t>Capital Expenditures</t>
  </si>
  <si>
    <t>Other Current Assets as % of Total Revenue</t>
  </si>
  <si>
    <t>Goodwill % Rev</t>
  </si>
  <si>
    <t>Other LT Assets % Rev</t>
  </si>
  <si>
    <t>Other Intangible Assets % Rev</t>
  </si>
  <si>
    <t>Short-Term Debt % Rev</t>
  </si>
  <si>
    <t>Other Current Liabilities % Rev</t>
  </si>
  <si>
    <t>Long-Term Debt % Rev</t>
  </si>
  <si>
    <t>Other Long-Term Liabilities % Rev</t>
  </si>
  <si>
    <t xml:space="preserve">USD/CAD = </t>
  </si>
  <si>
    <t>Accounts Receivable Days</t>
  </si>
  <si>
    <t>Inventory Days</t>
  </si>
  <si>
    <t>Accounts Payable Days</t>
  </si>
  <si>
    <t>LIABILITIES:</t>
  </si>
  <si>
    <t>Investments in Affiliates/JVs</t>
  </si>
  <si>
    <t>Issuance (repayment) LT Debt</t>
  </si>
  <si>
    <t>Issuance Equity</t>
  </si>
  <si>
    <t>Issuance (repayment) ST Debt</t>
  </si>
  <si>
    <t>Issuance (repayment) in LT Liabilities</t>
  </si>
  <si>
    <t>Cash Balance Check</t>
  </si>
  <si>
    <t>Implied Perp. Growth Rate</t>
  </si>
  <si>
    <t>Implied EM TV</t>
  </si>
  <si>
    <t>In million of CAD, except per share</t>
  </si>
  <si>
    <t>Plowback Ratio</t>
  </si>
  <si>
    <t>Changes in NWC</t>
  </si>
  <si>
    <t>Implied Plowback ratio</t>
  </si>
  <si>
    <t>Shares Outstanding (M)</t>
  </si>
  <si>
    <t>Net Debt</t>
  </si>
  <si>
    <t>Cash</t>
  </si>
  <si>
    <t>Debt</t>
  </si>
  <si>
    <t>Closing Debt Balance</t>
  </si>
  <si>
    <t>Opening Debt Balance</t>
  </si>
  <si>
    <t>Implied Interest Expense</t>
  </si>
  <si>
    <t>Capex as % of Revenue</t>
  </si>
  <si>
    <t>Power storage</t>
  </si>
  <si>
    <t xml:space="preserve">https://www.wallstreetprep.com/knowledge/terminal-value/ </t>
  </si>
  <si>
    <t>using-mid year discount</t>
  </si>
  <si>
    <t>using mid-year discount</t>
  </si>
  <si>
    <t>Ideas:</t>
  </si>
  <si>
    <t>Current status - financial analysis margins</t>
  </si>
  <si>
    <t>Historical and projected --- see trend</t>
  </si>
  <si>
    <t>Changes in revenue sources from different business units</t>
  </si>
  <si>
    <t>Graph upside potential</t>
  </si>
  <si>
    <t>BASE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</si>
</sst>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\A"/>
    <numFmt numFmtId="165" formatCode="0\E"/>
    <numFmt numFmtId="166" formatCode="_(&quot;$&quot;* #,##0_);_(&quot;$&quot;* \(#,##0\);_(&quot;$&quot;* &quot;-&quot;??_);_(@_)"/>
    <numFmt numFmtId="167" formatCode="0.0%"/>
    <numFmt numFmtId="168" formatCode="0.0\x"/>
    <numFmt numFmtId="169" formatCode="_(* #,##0_);_(* \(#,##0\);_(* &quot;-&quot;??_);_(@_)"/>
    <numFmt numFmtId="170" formatCode="0.00\x"/>
    <numFmt numFmtId="171" formatCode="_(* #,##0.0_);_(* \(#,##0.0\);_(* &quot;-&quot;??_);_(@_)"/>
    <numFmt numFmtId="172" formatCode="&quot;$&quot;#,##0.0_);[Red]\(&quot;$&quot;#,##0.0\)"/>
    <numFmt numFmtId="173" formatCode="_(&quot;$&quot;* #,##0.0_);_(&quot;$&quot;* \(#,##0.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sz val="11"/>
      <color rgb="FFFF0000"/>
      <name val="Arial Narrow"/>
      <family val="2"/>
    </font>
    <font>
      <sz val="11"/>
      <color rgb="FF0070C0"/>
      <name val="Arial Narrow"/>
      <family val="2"/>
    </font>
    <font>
      <sz val="11"/>
      <color theme="4"/>
      <name val="Arial Narrow"/>
      <family val="2"/>
    </font>
    <font>
      <b/>
      <sz val="11"/>
      <color rgb="FFFF0000"/>
      <name val="Arial Narrow"/>
      <family val="2"/>
    </font>
    <font>
      <b/>
      <sz val="16"/>
      <color theme="0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 Narrow"/>
      <family val="2"/>
    </font>
    <font>
      <sz val="14"/>
      <color theme="1"/>
      <name val="Arial Narrow"/>
      <family val="2"/>
    </font>
    <font>
      <b/>
      <sz val="18"/>
      <color theme="0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95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3" borderId="0" xfId="0" applyFont="1" applyFill="1"/>
    <xf numFmtId="0" fontId="6" fillId="3" borderId="0" xfId="0" applyFont="1" applyFill="1"/>
    <xf numFmtId="0" fontId="4" fillId="0" borderId="0" xfId="0" applyFont="1" applyAlignment="1">
      <alignment horizontal="left" indent="1"/>
    </xf>
    <xf numFmtId="0" fontId="5" fillId="0" borderId="0" xfId="0" applyFont="1"/>
    <xf numFmtId="0" fontId="4" fillId="0" borderId="1" xfId="0" applyFont="1" applyBorder="1" applyAlignment="1">
      <alignment horizontal="left" indent="1"/>
    </xf>
    <xf numFmtId="0" fontId="4" fillId="0" borderId="1" xfId="0" applyFont="1" applyBorder="1"/>
    <xf numFmtId="0" fontId="3" fillId="0" borderId="0" xfId="0" applyFont="1"/>
    <xf numFmtId="0" fontId="4" fillId="0" borderId="2" xfId="0" applyFont="1" applyBorder="1"/>
    <xf numFmtId="0" fontId="7" fillId="0" borderId="0" xfId="0" applyFont="1"/>
    <xf numFmtId="14" fontId="4" fillId="0" borderId="0" xfId="0" applyNumberFormat="1" applyFont="1"/>
    <xf numFmtId="0" fontId="5" fillId="0" borderId="3" xfId="0" applyFont="1" applyBorder="1"/>
    <xf numFmtId="0" fontId="4" fillId="0" borderId="3" xfId="0" applyFont="1" applyBorder="1"/>
    <xf numFmtId="0" fontId="7" fillId="0" borderId="3" xfId="0" applyFont="1" applyBorder="1"/>
    <xf numFmtId="166" fontId="4" fillId="0" borderId="0" xfId="0" applyNumberFormat="1" applyFont="1"/>
    <xf numFmtId="166" fontId="4" fillId="0" borderId="1" xfId="0" applyNumberFormat="1" applyFont="1" applyBorder="1"/>
    <xf numFmtId="168" fontId="9" fillId="0" borderId="0" xfId="0" applyNumberFormat="1" applyFont="1"/>
    <xf numFmtId="166" fontId="4" fillId="0" borderId="3" xfId="0" applyNumberFormat="1" applyFont="1" applyBorder="1"/>
    <xf numFmtId="10" fontId="4" fillId="0" borderId="0" xfId="2" applyNumberFormat="1" applyFont="1"/>
    <xf numFmtId="165" fontId="5" fillId="0" borderId="3" xfId="0" applyNumberFormat="1" applyFont="1" applyBorder="1"/>
    <xf numFmtId="0" fontId="5" fillId="0" borderId="1" xfId="0" applyFont="1" applyBorder="1"/>
    <xf numFmtId="43" fontId="4" fillId="0" borderId="1" xfId="1" applyFont="1" applyBorder="1"/>
    <xf numFmtId="0" fontId="2" fillId="0" borderId="0" xfId="0" applyFont="1"/>
    <xf numFmtId="169" fontId="4" fillId="0" borderId="0" xfId="1" applyNumberFormat="1" applyFont="1"/>
    <xf numFmtId="169" fontId="4" fillId="0" borderId="1" xfId="1" applyNumberFormat="1" applyFont="1" applyBorder="1"/>
    <xf numFmtId="169" fontId="5" fillId="0" borderId="0" xfId="1" applyNumberFormat="1" applyFont="1"/>
    <xf numFmtId="169" fontId="9" fillId="0" borderId="0" xfId="1" applyNumberFormat="1" applyFont="1"/>
    <xf numFmtId="169" fontId="9" fillId="0" borderId="1" xfId="1" applyNumberFormat="1" applyFont="1" applyBorder="1"/>
    <xf numFmtId="169" fontId="4" fillId="0" borderId="0" xfId="1" applyNumberFormat="1" applyFont="1" applyFill="1"/>
    <xf numFmtId="0" fontId="4" fillId="4" borderId="1" xfId="0" applyFont="1" applyFill="1" applyBorder="1"/>
    <xf numFmtId="0" fontId="4" fillId="4" borderId="0" xfId="0" applyFont="1" applyFill="1"/>
    <xf numFmtId="167" fontId="4" fillId="0" borderId="0" xfId="2" applyNumberFormat="1" applyFont="1"/>
    <xf numFmtId="0" fontId="4" fillId="0" borderId="0" xfId="0" applyFont="1" applyAlignment="1">
      <alignment horizontal="left"/>
    </xf>
    <xf numFmtId="167" fontId="8" fillId="4" borderId="0" xfId="2" applyNumberFormat="1" applyFont="1" applyFill="1"/>
    <xf numFmtId="0" fontId="14" fillId="0" borderId="0" xfId="0" applyFont="1"/>
    <xf numFmtId="167" fontId="4" fillId="0" borderId="0" xfId="2" applyNumberFormat="1" applyFont="1" applyFill="1"/>
    <xf numFmtId="0" fontId="7" fillId="0" borderId="1" xfId="0" applyFont="1" applyBorder="1"/>
    <xf numFmtId="10" fontId="9" fillId="0" borderId="0" xfId="0" applyNumberFormat="1" applyFont="1"/>
    <xf numFmtId="170" fontId="9" fillId="0" borderId="0" xfId="0" applyNumberFormat="1" applyFont="1"/>
    <xf numFmtId="166" fontId="4" fillId="4" borderId="0" xfId="0" applyNumberFormat="1" applyFont="1" applyFill="1"/>
    <xf numFmtId="166" fontId="4" fillId="4" borderId="3" xfId="0" applyNumberFormat="1" applyFont="1" applyFill="1" applyBorder="1"/>
    <xf numFmtId="169" fontId="4" fillId="0" borderId="0" xfId="0" applyNumberFormat="1" applyFont="1"/>
    <xf numFmtId="169" fontId="4" fillId="0" borderId="1" xfId="0" applyNumberFormat="1" applyFont="1" applyBorder="1"/>
    <xf numFmtId="165" fontId="5" fillId="0" borderId="1" xfId="0" applyNumberFormat="1" applyFont="1" applyBorder="1"/>
    <xf numFmtId="6" fontId="4" fillId="0" borderId="0" xfId="0" applyNumberFormat="1" applyFont="1"/>
    <xf numFmtId="44" fontId="9" fillId="4" borderId="0" xfId="3" applyFont="1" applyFill="1"/>
    <xf numFmtId="167" fontId="5" fillId="0" borderId="0" xfId="2" applyNumberFormat="1" applyFont="1"/>
    <xf numFmtId="164" fontId="3" fillId="3" borderId="0" xfId="0" applyNumberFormat="1" applyFont="1" applyFill="1" applyAlignment="1">
      <alignment horizontal="center"/>
    </xf>
    <xf numFmtId="0" fontId="4" fillId="5" borderId="0" xfId="0" applyFont="1" applyFill="1"/>
    <xf numFmtId="165" fontId="3" fillId="5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Continuous"/>
    </xf>
    <xf numFmtId="0" fontId="15" fillId="3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0" fontId="15" fillId="5" borderId="0" xfId="0" applyFont="1" applyFill="1" applyAlignment="1">
      <alignment horizontal="centerContinuous"/>
    </xf>
    <xf numFmtId="0" fontId="16" fillId="3" borderId="0" xfId="0" applyFont="1" applyFill="1"/>
    <xf numFmtId="2" fontId="9" fillId="0" borderId="0" xfId="0" applyNumberFormat="1" applyFont="1"/>
    <xf numFmtId="169" fontId="5" fillId="0" borderId="0" xfId="0" applyNumberFormat="1" applyFont="1"/>
    <xf numFmtId="0" fontId="17" fillId="3" borderId="0" xfId="0" applyFont="1" applyFill="1"/>
    <xf numFmtId="169" fontId="7" fillId="0" borderId="0" xfId="0" applyNumberFormat="1" applyFont="1"/>
    <xf numFmtId="167" fontId="8" fillId="0" borderId="0" xfId="2" applyNumberFormat="1" applyFont="1" applyFill="1"/>
    <xf numFmtId="169" fontId="8" fillId="0" borderId="0" xfId="1" applyNumberFormat="1" applyFont="1" applyFill="1"/>
    <xf numFmtId="43" fontId="4" fillId="0" borderId="0" xfId="1" applyFont="1"/>
    <xf numFmtId="43" fontId="8" fillId="0" borderId="0" xfId="1" applyFont="1" applyFill="1"/>
    <xf numFmtId="171" fontId="4" fillId="0" borderId="0" xfId="1" applyNumberFormat="1" applyFont="1"/>
    <xf numFmtId="171" fontId="8" fillId="0" borderId="0" xfId="1" applyNumberFormat="1" applyFont="1" applyFill="1"/>
    <xf numFmtId="169" fontId="9" fillId="0" borderId="0" xfId="1" applyNumberFormat="1" applyFont="1" applyBorder="1"/>
    <xf numFmtId="9" fontId="4" fillId="0" borderId="0" xfId="2" applyFont="1"/>
    <xf numFmtId="172" fontId="4" fillId="0" borderId="0" xfId="0" applyNumberFormat="1" applyFont="1"/>
    <xf numFmtId="172" fontId="4" fillId="0" borderId="1" xfId="0" applyNumberFormat="1" applyFont="1" applyBorder="1"/>
    <xf numFmtId="166" fontId="5" fillId="0" borderId="0" xfId="0" applyNumberFormat="1" applyFont="1"/>
    <xf numFmtId="0" fontId="5" fillId="4" borderId="0" xfId="0" applyFont="1" applyFill="1"/>
    <xf numFmtId="166" fontId="4" fillId="4" borderId="1" xfId="0" applyNumberFormat="1" applyFont="1" applyFill="1" applyBorder="1"/>
    <xf numFmtId="167" fontId="4" fillId="4" borderId="0" xfId="2" applyNumberFormat="1" applyFont="1" applyFill="1" applyBorder="1"/>
    <xf numFmtId="167" fontId="4" fillId="0" borderId="0" xfId="2" applyNumberFormat="1" applyFont="1" applyFill="1" applyBorder="1"/>
    <xf numFmtId="173" fontId="4" fillId="0" borderId="0" xfId="0" applyNumberFormat="1" applyFont="1"/>
    <xf numFmtId="173" fontId="4" fillId="0" borderId="1" xfId="0" applyNumberFormat="1" applyFont="1" applyBorder="1"/>
    <xf numFmtId="173" fontId="5" fillId="0" borderId="0" xfId="0" applyNumberFormat="1" applyFont="1"/>
    <xf numFmtId="169" fontId="4" fillId="0" borderId="2" xfId="0" applyNumberFormat="1" applyFont="1" applyBorder="1"/>
    <xf numFmtId="167" fontId="4" fillId="0" borderId="0" xfId="0" applyNumberFormat="1" applyFont="1"/>
    <xf numFmtId="169" fontId="4" fillId="0" borderId="2" xfId="1" applyNumberFormat="1" applyFont="1" applyBorder="1"/>
    <xf numFmtId="167" fontId="5" fillId="0" borderId="0" xfId="2" applyNumberFormat="1" applyFont="1" applyFill="1"/>
    <xf numFmtId="169" fontId="8" fillId="0" borderId="1" xfId="1" applyNumberFormat="1" applyFont="1" applyFill="1" applyBorder="1"/>
    <xf numFmtId="169" fontId="4" fillId="0" borderId="1" xfId="1" applyNumberFormat="1" applyFont="1" applyFill="1" applyBorder="1"/>
    <xf numFmtId="169" fontId="4" fillId="0" borderId="0" xfId="1" applyNumberFormat="1" applyFont="1" applyFill="1" applyBorder="1"/>
    <xf numFmtId="166" fontId="10" fillId="0" borderId="0" xfId="0" applyNumberFormat="1" applyFont="1"/>
    <xf numFmtId="0" fontId="4" fillId="0" borderId="0" xfId="0" applyFont="1" applyAlignment="1">
      <alignment horizontal="center"/>
    </xf>
    <xf numFmtId="9" fontId="9" fillId="4" borderId="0" xfId="0" applyNumberFormat="1" applyFont="1" applyFill="1"/>
    <xf numFmtId="43" fontId="9" fillId="0" borderId="0" xfId="1" applyFont="1" applyFill="1"/>
    <xf numFmtId="0" fontId="18" fillId="0" borderId="0" xfId="4"/>
    <xf numFmtId="170" fontId="4" fillId="0" borderId="0" xfId="0" applyNumberFormat="1" applyFont="1"/>
    <xf numFmtId="9" fontId="4" fillId="0" borderId="0" xfId="2" applyFont="1" applyFill="1" applyBorder="1"/>
    <xf numFmtId="10" fontId="9" fillId="4" borderId="0" xfId="0" applyNumberFormat="1" applyFont="1" applyFill="1"/>
    <xf numFmtId="0" fontId="10" fillId="0" borderId="0" xfId="0" applyFont="1"/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2">
    <dxf>
      <font>
        <color rgb="FF00B05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381000</xdr:colOff>
      <xdr:row>225</xdr:row>
      <xdr:rowOff>88447</xdr:rowOff>
    </xdr:from>
    <xdr:to>
      <xdr:col>29</xdr:col>
      <xdr:colOff>217715</xdr:colOff>
      <xdr:row>254</xdr:row>
      <xdr:rowOff>65552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323631-BFF3-4CF5-8EC3-7BFC638F3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82483" y="39052501"/>
          <a:ext cx="5653768" cy="4991337"/>
        </a:xfrm>
        <a:prstGeom prst="rect">
          <a:avLst/>
        </a:prstGeom>
      </xdr:spPr>
    </xdr:pic>
    <xdr:clientData/>
  </xdr:twoCellAnchor>
  <xdr:twoCellAnchor editAs="oneCell">
    <xdr:from>
      <xdr:col>14</xdr:col>
      <xdr:colOff>851144</xdr:colOff>
      <xdr:row>262</xdr:row>
      <xdr:rowOff>95250</xdr:rowOff>
    </xdr:from>
    <xdr:to>
      <xdr:col>22</xdr:col>
      <xdr:colOff>61914</xdr:colOff>
      <xdr:row>278</xdr:row>
      <xdr:rowOff>31296</xdr:rowOff>
    </xdr:to>
    <xdr:pic>
      <xdr:nvPicPr>
        <xdr:cNvPr id="3" name="Picture 2" descr="Discounted Cash Flow Analysis - Adjusted NPV Formula &#10;When cash flows occur over a period, the function understates the NPV (the future value is &#10;discounted too much as cash flows are assumed to occur at the end of the period). Mid-year discounting &#10;is used to account for this as it assumes cash flows occur at the mid-point of the period. &#10;Cash Flow I &#10;Cash Flow 2 &#10;Excel Syntax: &#10;x (1 * rate)&quot; &#10;Key Assumptions: &#10;Cash Flow 3 &#10;valuen &#10;Cash Flow 4 &#10;The discount rate &#10;Cash flows for the nth period &#10;Number of periods &#10;NPV is calculated at one period before the first value (i.e. at T = O). &#10;Cash flows occur at regular intervals. &#10;Cash flows occur at the mid-point of the period. ">
          <a:extLst>
            <a:ext uri="{FF2B5EF4-FFF2-40B4-BE49-F238E27FC236}">
              <a16:creationId xmlns:a16="http://schemas.microsoft.com/office/drawing/2014/main" id="{E6B519F1-8074-4636-B1D1-CCAD9BD90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9073" y="45447857"/>
          <a:ext cx="4987002" cy="2671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6406</xdr:colOff>
      <xdr:row>24</xdr:row>
      <xdr:rowOff>4805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2844A3-8C92-4EAC-949C-170A7C30A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74206" cy="434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261936</xdr:colOff>
      <xdr:row>0</xdr:row>
      <xdr:rowOff>26297</xdr:rowOff>
    </xdr:from>
    <xdr:to>
      <xdr:col>11</xdr:col>
      <xdr:colOff>423919</xdr:colOff>
      <xdr:row>25</xdr:row>
      <xdr:rowOff>42898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4AC301-E974-46E1-8A83-E3110755F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6" y="26297"/>
          <a:ext cx="7286683" cy="4540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4763</xdr:rowOff>
    </xdr:from>
    <xdr:to>
      <xdr:col>14</xdr:col>
      <xdr:colOff>66735</xdr:colOff>
      <xdr:row>20</xdr:row>
      <xdr:rowOff>47661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588A7-EA53-4234-87C7-2675695BD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3"/>
          <a:ext cx="9134535" cy="3662398"/>
        </a:xfrm>
        <a:prstGeom prst="rect">
          <a:avLst/>
        </a:prstGeom>
      </xdr:spPr>
    </xdr:pic>
    <xdr:clientData/>
  </xdr:twoCellAnchor>
  <xdr:twoCellAnchor editAs="oneCell">
    <xdr:from>
      <xdr:col>0</xdr:col>
      <xdr:colOff>55716</xdr:colOff>
      <xdr:row>24</xdr:row>
      <xdr:rowOff>28576</xdr:rowOff>
    </xdr:from>
    <xdr:to>
      <xdr:col>14</xdr:col>
      <xdr:colOff>19126</xdr:colOff>
      <xdr:row>54</xdr:row>
      <xdr:rowOff>42909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331D3E-F7C6-44B1-8475-33EF138DB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16" y="4371976"/>
          <a:ext cx="9031210" cy="544358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58</xdr:row>
      <xdr:rowOff>0</xdr:rowOff>
    </xdr:from>
    <xdr:to>
      <xdr:col>14</xdr:col>
      <xdr:colOff>171451</xdr:colOff>
      <xdr:row>78</xdr:row>
      <xdr:rowOff>173366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F0A400-BEA5-4BAE-9A85-AA7BAEA9E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0496550"/>
          <a:ext cx="9239250" cy="3792866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82</xdr:row>
      <xdr:rowOff>100013</xdr:rowOff>
    </xdr:from>
    <xdr:to>
      <xdr:col>12</xdr:col>
      <xdr:colOff>619364</xdr:colOff>
      <xdr:row>110</xdr:row>
      <xdr:rowOff>76249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37252F-0955-44FB-8A50-5828BC7B6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" y="14939963"/>
          <a:ext cx="7858364" cy="5043536"/>
        </a:xfrm>
        <a:prstGeom prst="rect">
          <a:avLst/>
        </a:prstGeom>
      </xdr:spPr>
    </xdr:pic>
    <xdr:clientData/>
  </xdr:twoCellAnchor>
  <xdr:twoCellAnchor editAs="oneCell">
    <xdr:from>
      <xdr:col>0</xdr:col>
      <xdr:colOff>545897</xdr:colOff>
      <xdr:row>112</xdr:row>
      <xdr:rowOff>61913</xdr:rowOff>
    </xdr:from>
    <xdr:to>
      <xdr:col>13</xdr:col>
      <xdr:colOff>47700</xdr:colOff>
      <xdr:row>144</xdr:row>
      <xdr:rowOff>38154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7735A0-4792-4669-8D32-7A98CE5B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5897" y="20331113"/>
          <a:ext cx="7921903" cy="576744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23813</xdr:colOff>
      <xdr:row>147</xdr:row>
      <xdr:rowOff>34521</xdr:rowOff>
    </xdr:from>
    <xdr:to>
      <xdr:col>12</xdr:col>
      <xdr:colOff>542999</xdr:colOff>
      <xdr:row>174</xdr:row>
      <xdr:rowOff>85772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4D814B-BAE3-4616-B485-2547F8B2A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1513" y="26637846"/>
          <a:ext cx="7643886" cy="4937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52388</xdr:colOff>
      <xdr:row>1</xdr:row>
      <xdr:rowOff>127597</xdr:rowOff>
    </xdr:from>
    <xdr:to>
      <xdr:col>16</xdr:col>
      <xdr:colOff>481092</xdr:colOff>
      <xdr:row>11</xdr:row>
      <xdr:rowOff>109550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5142FF-04C4-4E6C-A2FF-6A2AA1032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0088" y="308572"/>
          <a:ext cx="10144204" cy="1791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allstreetprep.com/knowledge/terminal-value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AB6F-C1F8-4D8E-A656-251747F5E192}">
  <sheetPr>
    <pageSetUpPr autoPageBreaks="0"/>
  </sheetPr>
  <dimension ref="A1:V320"/>
  <sheetViews>
    <sheetView showGridLines="0" tabSelected="1" zoomScale="68" zoomScaleNormal="60" workbookViewId="0">
      <pane ySplit="8" topLeftCell="A195" activePane="bottomLeft" state="frozen"/>
      <selection pane="bottomLeft" activeCell="E260" sqref="E260"/>
    </sheetView>
  </sheetViews>
  <sheetFormatPr baseColWidth="10" defaultColWidth="9" defaultRowHeight="14" outlineLevelRow="1" x14ac:dyDescent="0.15"/>
  <cols>
    <col min="1" max="1" width="38.5" style="2" bestFit="1" customWidth="1"/>
    <col min="2" max="2" width="12" style="2" customWidth="1"/>
    <col min="3" max="3" width="9.6640625" style="2" bestFit="1" customWidth="1"/>
    <col min="4" max="4" width="20.5" style="2" bestFit="1" customWidth="1"/>
    <col min="5" max="5" width="12" style="2" customWidth="1"/>
    <col min="6" max="6" width="13.83203125" style="2" customWidth="1"/>
    <col min="7" max="7" width="12.5" style="2" customWidth="1"/>
    <col min="8" max="9" width="9.5" style="2" bestFit="1" customWidth="1"/>
    <col min="10" max="14" width="10" style="2" bestFit="1" customWidth="1"/>
    <col min="15" max="15" width="13" style="2" customWidth="1"/>
    <col min="16" max="16" width="12.5" style="2" bestFit="1" customWidth="1"/>
    <col min="17" max="19" width="9.5" style="2" bestFit="1" customWidth="1"/>
    <col min="20" max="16384" width="9" style="2"/>
  </cols>
  <sheetData>
    <row r="1" spans="1:20" x14ac:dyDescent="0.15">
      <c r="A1" s="3"/>
      <c r="B1" s="3"/>
      <c r="C1" s="3"/>
      <c r="D1" s="3"/>
      <c r="E1" s="3"/>
      <c r="F1" s="3"/>
      <c r="G1" s="3"/>
      <c r="H1" s="3"/>
      <c r="I1" s="3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20" ht="23" x14ac:dyDescent="0.25">
      <c r="A2" s="56" t="s">
        <v>91</v>
      </c>
      <c r="B2" s="3"/>
      <c r="C2" s="3"/>
      <c r="D2" s="3"/>
      <c r="E2" s="3"/>
      <c r="F2" s="3"/>
      <c r="G2" s="3"/>
      <c r="H2" s="3"/>
      <c r="I2" s="3"/>
      <c r="J2" s="50"/>
      <c r="K2" s="50"/>
      <c r="L2" s="50"/>
      <c r="M2" s="50"/>
      <c r="N2" s="50"/>
      <c r="O2" s="50"/>
      <c r="P2" s="50"/>
      <c r="Q2" s="50"/>
      <c r="R2" s="50"/>
      <c r="S2" s="50"/>
    </row>
    <row r="3" spans="1:20" ht="20" x14ac:dyDescent="0.2">
      <c r="A3" s="4" t="s">
        <v>167</v>
      </c>
      <c r="B3" s="3"/>
      <c r="C3" s="3"/>
      <c r="D3" s="3"/>
      <c r="E3" s="52" t="s">
        <v>140</v>
      </c>
      <c r="F3" s="53"/>
      <c r="G3" s="53"/>
      <c r="H3" s="53"/>
      <c r="I3" s="53"/>
      <c r="J3" s="54" t="s">
        <v>141</v>
      </c>
      <c r="K3" s="55"/>
      <c r="L3" s="55"/>
      <c r="M3" s="55"/>
      <c r="N3" s="55"/>
      <c r="O3" s="55"/>
      <c r="P3" s="55"/>
      <c r="Q3" s="55"/>
      <c r="R3" s="55"/>
      <c r="S3" s="55"/>
    </row>
    <row r="4" spans="1:20" ht="18" x14ac:dyDescent="0.2">
      <c r="A4" s="59" t="s">
        <v>154</v>
      </c>
      <c r="B4" s="59">
        <v>1.274</v>
      </c>
      <c r="C4" s="3"/>
      <c r="D4" s="3"/>
      <c r="E4" s="49">
        <v>2017</v>
      </c>
      <c r="F4" s="49">
        <f>E4+1</f>
        <v>2018</v>
      </c>
      <c r="G4" s="49">
        <f t="shared" ref="G4:I4" si="0">F4+1</f>
        <v>2019</v>
      </c>
      <c r="H4" s="49">
        <f t="shared" si="0"/>
        <v>2020</v>
      </c>
      <c r="I4" s="49">
        <f t="shared" si="0"/>
        <v>2021</v>
      </c>
      <c r="J4" s="51">
        <v>2022</v>
      </c>
      <c r="K4" s="51">
        <f>J4+1</f>
        <v>2023</v>
      </c>
      <c r="L4" s="51">
        <f t="shared" ref="L4:N4" si="1">K4+1</f>
        <v>2024</v>
      </c>
      <c r="M4" s="51">
        <f t="shared" si="1"/>
        <v>2025</v>
      </c>
      <c r="N4" s="51">
        <f t="shared" si="1"/>
        <v>2026</v>
      </c>
      <c r="O4" s="51">
        <f t="shared" ref="O4" si="2">N4+1</f>
        <v>2027</v>
      </c>
      <c r="P4" s="51">
        <f t="shared" ref="P4:Q4" si="3">O4+1</f>
        <v>2028</v>
      </c>
      <c r="Q4" s="51">
        <f t="shared" si="3"/>
        <v>2029</v>
      </c>
      <c r="R4" s="51">
        <f t="shared" ref="R4" si="4">Q4+1</f>
        <v>2030</v>
      </c>
      <c r="S4" s="51">
        <f t="shared" ref="S4" si="5">R4+1</f>
        <v>2031</v>
      </c>
    </row>
    <row r="5" spans="1:20" x14ac:dyDescent="0.15">
      <c r="A5" s="2" t="s">
        <v>0</v>
      </c>
      <c r="E5" s="87" t="str">
        <f>IF(E113&gt;0.001,"ERROR","OK")</f>
        <v>OK</v>
      </c>
      <c r="F5" s="87" t="str">
        <f t="shared" ref="F5:S5" si="6">IF(F113&gt;0.001,"ERROR","OK")</f>
        <v>OK</v>
      </c>
      <c r="G5" s="87" t="str">
        <f t="shared" si="6"/>
        <v>OK</v>
      </c>
      <c r="H5" s="87" t="str">
        <f t="shared" si="6"/>
        <v>OK</v>
      </c>
      <c r="I5" s="87" t="str">
        <f t="shared" si="6"/>
        <v>OK</v>
      </c>
      <c r="J5" s="87" t="str">
        <f t="shared" si="6"/>
        <v>OK</v>
      </c>
      <c r="K5" s="87" t="str">
        <f t="shared" si="6"/>
        <v>OK</v>
      </c>
      <c r="L5" s="87" t="str">
        <f t="shared" si="6"/>
        <v>OK</v>
      </c>
      <c r="M5" s="87" t="str">
        <f t="shared" si="6"/>
        <v>OK</v>
      </c>
      <c r="N5" s="87" t="str">
        <f t="shared" si="6"/>
        <v>OK</v>
      </c>
      <c r="O5" s="87" t="str">
        <f t="shared" si="6"/>
        <v>OK</v>
      </c>
      <c r="P5" s="87" t="str">
        <f t="shared" si="6"/>
        <v>OK</v>
      </c>
      <c r="Q5" s="87" t="str">
        <f t="shared" si="6"/>
        <v>OK</v>
      </c>
      <c r="R5" s="87" t="str">
        <f t="shared" si="6"/>
        <v>OK</v>
      </c>
      <c r="S5" s="87" t="str">
        <f t="shared" si="6"/>
        <v>OK</v>
      </c>
    </row>
    <row r="6" spans="1:20" x14ac:dyDescent="0.15">
      <c r="A6" s="2" t="s">
        <v>1</v>
      </c>
      <c r="E6" s="12">
        <v>43100</v>
      </c>
      <c r="F6" s="12">
        <f>EOMONTH(E6,12)</f>
        <v>43465</v>
      </c>
      <c r="G6" s="12">
        <f t="shared" ref="G6:N6" si="7">EOMONTH(F6,12)</f>
        <v>43830</v>
      </c>
      <c r="H6" s="12">
        <f t="shared" si="7"/>
        <v>44196</v>
      </c>
      <c r="I6" s="12">
        <f t="shared" si="7"/>
        <v>44561</v>
      </c>
      <c r="J6" s="12">
        <f t="shared" si="7"/>
        <v>44926</v>
      </c>
      <c r="K6" s="12">
        <f t="shared" si="7"/>
        <v>45291</v>
      </c>
      <c r="L6" s="12">
        <f t="shared" si="7"/>
        <v>45657</v>
      </c>
      <c r="M6" s="12">
        <f t="shared" si="7"/>
        <v>46022</v>
      </c>
      <c r="N6" s="12">
        <f t="shared" si="7"/>
        <v>46387</v>
      </c>
      <c r="O6" s="12">
        <f t="shared" ref="O6" si="8">EOMONTH(N6,12)</f>
        <v>46752</v>
      </c>
      <c r="P6" s="12">
        <f t="shared" ref="P6:Q6" si="9">EOMONTH(O6,12)</f>
        <v>47118</v>
      </c>
      <c r="Q6" s="12">
        <f t="shared" si="9"/>
        <v>47483</v>
      </c>
      <c r="R6" s="12">
        <f t="shared" ref="R6" si="10">EOMONTH(Q6,12)</f>
        <v>47848</v>
      </c>
      <c r="S6" s="12">
        <f t="shared" ref="S6" si="11">EOMONTH(R6,12)</f>
        <v>48213</v>
      </c>
    </row>
    <row r="7" spans="1:20" x14ac:dyDescent="0.15">
      <c r="A7" s="2" t="s">
        <v>2</v>
      </c>
      <c r="E7" s="2">
        <v>365</v>
      </c>
      <c r="F7" s="2">
        <f>F6-E6</f>
        <v>365</v>
      </c>
      <c r="G7" s="2">
        <f t="shared" ref="G7:N7" si="12">G6-F6</f>
        <v>365</v>
      </c>
      <c r="H7" s="2">
        <f t="shared" si="12"/>
        <v>366</v>
      </c>
      <c r="I7" s="2">
        <f t="shared" si="12"/>
        <v>365</v>
      </c>
      <c r="J7" s="2">
        <f t="shared" si="12"/>
        <v>365</v>
      </c>
      <c r="K7" s="2">
        <f t="shared" si="12"/>
        <v>365</v>
      </c>
      <c r="L7" s="2">
        <f t="shared" si="12"/>
        <v>366</v>
      </c>
      <c r="M7" s="2">
        <f t="shared" si="12"/>
        <v>365</v>
      </c>
      <c r="N7" s="2">
        <f t="shared" si="12"/>
        <v>365</v>
      </c>
      <c r="O7" s="2">
        <f t="shared" ref="O7" si="13">O6-N6</f>
        <v>365</v>
      </c>
      <c r="P7" s="2">
        <f t="shared" ref="P7:Q7" si="14">P6-O6</f>
        <v>366</v>
      </c>
      <c r="Q7" s="2">
        <f t="shared" si="14"/>
        <v>365</v>
      </c>
      <c r="R7" s="2">
        <f t="shared" ref="R7" si="15">R6-Q6</f>
        <v>365</v>
      </c>
      <c r="S7" s="2">
        <f t="shared" ref="S7" si="16">S6-R6</f>
        <v>365</v>
      </c>
    </row>
    <row r="8" spans="1:20" x14ac:dyDescent="0.15">
      <c r="A8" s="8" t="s">
        <v>3</v>
      </c>
      <c r="B8" s="8"/>
      <c r="C8" s="8"/>
      <c r="D8" s="8"/>
      <c r="E8" s="23">
        <f>E7/365</f>
        <v>1</v>
      </c>
      <c r="F8" s="23">
        <f>F7/365</f>
        <v>1</v>
      </c>
      <c r="G8" s="23">
        <f t="shared" ref="G8:N8" si="17">G7/365</f>
        <v>1</v>
      </c>
      <c r="H8" s="23">
        <f t="shared" si="17"/>
        <v>1.0027397260273974</v>
      </c>
      <c r="I8" s="23">
        <f t="shared" si="17"/>
        <v>1</v>
      </c>
      <c r="J8" s="23">
        <f t="shared" si="17"/>
        <v>1</v>
      </c>
      <c r="K8" s="23">
        <f t="shared" si="17"/>
        <v>1</v>
      </c>
      <c r="L8" s="23">
        <f t="shared" si="17"/>
        <v>1.0027397260273974</v>
      </c>
      <c r="M8" s="23">
        <f t="shared" si="17"/>
        <v>1</v>
      </c>
      <c r="N8" s="23">
        <f t="shared" si="17"/>
        <v>1</v>
      </c>
      <c r="O8" s="23">
        <f t="shared" ref="O8:P8" si="18">O7/365</f>
        <v>1</v>
      </c>
      <c r="P8" s="23">
        <f t="shared" si="18"/>
        <v>1.0027397260273974</v>
      </c>
      <c r="Q8" s="23">
        <f t="shared" ref="Q8:S8" si="19">Q7/365</f>
        <v>1</v>
      </c>
      <c r="R8" s="23">
        <f t="shared" si="19"/>
        <v>1</v>
      </c>
      <c r="S8" s="23">
        <f t="shared" si="19"/>
        <v>1</v>
      </c>
    </row>
    <row r="9" spans="1:20" x14ac:dyDescent="0.15">
      <c r="D9" s="2" t="s">
        <v>92</v>
      </c>
    </row>
    <row r="10" spans="1:20" ht="18.5" customHeight="1" x14ac:dyDescent="0.2">
      <c r="A10" s="1" t="s"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outlineLevel="1" x14ac:dyDescent="0.15"/>
    <row r="12" spans="1:20" outlineLevel="1" x14ac:dyDescent="0.15">
      <c r="A12" s="22" t="s">
        <v>188</v>
      </c>
      <c r="B12" s="36"/>
    </row>
    <row r="13" spans="1:20" outlineLevel="1" x14ac:dyDescent="0.15">
      <c r="A13" s="2" t="s">
        <v>102</v>
      </c>
      <c r="T13" s="6"/>
    </row>
    <row r="14" spans="1:20" outlineLevel="1" x14ac:dyDescent="0.15">
      <c r="A14" s="5" t="s">
        <v>20</v>
      </c>
      <c r="F14" s="33">
        <f>F49/E49-1</f>
        <v>0.14323945456862486</v>
      </c>
      <c r="G14" s="33">
        <f t="shared" ref="G14:I14" si="20">G49/F49-1</f>
        <v>6.9111581763459995E-2</v>
      </c>
      <c r="H14" s="33">
        <f t="shared" si="20"/>
        <v>6.5165259097070161E-2</v>
      </c>
      <c r="I14" s="33">
        <f t="shared" si="20"/>
        <v>1.3801879404855111E-2</v>
      </c>
      <c r="J14" s="61">
        <v>0.15</v>
      </c>
      <c r="K14" s="61">
        <v>0.15</v>
      </c>
      <c r="L14" s="61">
        <v>0.14000000000000001</v>
      </c>
      <c r="M14" s="61">
        <v>0.14000000000000001</v>
      </c>
      <c r="N14" s="61">
        <v>0.12</v>
      </c>
      <c r="O14" s="61">
        <v>0.1</v>
      </c>
      <c r="P14" s="61">
        <v>0.08</v>
      </c>
      <c r="Q14" s="61">
        <v>0.06</v>
      </c>
      <c r="R14" s="61">
        <v>0.04</v>
      </c>
      <c r="S14" s="61">
        <v>0.03</v>
      </c>
      <c r="T14" s="11"/>
    </row>
    <row r="15" spans="1:20" outlineLevel="1" x14ac:dyDescent="0.15">
      <c r="A15" s="5" t="s">
        <v>93</v>
      </c>
      <c r="F15" s="33">
        <f t="shared" ref="F15:I17" si="21">F50/E50-1</f>
        <v>0.28621204579392723</v>
      </c>
      <c r="G15" s="33">
        <f t="shared" si="21"/>
        <v>0.1141640866873066</v>
      </c>
      <c r="H15" s="33">
        <f t="shared" si="21"/>
        <v>-0.1764501563042723</v>
      </c>
      <c r="I15" s="33">
        <f t="shared" si="21"/>
        <v>-2.7414592998734721E-2</v>
      </c>
      <c r="J15" s="61">
        <v>0.04</v>
      </c>
      <c r="K15" s="61">
        <v>0.04</v>
      </c>
      <c r="L15" s="61">
        <v>0.03</v>
      </c>
      <c r="M15" s="61">
        <v>0.02</v>
      </c>
      <c r="N15" s="61">
        <v>0.01</v>
      </c>
      <c r="O15" s="61">
        <v>0.01</v>
      </c>
      <c r="P15" s="61">
        <v>-5.0000000000000001E-3</v>
      </c>
      <c r="Q15" s="61">
        <v>-5.0000000000000001E-3</v>
      </c>
      <c r="R15" s="61">
        <v>-5.0000000000000001E-3</v>
      </c>
      <c r="S15" s="61">
        <v>-5.0000000000000001E-3</v>
      </c>
    </row>
    <row r="16" spans="1:20" outlineLevel="1" x14ac:dyDescent="0.15">
      <c r="A16" s="5" t="s">
        <v>179</v>
      </c>
      <c r="F16" s="33">
        <f t="shared" si="21"/>
        <v>-0.40885054272195942</v>
      </c>
      <c r="G16" s="33">
        <f t="shared" si="21"/>
        <v>-0.63041431261770242</v>
      </c>
      <c r="H16" s="33">
        <f t="shared" si="21"/>
        <v>-0.47515923566878981</v>
      </c>
      <c r="I16" s="33">
        <f t="shared" si="21"/>
        <v>0.75728155339805836</v>
      </c>
      <c r="J16" s="61">
        <v>0.2</v>
      </c>
      <c r="K16" s="61">
        <v>0.18</v>
      </c>
      <c r="L16" s="61">
        <v>0.16</v>
      </c>
      <c r="M16" s="61">
        <v>0.14000000000000001</v>
      </c>
      <c r="N16" s="61">
        <v>0.12</v>
      </c>
      <c r="O16" s="61">
        <v>0.1</v>
      </c>
      <c r="P16" s="61">
        <v>0.08</v>
      </c>
      <c r="Q16" s="61">
        <v>0.06</v>
      </c>
      <c r="R16" s="61">
        <v>0.04</v>
      </c>
      <c r="S16" s="61">
        <v>0.03</v>
      </c>
      <c r="T16" s="11"/>
    </row>
    <row r="17" spans="1:20" outlineLevel="1" x14ac:dyDescent="0.15">
      <c r="A17" s="34" t="s">
        <v>10</v>
      </c>
      <c r="F17" s="33">
        <f t="shared" si="21"/>
        <v>1.7101643244850973E-2</v>
      </c>
      <c r="G17" s="33">
        <f t="shared" si="21"/>
        <v>-3.0996417866803183E-2</v>
      </c>
      <c r="H17" s="33">
        <f t="shared" si="21"/>
        <v>-1.9313466616371233E-2</v>
      </c>
      <c r="I17" s="33">
        <f>I52/H52-1</f>
        <v>2.9848449880760075E-2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</row>
    <row r="18" spans="1:20" outlineLevel="1" x14ac:dyDescent="0.15">
      <c r="A18" s="2" t="s">
        <v>103</v>
      </c>
      <c r="E18" s="33">
        <f>E53/E52</f>
        <v>0.33273849356829505</v>
      </c>
      <c r="F18" s="33">
        <f t="shared" ref="F18:I18" si="22">F53/F52</f>
        <v>0.30411579793844579</v>
      </c>
      <c r="G18" s="33">
        <f t="shared" si="22"/>
        <v>0.35005658242172766</v>
      </c>
      <c r="H18" s="33">
        <f t="shared" si="22"/>
        <v>0.35425801984768057</v>
      </c>
      <c r="I18" s="33">
        <f t="shared" si="22"/>
        <v>0.3639351609770673</v>
      </c>
      <c r="J18" s="61">
        <v>0.34102081095064329</v>
      </c>
      <c r="K18" s="61">
        <v>0.34102081095064329</v>
      </c>
      <c r="L18" s="61">
        <v>0.34102081095064329</v>
      </c>
      <c r="M18" s="61">
        <v>0.33</v>
      </c>
      <c r="N18" s="61">
        <v>0.33</v>
      </c>
      <c r="O18" s="61">
        <v>0.33</v>
      </c>
      <c r="P18" s="61">
        <v>0.32</v>
      </c>
      <c r="Q18" s="61">
        <v>0.31</v>
      </c>
      <c r="R18" s="61">
        <v>0.31</v>
      </c>
      <c r="S18" s="61">
        <v>0.3</v>
      </c>
    </row>
    <row r="19" spans="1:20" outlineLevel="1" x14ac:dyDescent="0.15">
      <c r="A19" s="2" t="s">
        <v>104</v>
      </c>
      <c r="E19" s="37">
        <f>E55/E52</f>
        <v>0.27057773812179342</v>
      </c>
      <c r="F19" s="37">
        <f t="shared" ref="F19:I19" si="23">F55/F52</f>
        <v>0.16733679362526502</v>
      </c>
      <c r="G19" s="37">
        <f t="shared" si="23"/>
        <v>2.7536778574122973E-2</v>
      </c>
      <c r="H19" s="37">
        <f t="shared" si="23"/>
        <v>0</v>
      </c>
      <c r="I19" s="37">
        <f t="shared" si="23"/>
        <v>0.21154851721819676</v>
      </c>
      <c r="J19" s="61">
        <v>0</v>
      </c>
      <c r="K19" s="61">
        <v>0</v>
      </c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61">
        <v>0</v>
      </c>
      <c r="R19" s="61">
        <v>0</v>
      </c>
      <c r="S19" s="61">
        <v>0</v>
      </c>
    </row>
    <row r="20" spans="1:20" outlineLevel="1" x14ac:dyDescent="0.15">
      <c r="A20" s="2" t="s">
        <v>105</v>
      </c>
      <c r="E20" s="33">
        <f>E56/E52</f>
        <v>0.15279946464421146</v>
      </c>
      <c r="F20" s="33">
        <f t="shared" ref="F20:I20" si="24">F56/F52</f>
        <v>0.17179618393157395</v>
      </c>
      <c r="G20" s="33">
        <f t="shared" si="24"/>
        <v>0.18589211618257262</v>
      </c>
      <c r="H20" s="33">
        <f t="shared" si="24"/>
        <v>0.19924609585352721</v>
      </c>
      <c r="I20" s="33">
        <f t="shared" si="24"/>
        <v>0.1883917233136625</v>
      </c>
      <c r="J20" s="61">
        <v>0.17962511678510956</v>
      </c>
      <c r="K20" s="61">
        <v>0.17962511678510956</v>
      </c>
      <c r="L20" s="61">
        <v>0.17962511678510956</v>
      </c>
      <c r="M20" s="61">
        <v>0.17962511678510956</v>
      </c>
      <c r="N20" s="61">
        <v>0.17962511678510956</v>
      </c>
      <c r="O20" s="61">
        <v>0.17962511678510956</v>
      </c>
      <c r="P20" s="61">
        <v>0.17962511678510956</v>
      </c>
      <c r="Q20" s="61">
        <v>0.17962511678510956</v>
      </c>
      <c r="R20" s="61">
        <v>0.17962511678510956</v>
      </c>
      <c r="S20" s="61">
        <v>0.17962511678510956</v>
      </c>
    </row>
    <row r="21" spans="1:20" outlineLevel="1" x14ac:dyDescent="0.15">
      <c r="A21" s="2" t="s">
        <v>106</v>
      </c>
      <c r="E21" s="33">
        <f>E59/$E$52</f>
        <v>2.8180533868689121E-2</v>
      </c>
      <c r="F21" s="33">
        <f t="shared" ref="F21:I21" si="25">F59/$E$52</f>
        <v>2.929585842813592E-2</v>
      </c>
      <c r="G21" s="33">
        <f t="shared" si="25"/>
        <v>3.2270057253327385E-2</v>
      </c>
      <c r="H21" s="33">
        <f t="shared" si="25"/>
        <v>3.3162316900884822E-2</v>
      </c>
      <c r="I21" s="33">
        <f t="shared" si="25"/>
        <v>2.3793590601531713E-2</v>
      </c>
      <c r="J21" s="61">
        <v>0</v>
      </c>
      <c r="K21" s="61">
        <v>0</v>
      </c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61">
        <v>0</v>
      </c>
      <c r="R21" s="61">
        <v>0</v>
      </c>
      <c r="S21" s="61">
        <v>0</v>
      </c>
    </row>
    <row r="22" spans="1:20" outlineLevel="1" x14ac:dyDescent="0.15">
      <c r="A22" s="2" t="s">
        <v>107</v>
      </c>
      <c r="E22" s="33">
        <f t="shared" ref="E22:I22" si="26">E60/$E$52</f>
        <v>-5.7476392296825045E-2</v>
      </c>
      <c r="F22" s="33">
        <f t="shared" si="26"/>
        <v>-5.3089449029667633E-2</v>
      </c>
      <c r="G22" s="33">
        <f t="shared" si="26"/>
        <v>-6.8406572979403668E-2</v>
      </c>
      <c r="H22" s="33">
        <f t="shared" si="26"/>
        <v>-7.5767715071752548E-2</v>
      </c>
      <c r="I22" s="33">
        <f t="shared" si="26"/>
        <v>-6.6770763625548374E-2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61">
        <v>0</v>
      </c>
      <c r="R22" s="61">
        <v>0</v>
      </c>
      <c r="S22" s="61">
        <v>0</v>
      </c>
    </row>
    <row r="23" spans="1:20" outlineLevel="1" x14ac:dyDescent="0.15">
      <c r="A23" s="2" t="s">
        <v>108</v>
      </c>
      <c r="E23" s="33">
        <f>E61/$E$52</f>
        <v>-0.11279649044538627</v>
      </c>
      <c r="F23" s="33">
        <f t="shared" ref="F23:I23" si="27">F61/$E$52</f>
        <v>-6.9744962450739828E-2</v>
      </c>
      <c r="G23" s="33">
        <f t="shared" si="27"/>
        <v>-5.859171685627184E-2</v>
      </c>
      <c r="H23" s="33">
        <f t="shared" si="27"/>
        <v>-5.5394453119191021E-2</v>
      </c>
      <c r="I23" s="33">
        <f t="shared" si="27"/>
        <v>-4.3646367759684737E-2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1">
        <v>0</v>
      </c>
      <c r="R23" s="61">
        <v>0</v>
      </c>
      <c r="S23" s="61">
        <v>0</v>
      </c>
    </row>
    <row r="24" spans="1:20" outlineLevel="1" x14ac:dyDescent="0.15">
      <c r="A24" s="2" t="s">
        <v>109</v>
      </c>
      <c r="E24" s="33">
        <f>E63/E62</f>
        <v>-2.692075015124017E-2</v>
      </c>
      <c r="F24" s="33">
        <f t="shared" ref="F24:I24" si="28">F63/F62</f>
        <v>0.10939478348949101</v>
      </c>
      <c r="G24" s="33">
        <f t="shared" si="28"/>
        <v>0.14536340852130325</v>
      </c>
      <c r="H24" s="33">
        <f t="shared" si="28"/>
        <v>3.7987076561582143E-2</v>
      </c>
      <c r="I24" s="33">
        <f t="shared" si="28"/>
        <v>5.5401662049861494E-2</v>
      </c>
      <c r="J24" s="35">
        <v>6.4245236094199548E-2</v>
      </c>
      <c r="K24" s="35">
        <v>6.4245236094199548E-2</v>
      </c>
      <c r="L24" s="35">
        <v>6.4245236094199548E-2</v>
      </c>
      <c r="M24" s="35">
        <v>6.4245236094199548E-2</v>
      </c>
      <c r="N24" s="35">
        <v>6.4245236094199548E-2</v>
      </c>
      <c r="O24" s="35">
        <v>6.4245236094199548E-2</v>
      </c>
      <c r="P24" s="35">
        <v>6.4245236094199548E-2</v>
      </c>
      <c r="Q24" s="35">
        <v>6.4245236094199548E-2</v>
      </c>
      <c r="R24" s="35">
        <v>6.4245236094199548E-2</v>
      </c>
      <c r="S24" s="35">
        <v>6.4245236094199548E-2</v>
      </c>
      <c r="T24" s="11"/>
    </row>
    <row r="25" spans="1:20" outlineLevel="1" x14ac:dyDescent="0.15">
      <c r="A25" s="2" t="s">
        <v>130</v>
      </c>
      <c r="E25" s="37">
        <f>E65/E64</f>
        <v>7.0103092783505155E-2</v>
      </c>
      <c r="F25" s="37">
        <f>F65/F64</f>
        <v>-5.2601649132783625E-2</v>
      </c>
      <c r="G25" s="37">
        <f t="shared" ref="G25:I25" si="29">G65/G64</f>
        <v>6.6095195127453196E-2</v>
      </c>
      <c r="H25" s="37">
        <f t="shared" si="29"/>
        <v>6.0451862405861999E-2</v>
      </c>
      <c r="I25" s="37">
        <f t="shared" si="29"/>
        <v>4.4477028347996092E-2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</row>
    <row r="26" spans="1:20" outlineLevel="1" x14ac:dyDescent="0.15">
      <c r="A26" s="2" t="s">
        <v>131</v>
      </c>
      <c r="E26" s="33">
        <f>E68/E66</f>
        <v>0.47323408299018055</v>
      </c>
      <c r="F26" s="33">
        <f>F68/F66</f>
        <v>0.46704484062668827</v>
      </c>
      <c r="G26" s="33">
        <f>G68/G66</f>
        <v>0.47294685990338164</v>
      </c>
      <c r="H26" s="33">
        <f>H68/H66</f>
        <v>0.68154246100519933</v>
      </c>
      <c r="I26" s="33">
        <f>I68/I66</f>
        <v>1.7687979539641945</v>
      </c>
      <c r="J26" s="61">
        <v>0.7</v>
      </c>
      <c r="K26" s="61">
        <v>0.7</v>
      </c>
      <c r="L26" s="61">
        <v>0.7</v>
      </c>
      <c r="M26" s="61">
        <v>0.7</v>
      </c>
      <c r="N26" s="61">
        <v>0.7</v>
      </c>
      <c r="O26" s="61">
        <v>0.7</v>
      </c>
      <c r="P26" s="61">
        <v>0.7</v>
      </c>
      <c r="Q26" s="61">
        <v>0.7</v>
      </c>
      <c r="R26" s="61">
        <v>0.7</v>
      </c>
      <c r="S26" s="61">
        <v>0.7</v>
      </c>
    </row>
    <row r="27" spans="1:20" outlineLevel="1" x14ac:dyDescent="0.15">
      <c r="A27" s="6"/>
      <c r="E27" s="33"/>
      <c r="F27" s="33"/>
      <c r="G27" s="33"/>
      <c r="H27" s="33"/>
      <c r="I27" s="33"/>
      <c r="J27" s="61"/>
      <c r="K27" s="61"/>
      <c r="L27" s="61"/>
      <c r="M27" s="61"/>
      <c r="N27" s="61"/>
      <c r="O27" s="61"/>
      <c r="P27" s="61"/>
      <c r="Q27" s="61"/>
      <c r="R27" s="61"/>
      <c r="S27" s="61"/>
    </row>
    <row r="28" spans="1:20" outlineLevel="1" x14ac:dyDescent="0.15">
      <c r="A28" s="34" t="s">
        <v>155</v>
      </c>
      <c r="E28" s="63">
        <f>E76/E52*E7</f>
        <v>68.445981113837462</v>
      </c>
      <c r="F28" s="63">
        <f>F76/F52*F7</f>
        <v>67.642005994590249</v>
      </c>
      <c r="G28" s="63">
        <f>G76/G52*G7</f>
        <v>66.694077706525832</v>
      </c>
      <c r="H28" s="63">
        <f>H76/H52*H7</f>
        <v>60.873297945995844</v>
      </c>
      <c r="I28" s="63">
        <f>I76/I52*I7</f>
        <v>84.304175692836324</v>
      </c>
      <c r="J28" s="64">
        <v>65.91</v>
      </c>
      <c r="K28" s="64">
        <v>65.91</v>
      </c>
      <c r="L28" s="64">
        <v>65.91</v>
      </c>
      <c r="M28" s="64">
        <v>65.91</v>
      </c>
      <c r="N28" s="64">
        <v>65.91</v>
      </c>
      <c r="O28" s="64">
        <v>65.91</v>
      </c>
      <c r="P28" s="64">
        <v>65.91</v>
      </c>
      <c r="Q28" s="64">
        <v>65.91</v>
      </c>
      <c r="R28" s="64">
        <v>65.91</v>
      </c>
      <c r="S28" s="64">
        <v>65.91</v>
      </c>
    </row>
    <row r="29" spans="1:20" outlineLevel="1" x14ac:dyDescent="0.15">
      <c r="A29" s="34" t="s">
        <v>156</v>
      </c>
      <c r="E29" s="63">
        <f>E77/E53*E7</f>
        <v>30.831284916201117</v>
      </c>
      <c r="F29" s="63">
        <f>F77/F53*F7</f>
        <v>37.816105769230774</v>
      </c>
      <c r="G29" s="63">
        <f>G77/G53*G7</f>
        <v>35.556034482758619</v>
      </c>
      <c r="H29" s="63">
        <f>H77/H53*H7</f>
        <v>49.992182410423453</v>
      </c>
      <c r="I29" s="63">
        <f>I77/I53*I7</f>
        <v>54.240558292282437</v>
      </c>
      <c r="J29" s="64">
        <v>41.69</v>
      </c>
      <c r="K29" s="64">
        <v>41.69</v>
      </c>
      <c r="L29" s="64">
        <v>41.69</v>
      </c>
      <c r="M29" s="64">
        <v>41.69</v>
      </c>
      <c r="N29" s="64">
        <v>41.69</v>
      </c>
      <c r="O29" s="64">
        <v>41.69</v>
      </c>
      <c r="P29" s="64">
        <v>41.69</v>
      </c>
      <c r="Q29" s="64">
        <v>41.69</v>
      </c>
      <c r="R29" s="64">
        <v>41.69</v>
      </c>
      <c r="S29" s="64">
        <v>41.69</v>
      </c>
      <c r="T29" s="37"/>
    </row>
    <row r="30" spans="1:20" outlineLevel="1" x14ac:dyDescent="0.15">
      <c r="A30" s="34" t="s">
        <v>146</v>
      </c>
      <c r="E30" s="33">
        <f>E78/E52</f>
        <v>5.1379284705182542E-2</v>
      </c>
      <c r="F30" s="33">
        <f t="shared" ref="F30:I30" si="30">F78/F52</f>
        <v>0.12595949996344763</v>
      </c>
      <c r="G30" s="33">
        <f t="shared" si="30"/>
        <v>0.25907204828366653</v>
      </c>
      <c r="H30" s="33">
        <f t="shared" si="30"/>
        <v>6.7697515193476415E-2</v>
      </c>
      <c r="I30" s="33">
        <f t="shared" si="30"/>
        <v>0.21916784940614029</v>
      </c>
      <c r="J30" s="61">
        <v>0.14465523951038267</v>
      </c>
      <c r="K30" s="61">
        <v>0.14465523951038267</v>
      </c>
      <c r="L30" s="61">
        <v>0.14465523951038267</v>
      </c>
      <c r="M30" s="61">
        <v>0.14465523951038267</v>
      </c>
      <c r="N30" s="61">
        <v>0.14465523951038267</v>
      </c>
      <c r="O30" s="61">
        <v>0.14465523951038267</v>
      </c>
      <c r="P30" s="61">
        <v>0.14465523951038267</v>
      </c>
      <c r="Q30" s="61">
        <v>0.14465523951038267</v>
      </c>
      <c r="R30" s="61">
        <v>0.14465523951038267</v>
      </c>
      <c r="S30" s="61">
        <v>0.14465523951038267</v>
      </c>
    </row>
    <row r="31" spans="1:20" outlineLevel="1" x14ac:dyDescent="0.15">
      <c r="A31" s="34" t="s">
        <v>147</v>
      </c>
      <c r="E31" s="33">
        <f>E83/E52</f>
        <v>0.97286043572012793</v>
      </c>
      <c r="F31" s="33">
        <f t="shared" ref="F31:I31" si="31">F83/F52</f>
        <v>1.0364792748007896</v>
      </c>
      <c r="G31" s="33">
        <f t="shared" si="31"/>
        <v>0.97223689173896644</v>
      </c>
      <c r="H31" s="33">
        <f t="shared" si="31"/>
        <v>0.97538272174782681</v>
      </c>
      <c r="I31" s="33">
        <f t="shared" si="31"/>
        <v>0.93986703518338688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</row>
    <row r="32" spans="1:20" outlineLevel="1" x14ac:dyDescent="0.15">
      <c r="A32" s="34" t="s">
        <v>149</v>
      </c>
      <c r="E32" s="33">
        <f>E84/E52</f>
        <v>0</v>
      </c>
      <c r="F32" s="33">
        <f>F84/F52</f>
        <v>0.14043424226917173</v>
      </c>
      <c r="G32" s="33">
        <f t="shared" ref="G32:I32" si="32">G84/G52</f>
        <v>0.16356092040739342</v>
      </c>
      <c r="H32" s="33">
        <f t="shared" si="32"/>
        <v>7.5313485652742512E-2</v>
      </c>
      <c r="I32" s="33">
        <f t="shared" si="32"/>
        <v>0.10480316725181146</v>
      </c>
      <c r="J32" s="61">
        <v>0.121</v>
      </c>
      <c r="K32" s="61">
        <v>0.121</v>
      </c>
      <c r="L32" s="61">
        <v>0.121</v>
      </c>
      <c r="M32" s="61">
        <v>0.121</v>
      </c>
      <c r="N32" s="61">
        <v>0.121</v>
      </c>
      <c r="O32" s="61">
        <v>0.121</v>
      </c>
      <c r="P32" s="61">
        <v>0.121</v>
      </c>
      <c r="Q32" s="61">
        <v>0.121</v>
      </c>
      <c r="R32" s="61">
        <v>0.121</v>
      </c>
      <c r="S32" s="61">
        <v>0.121</v>
      </c>
    </row>
    <row r="33" spans="1:19" outlineLevel="1" x14ac:dyDescent="0.15">
      <c r="A33" s="34" t="s">
        <v>144</v>
      </c>
      <c r="E33" s="33">
        <f>E85/E52</f>
        <v>0.4733437430292215</v>
      </c>
      <c r="F33" s="33">
        <f t="shared" ref="F33:I33" si="33">F85/F52</f>
        <v>0.51999415161927043</v>
      </c>
      <c r="G33" s="33">
        <f t="shared" si="33"/>
        <v>0.49083364768012072</v>
      </c>
      <c r="H33" s="33">
        <f t="shared" si="33"/>
        <v>0.51365489653050234</v>
      </c>
      <c r="I33" s="33">
        <f t="shared" si="33"/>
        <v>0.63053708821991483</v>
      </c>
      <c r="J33" s="61">
        <v>0.52567270541580591</v>
      </c>
      <c r="K33" s="61">
        <v>0.52567270541580591</v>
      </c>
      <c r="L33" s="61">
        <v>0.52567270541580591</v>
      </c>
      <c r="M33" s="61">
        <v>0.52567270541580591</v>
      </c>
      <c r="N33" s="61">
        <v>0.52567270541580591</v>
      </c>
      <c r="O33" s="61">
        <v>0.52567270541580591</v>
      </c>
      <c r="P33" s="61">
        <v>0.52567270541580591</v>
      </c>
      <c r="Q33" s="61">
        <v>0.52567270541580591</v>
      </c>
      <c r="R33" s="61">
        <v>0.52567270541580591</v>
      </c>
      <c r="S33" s="61">
        <v>0.52567270541580591</v>
      </c>
    </row>
    <row r="34" spans="1:19" outlineLevel="1" x14ac:dyDescent="0.15">
      <c r="A34" s="34" t="s">
        <v>148</v>
      </c>
      <c r="E34" s="33">
        <f>E86/E52</f>
        <v>0.3490222321362183</v>
      </c>
      <c r="F34" s="33">
        <f t="shared" ref="F34:I34" si="34">F86/F52</f>
        <v>0.29753636961766211</v>
      </c>
      <c r="G34" s="33">
        <f t="shared" si="34"/>
        <v>0.34537910222557527</v>
      </c>
      <c r="H34" s="33">
        <f t="shared" si="34"/>
        <v>0.38379875375028849</v>
      </c>
      <c r="I34" s="33">
        <f t="shared" si="34"/>
        <v>0.31276611638156421</v>
      </c>
      <c r="J34" s="61">
        <v>0.33770051482226171</v>
      </c>
      <c r="K34" s="61">
        <v>0.33770051482226171</v>
      </c>
      <c r="L34" s="61">
        <v>0.33770051482226171</v>
      </c>
      <c r="M34" s="61">
        <v>0.33770051482226171</v>
      </c>
      <c r="N34" s="61">
        <v>0.33770051482226171</v>
      </c>
      <c r="O34" s="61">
        <v>0.33770051482226171</v>
      </c>
      <c r="P34" s="61">
        <v>0.33770051482226171</v>
      </c>
      <c r="Q34" s="61">
        <v>0.33770051482226171</v>
      </c>
      <c r="R34" s="61">
        <v>0.33770051482226171</v>
      </c>
      <c r="S34" s="61">
        <v>0.33770051482226171</v>
      </c>
    </row>
    <row r="35" spans="1:19" outlineLevel="1" x14ac:dyDescent="0.15">
      <c r="A35" s="34" t="s">
        <v>157</v>
      </c>
      <c r="E35" s="65">
        <f>E93/E53*E7</f>
        <v>396.48379888268158</v>
      </c>
      <c r="F35" s="65">
        <f>F93/F53*F7</f>
        <v>508.89423076923072</v>
      </c>
      <c r="G35" s="65">
        <f>G93/G53*G7</f>
        <v>450.19288793103448</v>
      </c>
      <c r="H35" s="65">
        <f>H93/H53*H7</f>
        <v>404.62671009771987</v>
      </c>
      <c r="I35" s="65">
        <f>I93/I53*I7</f>
        <v>470.85899014778323</v>
      </c>
      <c r="J35" s="66">
        <v>446.2</v>
      </c>
      <c r="K35" s="66">
        <v>446.2</v>
      </c>
      <c r="L35" s="66">
        <v>446.2</v>
      </c>
      <c r="M35" s="66">
        <v>446.2</v>
      </c>
      <c r="N35" s="66">
        <v>446.2</v>
      </c>
      <c r="O35" s="66">
        <v>446.2</v>
      </c>
      <c r="P35" s="66">
        <v>446.2</v>
      </c>
      <c r="Q35" s="66">
        <v>446.2</v>
      </c>
      <c r="R35" s="66">
        <v>446.2</v>
      </c>
      <c r="S35" s="66">
        <v>446.2</v>
      </c>
    </row>
    <row r="36" spans="1:19" outlineLevel="1" x14ac:dyDescent="0.15">
      <c r="A36" s="34" t="s">
        <v>150</v>
      </c>
      <c r="E36" s="33">
        <f>E94/E52</f>
        <v>0.34418915904528219</v>
      </c>
      <c r="F36" s="33">
        <f t="shared" ref="F36:I36" si="35">F94/F52</f>
        <v>0.45500402076175162</v>
      </c>
      <c r="G36" s="33">
        <f t="shared" si="35"/>
        <v>0.53270463975858162</v>
      </c>
      <c r="H36" s="33">
        <f t="shared" si="35"/>
        <v>0.47726748211400877</v>
      </c>
      <c r="I36" s="33">
        <f t="shared" si="35"/>
        <v>0.48816015537461716</v>
      </c>
      <c r="J36" s="61">
        <v>0.45946509141084829</v>
      </c>
      <c r="K36" s="61">
        <v>0.45946509141084829</v>
      </c>
      <c r="L36" s="61">
        <v>0.45946509141084829</v>
      </c>
      <c r="M36" s="61">
        <v>0.45946509141084829</v>
      </c>
      <c r="N36" s="61">
        <v>0.45946509141084829</v>
      </c>
      <c r="O36" s="61">
        <v>0.45946509141084829</v>
      </c>
      <c r="P36" s="61">
        <v>0.45946509141084829</v>
      </c>
      <c r="Q36" s="61">
        <v>0.45946509141084829</v>
      </c>
      <c r="R36" s="61">
        <v>0.45946509141084829</v>
      </c>
      <c r="S36" s="61">
        <v>0.45946509141084829</v>
      </c>
    </row>
    <row r="37" spans="1:19" outlineLevel="1" x14ac:dyDescent="0.15">
      <c r="A37" s="34" t="s">
        <v>151</v>
      </c>
      <c r="E37" s="33">
        <f>E95/E52</f>
        <v>2.8775373633727414E-2</v>
      </c>
      <c r="F37" s="33">
        <f t="shared" ref="F37:I37" si="36">F95/F52</f>
        <v>6.7402587908472839E-2</v>
      </c>
      <c r="G37" s="33">
        <f t="shared" si="36"/>
        <v>8.6759713315729906E-3</v>
      </c>
      <c r="H37" s="33">
        <f t="shared" si="36"/>
        <v>5.323486422032464E-2</v>
      </c>
      <c r="I37" s="33">
        <f t="shared" si="36"/>
        <v>1.6508553073877642E-2</v>
      </c>
      <c r="J37" s="61">
        <v>3.5000000000000003E-2</v>
      </c>
      <c r="K37" s="61">
        <v>3.5000000000000003E-2</v>
      </c>
      <c r="L37" s="61">
        <v>3.5000000000000003E-2</v>
      </c>
      <c r="M37" s="61">
        <v>3.5000000000000003E-2</v>
      </c>
      <c r="N37" s="61">
        <v>3.5000000000000003E-2</v>
      </c>
      <c r="O37" s="61">
        <v>3.5000000000000003E-2</v>
      </c>
      <c r="P37" s="61">
        <v>3.5000000000000003E-2</v>
      </c>
      <c r="Q37" s="61">
        <v>3.5000000000000003E-2</v>
      </c>
      <c r="R37" s="61">
        <v>3.5000000000000003E-2</v>
      </c>
      <c r="S37" s="61">
        <v>3.5000000000000003E-2</v>
      </c>
    </row>
    <row r="38" spans="1:19" outlineLevel="1" x14ac:dyDescent="0.15">
      <c r="A38" s="34" t="s">
        <v>152</v>
      </c>
      <c r="E38" s="37">
        <f>E99/E52</f>
        <v>2.8910699680273626</v>
      </c>
      <c r="F38" s="37">
        <f t="shared" ref="F38:I38" si="37">F99/F52</f>
        <v>3.2178521821770598</v>
      </c>
      <c r="G38" s="37">
        <f t="shared" si="37"/>
        <v>3.2719728404375705</v>
      </c>
      <c r="H38" s="37">
        <f t="shared" si="37"/>
        <v>3.3724132625586583</v>
      </c>
      <c r="I38" s="37">
        <f t="shared" si="37"/>
        <v>3.4854709793082841</v>
      </c>
      <c r="J38" s="61">
        <v>3.2480000000000002</v>
      </c>
      <c r="K38" s="61">
        <v>3.2480000000000002</v>
      </c>
      <c r="L38" s="61">
        <v>3.2480000000000002</v>
      </c>
      <c r="M38" s="61">
        <v>3.2480000000000002</v>
      </c>
      <c r="N38" s="61">
        <v>3.2480000000000002</v>
      </c>
      <c r="O38" s="61">
        <v>3.15</v>
      </c>
      <c r="P38" s="61">
        <v>3.05</v>
      </c>
      <c r="Q38" s="61">
        <v>2.95</v>
      </c>
      <c r="R38" s="61">
        <v>2.85</v>
      </c>
      <c r="S38" s="61">
        <v>2.75</v>
      </c>
    </row>
    <row r="39" spans="1:19" outlineLevel="1" x14ac:dyDescent="0.15">
      <c r="A39" s="34" t="s">
        <v>153</v>
      </c>
      <c r="E39" s="33">
        <f>E100/E52</f>
        <v>0.77708379805189975</v>
      </c>
      <c r="F39" s="33">
        <f t="shared" ref="F39:I39" si="38">F100/F52</f>
        <v>0.8015205789896922</v>
      </c>
      <c r="G39" s="33">
        <f t="shared" si="38"/>
        <v>0.80067898906073176</v>
      </c>
      <c r="H39" s="33">
        <f t="shared" si="38"/>
        <v>0.87660589276098166</v>
      </c>
      <c r="I39" s="33">
        <f t="shared" si="38"/>
        <v>0.83073130649137228</v>
      </c>
      <c r="J39" s="61">
        <v>0.81732411307093555</v>
      </c>
      <c r="K39" s="61">
        <v>0.81732411307093555</v>
      </c>
      <c r="L39" s="61">
        <v>0.81732411307093555</v>
      </c>
      <c r="M39" s="61">
        <v>0.81732411307093555</v>
      </c>
      <c r="N39" s="61">
        <v>0.81732411307093555</v>
      </c>
      <c r="O39" s="61">
        <v>0.81732411307093555</v>
      </c>
      <c r="P39" s="61">
        <v>0.81732411307093555</v>
      </c>
      <c r="Q39" s="61">
        <v>0.81732411307093555</v>
      </c>
      <c r="R39" s="61">
        <v>0.81732411307093555</v>
      </c>
      <c r="S39" s="61">
        <v>0.81732411307093555</v>
      </c>
    </row>
    <row r="40" spans="1:19" outlineLevel="1" x14ac:dyDescent="0.15">
      <c r="A40" s="34" t="s">
        <v>178</v>
      </c>
      <c r="E40" s="37">
        <f>-E125/E52</f>
        <v>0.37229533794334152</v>
      </c>
      <c r="F40" s="37">
        <f t="shared" ref="F40:I40" si="39">-F125/F52</f>
        <v>0.67987425981431393</v>
      </c>
      <c r="G40" s="37">
        <f t="shared" si="39"/>
        <v>0.56393813655224445</v>
      </c>
      <c r="H40" s="37">
        <f t="shared" si="39"/>
        <v>0.61643203323332563</v>
      </c>
      <c r="I40" s="37">
        <f t="shared" si="39"/>
        <v>0.44251886158213194</v>
      </c>
      <c r="J40" s="61">
        <v>0.45</v>
      </c>
      <c r="K40" s="61">
        <v>0.42</v>
      </c>
      <c r="L40" s="61">
        <v>0.4</v>
      </c>
      <c r="M40" s="61">
        <v>0.35</v>
      </c>
      <c r="N40" s="61">
        <v>0.3</v>
      </c>
      <c r="O40" s="61">
        <v>0.25</v>
      </c>
      <c r="P40" s="61">
        <v>0.2</v>
      </c>
      <c r="Q40" s="61">
        <v>0.2</v>
      </c>
      <c r="R40" s="61">
        <v>0.18</v>
      </c>
      <c r="S40" s="61">
        <v>0.18</v>
      </c>
    </row>
    <row r="41" spans="1:19" outlineLevel="1" x14ac:dyDescent="0.15">
      <c r="A41" s="5"/>
      <c r="E41" s="33"/>
      <c r="F41" s="33"/>
      <c r="G41" s="33"/>
      <c r="H41" s="33"/>
      <c r="I41" s="33"/>
      <c r="J41" s="61"/>
      <c r="K41" s="61"/>
      <c r="L41" s="61"/>
      <c r="M41" s="61"/>
      <c r="N41" s="61"/>
    </row>
    <row r="42" spans="1:19" outlineLevel="1" x14ac:dyDescent="0.15">
      <c r="A42" s="5"/>
      <c r="E42" s="33"/>
      <c r="F42" s="33"/>
      <c r="G42" s="33"/>
      <c r="H42" s="33"/>
      <c r="I42" s="33"/>
      <c r="J42" s="61"/>
      <c r="K42" s="61"/>
      <c r="L42" s="61"/>
      <c r="M42" s="61"/>
      <c r="N42" s="61"/>
    </row>
    <row r="43" spans="1:19" outlineLevel="1" x14ac:dyDescent="0.15">
      <c r="A43" s="5"/>
      <c r="E43" s="33"/>
      <c r="F43" s="33"/>
      <c r="G43" s="33"/>
      <c r="H43" s="33"/>
      <c r="I43" s="33"/>
      <c r="J43" s="61"/>
      <c r="K43" s="61"/>
      <c r="L43" s="61"/>
      <c r="M43" s="61"/>
      <c r="N43" s="61"/>
    </row>
    <row r="44" spans="1:19" outlineLevel="1" x14ac:dyDescent="0.15">
      <c r="A44" s="5"/>
      <c r="E44" s="33"/>
      <c r="F44" s="33"/>
      <c r="G44" s="33"/>
      <c r="H44" s="33"/>
      <c r="I44" s="33"/>
      <c r="J44" s="61"/>
      <c r="K44" s="61"/>
      <c r="L44" s="61"/>
      <c r="M44" s="61"/>
      <c r="N44" s="61"/>
    </row>
    <row r="46" spans="1:19" ht="18.5" customHeight="1" x14ac:dyDescent="0.2">
      <c r="A46" s="1" t="s">
        <v>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outlineLevel="1" x14ac:dyDescent="0.15"/>
    <row r="48" spans="1:19" outlineLevel="1" x14ac:dyDescent="0.15">
      <c r="A48" s="2" t="s">
        <v>22</v>
      </c>
    </row>
    <row r="49" spans="1:19" outlineLevel="1" x14ac:dyDescent="0.15">
      <c r="A49" s="5" t="s">
        <v>20</v>
      </c>
      <c r="E49" s="28">
        <v>7847</v>
      </c>
      <c r="F49" s="28">
        <v>8971</v>
      </c>
      <c r="G49" s="28">
        <v>9591</v>
      </c>
      <c r="H49" s="28">
        <v>10216</v>
      </c>
      <c r="I49" s="28">
        <v>10357</v>
      </c>
      <c r="J49" s="25">
        <f t="shared" ref="J49:N51" si="40">I49*(1+J14)</f>
        <v>11910.55</v>
      </c>
      <c r="K49" s="25">
        <f t="shared" si="40"/>
        <v>13697.132499999998</v>
      </c>
      <c r="L49" s="25">
        <f t="shared" si="40"/>
        <v>15614.731049999999</v>
      </c>
      <c r="M49" s="25">
        <f t="shared" si="40"/>
        <v>17800.793397000001</v>
      </c>
      <c r="N49" s="25">
        <f t="shared" si="40"/>
        <v>19936.888604640004</v>
      </c>
      <c r="O49" s="25">
        <f t="shared" ref="O49:O51" si="41">N49*(1+O14)</f>
        <v>21930.577465104005</v>
      </c>
      <c r="P49" s="25">
        <f t="shared" ref="P49:P51" si="42">O49*(1+P14)</f>
        <v>23685.023662312327</v>
      </c>
      <c r="Q49" s="25">
        <f t="shared" ref="Q49:Q51" si="43">P49*(1+Q14)</f>
        <v>25106.125082051069</v>
      </c>
      <c r="R49" s="25">
        <f t="shared" ref="R49:R51" si="44">Q49*(1+R14)</f>
        <v>26110.370085333114</v>
      </c>
      <c r="S49" s="25">
        <f t="shared" ref="S49:S51" si="45">R49*(1+S14)</f>
        <v>26893.681187893108</v>
      </c>
    </row>
    <row r="50" spans="1:19" outlineLevel="1" x14ac:dyDescent="0.15">
      <c r="A50" s="5" t="s">
        <v>93</v>
      </c>
      <c r="E50" s="28">
        <v>2009</v>
      </c>
      <c r="F50" s="28">
        <v>2584</v>
      </c>
      <c r="G50" s="28">
        <v>2879</v>
      </c>
      <c r="H50" s="28">
        <v>2371</v>
      </c>
      <c r="I50" s="28">
        <v>2306</v>
      </c>
      <c r="J50" s="25">
        <f t="shared" si="40"/>
        <v>2398.2400000000002</v>
      </c>
      <c r="K50" s="25">
        <f t="shared" si="40"/>
        <v>2494.1696000000002</v>
      </c>
      <c r="L50" s="25">
        <f t="shared" si="40"/>
        <v>2568.9946880000002</v>
      </c>
      <c r="M50" s="25">
        <f t="shared" si="40"/>
        <v>2620.3745817600002</v>
      </c>
      <c r="N50" s="25">
        <f t="shared" si="40"/>
        <v>2646.5783275776002</v>
      </c>
      <c r="O50" s="25">
        <f t="shared" si="41"/>
        <v>2673.0441108533764</v>
      </c>
      <c r="P50" s="25">
        <f t="shared" si="42"/>
        <v>2659.6788902991098</v>
      </c>
      <c r="Q50" s="25">
        <f t="shared" si="43"/>
        <v>2646.3804958476144</v>
      </c>
      <c r="R50" s="25">
        <f t="shared" si="44"/>
        <v>2633.1485933683762</v>
      </c>
      <c r="S50" s="25">
        <f t="shared" si="45"/>
        <v>2619.9828504015341</v>
      </c>
    </row>
    <row r="51" spans="1:19" outlineLevel="1" x14ac:dyDescent="0.15">
      <c r="A51" s="7" t="s">
        <v>179</v>
      </c>
      <c r="B51" s="8"/>
      <c r="C51" s="8"/>
      <c r="D51" s="8"/>
      <c r="E51" s="29">
        <v>3593</v>
      </c>
      <c r="F51" s="29">
        <v>2124</v>
      </c>
      <c r="G51" s="29">
        <v>785</v>
      </c>
      <c r="H51" s="29">
        <v>412</v>
      </c>
      <c r="I51" s="29">
        <v>724</v>
      </c>
      <c r="J51" s="26">
        <f t="shared" si="40"/>
        <v>868.8</v>
      </c>
      <c r="K51" s="26">
        <f t="shared" si="40"/>
        <v>1025.184</v>
      </c>
      <c r="L51" s="26">
        <f t="shared" si="40"/>
        <v>1189.21344</v>
      </c>
      <c r="M51" s="26">
        <f t="shared" si="40"/>
        <v>1355.7033216000002</v>
      </c>
      <c r="N51" s="26">
        <f t="shared" si="40"/>
        <v>1518.3877201920004</v>
      </c>
      <c r="O51" s="26">
        <f t="shared" si="41"/>
        <v>1670.2264922112006</v>
      </c>
      <c r="P51" s="26">
        <f t="shared" si="42"/>
        <v>1803.8446115880968</v>
      </c>
      <c r="Q51" s="26">
        <f t="shared" si="43"/>
        <v>1912.0752882833826</v>
      </c>
      <c r="R51" s="26">
        <f t="shared" si="44"/>
        <v>1988.5582998147181</v>
      </c>
      <c r="S51" s="26">
        <f t="shared" si="45"/>
        <v>2048.2150488091597</v>
      </c>
    </row>
    <row r="52" spans="1:19" outlineLevel="1" x14ac:dyDescent="0.15">
      <c r="A52" s="6" t="s">
        <v>10</v>
      </c>
      <c r="E52" s="27">
        <f>SUM(E49:E51)</f>
        <v>13449</v>
      </c>
      <c r="F52" s="27">
        <f t="shared" ref="F52:N52" si="46">SUM(F49:F51)</f>
        <v>13679</v>
      </c>
      <c r="G52" s="27">
        <f t="shared" si="46"/>
        <v>13255</v>
      </c>
      <c r="H52" s="27">
        <f t="shared" si="46"/>
        <v>12999</v>
      </c>
      <c r="I52" s="27">
        <f t="shared" si="46"/>
        <v>13387</v>
      </c>
      <c r="J52" s="27">
        <f t="shared" si="46"/>
        <v>15177.589999999998</v>
      </c>
      <c r="K52" s="27">
        <f t="shared" si="46"/>
        <v>17216.486099999998</v>
      </c>
      <c r="L52" s="27">
        <f t="shared" si="46"/>
        <v>19372.939177999997</v>
      </c>
      <c r="M52" s="27">
        <f t="shared" si="46"/>
        <v>21776.871300360002</v>
      </c>
      <c r="N52" s="27">
        <f t="shared" si="46"/>
        <v>24101.854652409605</v>
      </c>
      <c r="O52" s="27">
        <f t="shared" ref="O52:Q52" si="47">SUM(O49:O51)</f>
        <v>26273.848068168583</v>
      </c>
      <c r="P52" s="27">
        <f t="shared" si="47"/>
        <v>28148.547164199535</v>
      </c>
      <c r="Q52" s="27">
        <f t="shared" si="47"/>
        <v>29664.580866182067</v>
      </c>
      <c r="R52" s="27">
        <f t="shared" ref="R52:S52" si="48">SUM(R49:R51)</f>
        <v>30732.076978516208</v>
      </c>
      <c r="S52" s="27">
        <f t="shared" si="48"/>
        <v>31561.879087103804</v>
      </c>
    </row>
    <row r="53" spans="1:19" outlineLevel="1" x14ac:dyDescent="0.15">
      <c r="A53" s="8" t="s">
        <v>11</v>
      </c>
      <c r="B53" s="8"/>
      <c r="C53" s="8"/>
      <c r="D53" s="8"/>
      <c r="E53" s="29">
        <v>4475</v>
      </c>
      <c r="F53" s="29">
        <v>4160</v>
      </c>
      <c r="G53" s="29">
        <v>4640</v>
      </c>
      <c r="H53" s="29">
        <v>4605</v>
      </c>
      <c r="I53" s="29">
        <v>4872</v>
      </c>
      <c r="J53" s="26">
        <f>J52*J18</f>
        <v>5175.8740500763734</v>
      </c>
      <c r="K53" s="26">
        <f>K52*K18</f>
        <v>5871.1800515424775</v>
      </c>
      <c r="L53" s="26">
        <f>L52*L18</f>
        <v>6606.5754289790475</v>
      </c>
      <c r="M53" s="26">
        <f>M52*M18</f>
        <v>7186.367529118801</v>
      </c>
      <c r="N53" s="26">
        <f>N52*N18</f>
        <v>7953.6120352951702</v>
      </c>
      <c r="O53" s="26">
        <f t="shared" ref="O53:Q53" si="49">O52*O18</f>
        <v>8670.3698624956323</v>
      </c>
      <c r="P53" s="26">
        <f t="shared" si="49"/>
        <v>9007.5350925438524</v>
      </c>
      <c r="Q53" s="26">
        <f t="shared" si="49"/>
        <v>9196.02006851644</v>
      </c>
      <c r="R53" s="26">
        <f t="shared" ref="R53" si="50">R52*R18</f>
        <v>9526.9438633400241</v>
      </c>
      <c r="S53" s="26">
        <f t="shared" ref="S53" si="51">S52*S18</f>
        <v>9468.5637261311404</v>
      </c>
    </row>
    <row r="54" spans="1:19" outlineLevel="1" x14ac:dyDescent="0.15">
      <c r="A54" s="6" t="s">
        <v>12</v>
      </c>
      <c r="B54" s="6"/>
      <c r="C54" s="6"/>
      <c r="D54" s="6"/>
      <c r="E54" s="27">
        <f>E52-E53</f>
        <v>8974</v>
      </c>
      <c r="F54" s="27">
        <f t="shared" ref="F54:N54" si="52">F52-F53</f>
        <v>9519</v>
      </c>
      <c r="G54" s="27">
        <f t="shared" si="52"/>
        <v>8615</v>
      </c>
      <c r="H54" s="27">
        <f t="shared" si="52"/>
        <v>8394</v>
      </c>
      <c r="I54" s="27">
        <f t="shared" si="52"/>
        <v>8515</v>
      </c>
      <c r="J54" s="27">
        <f t="shared" si="52"/>
        <v>10001.715949923626</v>
      </c>
      <c r="K54" s="27">
        <f t="shared" si="52"/>
        <v>11345.306048457522</v>
      </c>
      <c r="L54" s="27">
        <f t="shared" si="52"/>
        <v>12766.363749020949</v>
      </c>
      <c r="M54" s="27">
        <f t="shared" si="52"/>
        <v>14590.503771241201</v>
      </c>
      <c r="N54" s="27">
        <f t="shared" si="52"/>
        <v>16148.242617114436</v>
      </c>
      <c r="O54" s="27">
        <f t="shared" ref="O54:Q54" si="53">O52-O53</f>
        <v>17603.478205672953</v>
      </c>
      <c r="P54" s="27">
        <f t="shared" si="53"/>
        <v>19141.012071655685</v>
      </c>
      <c r="Q54" s="27">
        <f t="shared" si="53"/>
        <v>20468.560797665625</v>
      </c>
      <c r="R54" s="27">
        <f t="shared" ref="R54:S54" si="54">R52-R53</f>
        <v>21205.133115176184</v>
      </c>
      <c r="S54" s="27">
        <f t="shared" si="54"/>
        <v>22093.315360972665</v>
      </c>
    </row>
    <row r="55" spans="1:19" outlineLevel="1" x14ac:dyDescent="0.15">
      <c r="A55" s="2" t="s">
        <v>98</v>
      </c>
      <c r="E55" s="28">
        <v>3639</v>
      </c>
      <c r="F55" s="28">
        <v>2289</v>
      </c>
      <c r="G55" s="28">
        <v>365</v>
      </c>
      <c r="H55" s="28">
        <v>0</v>
      </c>
      <c r="I55" s="28">
        <v>2832</v>
      </c>
      <c r="J55" s="25">
        <f>J19*J52</f>
        <v>0</v>
      </c>
      <c r="K55" s="25">
        <f>K19*K52</f>
        <v>0</v>
      </c>
      <c r="L55" s="25">
        <f>L19*L52</f>
        <v>0</v>
      </c>
      <c r="M55" s="25">
        <f>M19*M52</f>
        <v>0</v>
      </c>
      <c r="N55" s="25">
        <f>N19*N52</f>
        <v>0</v>
      </c>
      <c r="O55" s="25">
        <f t="shared" ref="O55:Q55" si="55">O19*O52</f>
        <v>0</v>
      </c>
      <c r="P55" s="25">
        <f t="shared" si="55"/>
        <v>0</v>
      </c>
      <c r="Q55" s="25">
        <f t="shared" si="55"/>
        <v>0</v>
      </c>
      <c r="R55" s="25">
        <f t="shared" ref="R55:S55" si="56">R19*R52</f>
        <v>0</v>
      </c>
      <c r="S55" s="25">
        <f t="shared" si="56"/>
        <v>0</v>
      </c>
    </row>
    <row r="56" spans="1:19" outlineLevel="1" x14ac:dyDescent="0.15">
      <c r="A56" s="8" t="s">
        <v>14</v>
      </c>
      <c r="B56" s="8"/>
      <c r="C56" s="8"/>
      <c r="D56" s="8"/>
      <c r="E56" s="29">
        <v>2055</v>
      </c>
      <c r="F56" s="29">
        <v>2350</v>
      </c>
      <c r="G56" s="29">
        <v>2464</v>
      </c>
      <c r="H56" s="29">
        <v>2590</v>
      </c>
      <c r="I56" s="29">
        <v>2522</v>
      </c>
      <c r="J56" s="26">
        <f>J20*J52</f>
        <v>2726.2763762665109</v>
      </c>
      <c r="K56" s="26">
        <f>K20*K52</f>
        <v>3092.5133263417151</v>
      </c>
      <c r="L56" s="26">
        <f>L20*L52</f>
        <v>3479.8664623190739</v>
      </c>
      <c r="M56" s="26">
        <f>M20*M52</f>
        <v>3911.6730505414662</v>
      </c>
      <c r="N56" s="26">
        <f>N20*N52</f>
        <v>4329.2984566768118</v>
      </c>
      <c r="O56" s="26">
        <f t="shared" ref="O56:Q56" si="57">O20*O52</f>
        <v>4719.4430276390067</v>
      </c>
      <c r="P56" s="26">
        <f t="shared" si="57"/>
        <v>5056.1860717005065</v>
      </c>
      <c r="Q56" s="26">
        <f t="shared" si="57"/>
        <v>5328.5038024692803</v>
      </c>
      <c r="R56" s="26">
        <f t="shared" ref="R56:S56" si="58">R20*R52</f>
        <v>5520.2529163149511</v>
      </c>
      <c r="S56" s="26">
        <f t="shared" si="58"/>
        <v>5669.306216978528</v>
      </c>
    </row>
    <row r="57" spans="1:19" outlineLevel="1" x14ac:dyDescent="0.15">
      <c r="A57" s="6" t="s">
        <v>94</v>
      </c>
      <c r="E57" s="27">
        <f>E54-SUM(E55:E56)</f>
        <v>3280</v>
      </c>
      <c r="F57" s="27">
        <f t="shared" ref="F57:N57" si="59">F54-SUM(F55:F56)</f>
        <v>4880</v>
      </c>
      <c r="G57" s="27">
        <f t="shared" si="59"/>
        <v>5786</v>
      </c>
      <c r="H57" s="27">
        <f t="shared" si="59"/>
        <v>5804</v>
      </c>
      <c r="I57" s="27">
        <f t="shared" si="59"/>
        <v>3161</v>
      </c>
      <c r="J57" s="27">
        <f t="shared" si="59"/>
        <v>7275.439573657115</v>
      </c>
      <c r="K57" s="27">
        <f t="shared" si="59"/>
        <v>8252.7927221158061</v>
      </c>
      <c r="L57" s="27">
        <f t="shared" si="59"/>
        <v>9286.4972867018751</v>
      </c>
      <c r="M57" s="27">
        <f t="shared" si="59"/>
        <v>10678.830720699734</v>
      </c>
      <c r="N57" s="27">
        <f t="shared" si="59"/>
        <v>11818.944160437624</v>
      </c>
      <c r="O57" s="27">
        <f t="shared" ref="O57:Q57" si="60">O54-SUM(O55:O56)</f>
        <v>12884.035178033946</v>
      </c>
      <c r="P57" s="27">
        <f t="shared" si="60"/>
        <v>14084.825999955177</v>
      </c>
      <c r="Q57" s="27">
        <f t="shared" si="60"/>
        <v>15140.056995196344</v>
      </c>
      <c r="R57" s="27">
        <f t="shared" ref="R57:S57" si="61">R54-SUM(R55:R56)</f>
        <v>15684.880198861232</v>
      </c>
      <c r="S57" s="27">
        <f t="shared" si="61"/>
        <v>16424.009143994139</v>
      </c>
    </row>
    <row r="58" spans="1:19" outlineLevel="1" x14ac:dyDescent="0.15">
      <c r="A58" s="2" t="s">
        <v>95</v>
      </c>
      <c r="E58" s="28">
        <v>1885</v>
      </c>
      <c r="F58" s="28">
        <v>2189</v>
      </c>
      <c r="G58" s="28">
        <v>1873</v>
      </c>
      <c r="H58" s="28">
        <v>2015</v>
      </c>
      <c r="I58" s="28">
        <v>2160</v>
      </c>
      <c r="J58" s="30">
        <f>J167</f>
        <v>2269.5370768701891</v>
      </c>
      <c r="K58" s="30">
        <f t="shared" ref="K58:N58" si="62">K167</f>
        <v>2411.4789628695316</v>
      </c>
      <c r="L58" s="30">
        <f t="shared" si="62"/>
        <v>2773.7764114726174</v>
      </c>
      <c r="M58" s="30">
        <f t="shared" si="62"/>
        <v>3134.4529768285147</v>
      </c>
      <c r="N58" s="30">
        <f t="shared" si="62"/>
        <v>3478.621833424228</v>
      </c>
      <c r="O58" s="30">
        <f t="shared" ref="O58:Q58" si="63">O167</f>
        <v>3753.9610038259084</v>
      </c>
      <c r="P58" s="30">
        <f t="shared" si="63"/>
        <v>3960.7527713622608</v>
      </c>
      <c r="Q58" s="30">
        <f t="shared" si="63"/>
        <v>4090.1855296263557</v>
      </c>
      <c r="R58" s="30">
        <f t="shared" ref="R58:S58" si="64">R167</f>
        <v>4145.5161611540652</v>
      </c>
      <c r="S58" s="30">
        <f t="shared" si="64"/>
        <v>4147.9742457243683</v>
      </c>
    </row>
    <row r="59" spans="1:19" outlineLevel="1" x14ac:dyDescent="0.15">
      <c r="A59" s="2" t="s">
        <v>96</v>
      </c>
      <c r="E59" s="28">
        <v>379</v>
      </c>
      <c r="F59" s="28">
        <v>394</v>
      </c>
      <c r="G59" s="28">
        <v>434</v>
      </c>
      <c r="H59" s="28">
        <v>446</v>
      </c>
      <c r="I59" s="28">
        <v>320</v>
      </c>
      <c r="J59" s="25">
        <f t="shared" ref="J59:N61" si="65">J52*J21</f>
        <v>0</v>
      </c>
      <c r="K59" s="25">
        <f t="shared" si="65"/>
        <v>0</v>
      </c>
      <c r="L59" s="25">
        <f t="shared" si="65"/>
        <v>0</v>
      </c>
      <c r="M59" s="25">
        <f t="shared" si="65"/>
        <v>0</v>
      </c>
      <c r="N59" s="25">
        <f t="shared" si="65"/>
        <v>0</v>
      </c>
      <c r="O59" s="25">
        <f t="shared" ref="O59:Q59" si="66">O52*O21</f>
        <v>0</v>
      </c>
      <c r="P59" s="25">
        <f t="shared" si="66"/>
        <v>0</v>
      </c>
      <c r="Q59" s="25">
        <f t="shared" si="66"/>
        <v>0</v>
      </c>
      <c r="R59" s="25">
        <f t="shared" ref="R59:S59" si="67">R52*R21</f>
        <v>0</v>
      </c>
      <c r="S59" s="25">
        <f t="shared" si="67"/>
        <v>0</v>
      </c>
    </row>
    <row r="60" spans="1:19" outlineLevel="1" x14ac:dyDescent="0.15">
      <c r="A60" s="2" t="s">
        <v>99</v>
      </c>
      <c r="E60" s="28">
        <v>-773</v>
      </c>
      <c r="F60" s="28">
        <v>-714</v>
      </c>
      <c r="G60" s="28">
        <v>-920</v>
      </c>
      <c r="H60" s="28">
        <v>-1019</v>
      </c>
      <c r="I60" s="28">
        <v>-898</v>
      </c>
      <c r="J60" s="25">
        <f t="shared" si="65"/>
        <v>0</v>
      </c>
      <c r="K60" s="25">
        <f t="shared" si="65"/>
        <v>0</v>
      </c>
      <c r="L60" s="25">
        <f t="shared" si="65"/>
        <v>0</v>
      </c>
      <c r="M60" s="25">
        <f t="shared" si="65"/>
        <v>0</v>
      </c>
      <c r="N60" s="25">
        <f t="shared" si="65"/>
        <v>0</v>
      </c>
      <c r="O60" s="25">
        <f t="shared" ref="O60:Q60" si="68">O53*O22</f>
        <v>0</v>
      </c>
      <c r="P60" s="25">
        <f t="shared" si="68"/>
        <v>0</v>
      </c>
      <c r="Q60" s="25">
        <f t="shared" si="68"/>
        <v>0</v>
      </c>
      <c r="R60" s="25">
        <f t="shared" ref="R60:S60" si="69">R53*R22</f>
        <v>0</v>
      </c>
      <c r="S60" s="25">
        <f t="shared" si="69"/>
        <v>0</v>
      </c>
    </row>
    <row r="61" spans="1:19" outlineLevel="1" x14ac:dyDescent="0.15">
      <c r="A61" s="2" t="s">
        <v>97</v>
      </c>
      <c r="E61" s="28">
        <v>-1517</v>
      </c>
      <c r="F61" s="28">
        <v>-938</v>
      </c>
      <c r="G61" s="28">
        <v>-788</v>
      </c>
      <c r="H61" s="28">
        <v>-745</v>
      </c>
      <c r="I61" s="28">
        <v>-587</v>
      </c>
      <c r="J61" s="25">
        <f t="shared" si="65"/>
        <v>0</v>
      </c>
      <c r="K61" s="25">
        <f t="shared" si="65"/>
        <v>0</v>
      </c>
      <c r="L61" s="25">
        <f t="shared" si="65"/>
        <v>0</v>
      </c>
      <c r="M61" s="25">
        <f t="shared" si="65"/>
        <v>0</v>
      </c>
      <c r="N61" s="25">
        <f t="shared" si="65"/>
        <v>0</v>
      </c>
      <c r="O61" s="25">
        <f t="shared" ref="O61:Q61" si="70">O54*O23</f>
        <v>0</v>
      </c>
      <c r="P61" s="25">
        <f t="shared" si="70"/>
        <v>0</v>
      </c>
      <c r="Q61" s="25">
        <f t="shared" si="70"/>
        <v>0</v>
      </c>
      <c r="R61" s="25">
        <f t="shared" ref="R61:S61" si="71">R54*R23</f>
        <v>0</v>
      </c>
      <c r="S61" s="25">
        <f t="shared" si="71"/>
        <v>0</v>
      </c>
    </row>
    <row r="62" spans="1:19" outlineLevel="1" x14ac:dyDescent="0.15">
      <c r="A62" s="2" t="s">
        <v>16</v>
      </c>
      <c r="E62" s="30">
        <f>E57-SUM(E58:E61)</f>
        <v>3306</v>
      </c>
      <c r="F62" s="30">
        <f t="shared" ref="F62:N62" si="72">F57-SUM(F58:F61)</f>
        <v>3949</v>
      </c>
      <c r="G62" s="30">
        <f t="shared" si="72"/>
        <v>5187</v>
      </c>
      <c r="H62" s="30">
        <f t="shared" si="72"/>
        <v>5107</v>
      </c>
      <c r="I62" s="30">
        <f t="shared" si="72"/>
        <v>2166</v>
      </c>
      <c r="J62" s="30">
        <f t="shared" si="72"/>
        <v>5005.9024967869263</v>
      </c>
      <c r="K62" s="30">
        <f t="shared" si="72"/>
        <v>5841.3137592462745</v>
      </c>
      <c r="L62" s="30">
        <f t="shared" si="72"/>
        <v>6512.7208752292572</v>
      </c>
      <c r="M62" s="30">
        <f t="shared" si="72"/>
        <v>7544.3777438712195</v>
      </c>
      <c r="N62" s="30">
        <f t="shared" si="72"/>
        <v>8340.3223270133967</v>
      </c>
      <c r="O62" s="30">
        <f t="shared" ref="O62:Q62" si="73">O57-SUM(O58:O61)</f>
        <v>9130.0741742080372</v>
      </c>
      <c r="P62" s="30">
        <f t="shared" si="73"/>
        <v>10124.073228592917</v>
      </c>
      <c r="Q62" s="30">
        <f t="shared" si="73"/>
        <v>11049.871465569988</v>
      </c>
      <c r="R62" s="30">
        <f t="shared" ref="R62:S62" si="74">R57-SUM(R58:R61)</f>
        <v>11539.364037707168</v>
      </c>
      <c r="S62" s="30">
        <f t="shared" si="74"/>
        <v>12276.034898269771</v>
      </c>
    </row>
    <row r="63" spans="1:19" outlineLevel="1" x14ac:dyDescent="0.15">
      <c r="A63" s="8" t="s">
        <v>17</v>
      </c>
      <c r="B63" s="8"/>
      <c r="C63" s="8"/>
      <c r="D63" s="8"/>
      <c r="E63" s="29">
        <v>-89</v>
      </c>
      <c r="F63" s="29">
        <v>432</v>
      </c>
      <c r="G63" s="29">
        <v>754</v>
      </c>
      <c r="H63" s="29">
        <v>194</v>
      </c>
      <c r="I63" s="29">
        <v>120</v>
      </c>
      <c r="J63" s="26">
        <f>J62*J24</f>
        <v>321.60538777061907</v>
      </c>
      <c r="K63" s="26">
        <f>K62*K24</f>
        <v>375.27658156307319</v>
      </c>
      <c r="L63" s="26">
        <f>L62*L24</f>
        <v>418.41129024472554</v>
      </c>
      <c r="M63" s="26">
        <f>M62*M24</f>
        <v>484.69032933883102</v>
      </c>
      <c r="N63" s="26">
        <f>N62*N24</f>
        <v>535.82597700069948</v>
      </c>
      <c r="O63" s="26">
        <f t="shared" ref="O63:Q63" si="75">O62*O24</f>
        <v>586.56377087954934</v>
      </c>
      <c r="P63" s="26">
        <f t="shared" si="75"/>
        <v>650.42347480591707</v>
      </c>
      <c r="Q63" s="26">
        <f t="shared" si="75"/>
        <v>709.9016011161026</v>
      </c>
      <c r="R63" s="26">
        <f t="shared" ref="R63" si="76">R62*R24</f>
        <v>741.34916697941276</v>
      </c>
      <c r="S63" s="26">
        <f t="shared" ref="S63" si="77">S62*S24</f>
        <v>788.67676033997429</v>
      </c>
    </row>
    <row r="64" spans="1:19" outlineLevel="1" x14ac:dyDescent="0.15">
      <c r="A64" s="6" t="s">
        <v>18</v>
      </c>
      <c r="E64" s="27">
        <f>E62-E63</f>
        <v>3395</v>
      </c>
      <c r="F64" s="27">
        <f>F62-F63</f>
        <v>3517</v>
      </c>
      <c r="G64" s="27">
        <f t="shared" ref="G64:N64" si="78">G62-G63</f>
        <v>4433</v>
      </c>
      <c r="H64" s="27">
        <f t="shared" si="78"/>
        <v>4913</v>
      </c>
      <c r="I64" s="27">
        <f t="shared" si="78"/>
        <v>2046</v>
      </c>
      <c r="J64" s="27">
        <f t="shared" si="78"/>
        <v>4684.2971090163073</v>
      </c>
      <c r="K64" s="27">
        <f t="shared" si="78"/>
        <v>5466.0371776832017</v>
      </c>
      <c r="L64" s="27">
        <f t="shared" si="78"/>
        <v>6094.3095849845313</v>
      </c>
      <c r="M64" s="27">
        <f t="shared" si="78"/>
        <v>7059.6874145323882</v>
      </c>
      <c r="N64" s="27">
        <f t="shared" si="78"/>
        <v>7804.4963500126969</v>
      </c>
      <c r="O64" s="27">
        <f t="shared" ref="O64:Q64" si="79">O62-O63</f>
        <v>8543.5104033284879</v>
      </c>
      <c r="P64" s="27">
        <f t="shared" si="79"/>
        <v>9473.649753787</v>
      </c>
      <c r="Q64" s="27">
        <f t="shared" si="79"/>
        <v>10339.969864453886</v>
      </c>
      <c r="R64" s="27">
        <f t="shared" ref="R64:S64" si="80">R62-R63</f>
        <v>10798.014870727755</v>
      </c>
      <c r="S64" s="27">
        <f t="shared" si="80"/>
        <v>11487.358137929796</v>
      </c>
    </row>
    <row r="65" spans="1:19" outlineLevel="1" x14ac:dyDescent="0.15">
      <c r="A65" s="8" t="s">
        <v>100</v>
      </c>
      <c r="B65" s="8"/>
      <c r="C65" s="8"/>
      <c r="D65" s="8"/>
      <c r="E65" s="83">
        <v>238</v>
      </c>
      <c r="F65" s="83">
        <v>-185</v>
      </c>
      <c r="G65" s="83">
        <v>293</v>
      </c>
      <c r="H65" s="83">
        <v>297</v>
      </c>
      <c r="I65" s="83">
        <v>91</v>
      </c>
      <c r="J65" s="84">
        <f>J64*J25</f>
        <v>0</v>
      </c>
      <c r="K65" s="84">
        <f>K64*K25</f>
        <v>0</v>
      </c>
      <c r="L65" s="84">
        <f>L64*L25</f>
        <v>0</v>
      </c>
      <c r="M65" s="84">
        <f>M64*M25</f>
        <v>0</v>
      </c>
      <c r="N65" s="84">
        <f>N64*N25</f>
        <v>0</v>
      </c>
      <c r="O65" s="84">
        <f t="shared" ref="O65:Q65" si="81">O64*O25</f>
        <v>0</v>
      </c>
      <c r="P65" s="84">
        <f t="shared" si="81"/>
        <v>0</v>
      </c>
      <c r="Q65" s="84">
        <f t="shared" si="81"/>
        <v>0</v>
      </c>
      <c r="R65" s="84">
        <f t="shared" ref="R65" si="82">R64*R25</f>
        <v>0</v>
      </c>
      <c r="S65" s="84">
        <f t="shared" ref="S65" si="83">S64*S25</f>
        <v>0</v>
      </c>
    </row>
    <row r="66" spans="1:19" outlineLevel="1" x14ac:dyDescent="0.15">
      <c r="A66" s="6" t="s">
        <v>101</v>
      </c>
      <c r="E66" s="27">
        <f>E64-E65</f>
        <v>3157</v>
      </c>
      <c r="F66" s="27">
        <f t="shared" ref="F66:N66" si="84">F64-F65</f>
        <v>3702</v>
      </c>
      <c r="G66" s="27">
        <f t="shared" si="84"/>
        <v>4140</v>
      </c>
      <c r="H66" s="27">
        <f t="shared" si="84"/>
        <v>4616</v>
      </c>
      <c r="I66" s="27">
        <f t="shared" si="84"/>
        <v>1955</v>
      </c>
      <c r="J66" s="27">
        <f t="shared" si="84"/>
        <v>4684.2971090163073</v>
      </c>
      <c r="K66" s="27">
        <f t="shared" si="84"/>
        <v>5466.0371776832017</v>
      </c>
      <c r="L66" s="27">
        <f t="shared" si="84"/>
        <v>6094.3095849845313</v>
      </c>
      <c r="M66" s="27">
        <f t="shared" si="84"/>
        <v>7059.6874145323882</v>
      </c>
      <c r="N66" s="27">
        <f t="shared" si="84"/>
        <v>7804.4963500126969</v>
      </c>
      <c r="O66" s="27">
        <f t="shared" ref="O66:Q66" si="85">O64-O65</f>
        <v>8543.5104033284879</v>
      </c>
      <c r="P66" s="27">
        <f t="shared" si="85"/>
        <v>9473.649753787</v>
      </c>
      <c r="Q66" s="27">
        <f t="shared" si="85"/>
        <v>10339.969864453886</v>
      </c>
      <c r="R66" s="27">
        <f t="shared" ref="R66:S66" si="86">R64-R65</f>
        <v>10798.014870727755</v>
      </c>
      <c r="S66" s="27">
        <f t="shared" si="86"/>
        <v>11487.358137929796</v>
      </c>
    </row>
    <row r="67" spans="1:19" outlineLevel="1" x14ac:dyDescent="0.15"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outlineLevel="1" x14ac:dyDescent="0.15">
      <c r="A68" s="2" t="s">
        <v>19</v>
      </c>
      <c r="E68" s="62">
        <v>1494</v>
      </c>
      <c r="F68" s="62">
        <v>1729</v>
      </c>
      <c r="G68" s="62">
        <v>1958</v>
      </c>
      <c r="H68" s="62">
        <v>3146</v>
      </c>
      <c r="I68" s="62">
        <v>3458</v>
      </c>
      <c r="J68" s="30">
        <f>J66*J26</f>
        <v>3279.007976311415</v>
      </c>
      <c r="K68" s="25">
        <f>K66*K26</f>
        <v>3826.2260243782407</v>
      </c>
      <c r="L68" s="25">
        <f>L66*L26</f>
        <v>4266.0167094891713</v>
      </c>
      <c r="M68" s="25">
        <f>M66*M26</f>
        <v>4941.7811901726718</v>
      </c>
      <c r="N68" s="25">
        <f>N66*N26</f>
        <v>5463.1474450088872</v>
      </c>
      <c r="O68" s="25">
        <f t="shared" ref="O68:Q68" si="87">O66*O26</f>
        <v>5980.4572823299413</v>
      </c>
      <c r="P68" s="25">
        <f t="shared" si="87"/>
        <v>6631.5548276508998</v>
      </c>
      <c r="Q68" s="25">
        <f t="shared" si="87"/>
        <v>7237.9789051177195</v>
      </c>
      <c r="R68" s="25">
        <f t="shared" ref="R68:S68" si="88">R66*R26</f>
        <v>7558.6104095094279</v>
      </c>
      <c r="S68" s="25">
        <f t="shared" si="88"/>
        <v>8041.1506965508561</v>
      </c>
    </row>
    <row r="69" spans="1:19" outlineLevel="1" x14ac:dyDescent="0.15"/>
    <row r="71" spans="1:19" ht="18.5" customHeight="1" x14ac:dyDescent="0.2">
      <c r="A71" s="1" t="s">
        <v>6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outlineLevel="1" x14ac:dyDescent="0.15"/>
    <row r="73" spans="1:19" outlineLevel="1" x14ac:dyDescent="0.15">
      <c r="A73" s="6" t="s">
        <v>25</v>
      </c>
    </row>
    <row r="74" spans="1:19" outlineLevel="1" x14ac:dyDescent="0.15">
      <c r="A74" s="6" t="s">
        <v>26</v>
      </c>
    </row>
    <row r="75" spans="1:19" outlineLevel="1" x14ac:dyDescent="0.15">
      <c r="A75" s="5" t="s">
        <v>27</v>
      </c>
      <c r="E75" s="28">
        <v>1089</v>
      </c>
      <c r="F75" s="28">
        <v>446</v>
      </c>
      <c r="G75" s="28">
        <v>1343</v>
      </c>
      <c r="H75" s="28">
        <v>1530</v>
      </c>
      <c r="I75" s="28">
        <v>673</v>
      </c>
      <c r="J75" s="43">
        <f>J141</f>
        <v>2999.7761589748825</v>
      </c>
      <c r="K75" s="43">
        <f t="shared" ref="K75:N75" si="89">K141</f>
        <v>7898.5373125217338</v>
      </c>
      <c r="L75" s="43">
        <f t="shared" si="89"/>
        <v>13270.946146572005</v>
      </c>
      <c r="M75" s="43">
        <f t="shared" si="89"/>
        <v>20144.844723795806</v>
      </c>
      <c r="N75" s="43">
        <f t="shared" si="89"/>
        <v>27991.85873752059</v>
      </c>
      <c r="O75" s="43">
        <f t="shared" ref="O75:Q75" si="90">O141</f>
        <v>33984.781459501428</v>
      </c>
      <c r="P75" s="43">
        <f t="shared" si="90"/>
        <v>39708.172659126867</v>
      </c>
      <c r="Q75" s="43">
        <f t="shared" si="90"/>
        <v>44088.783909369376</v>
      </c>
      <c r="R75" s="43">
        <f t="shared" ref="R75:S75" si="91">R141</f>
        <v>47761.651335040937</v>
      </c>
      <c r="S75" s="43">
        <f t="shared" si="91"/>
        <v>50341.888722763964</v>
      </c>
    </row>
    <row r="76" spans="1:19" outlineLevel="1" x14ac:dyDescent="0.15">
      <c r="A76" s="5" t="s">
        <v>23</v>
      </c>
      <c r="E76" s="28">
        <v>2522</v>
      </c>
      <c r="F76" s="28">
        <v>2535</v>
      </c>
      <c r="G76" s="28">
        <v>2422</v>
      </c>
      <c r="H76" s="28">
        <v>2162</v>
      </c>
      <c r="I76" s="28">
        <v>3092</v>
      </c>
      <c r="J76" s="43">
        <f>(J28*J52)/J7</f>
        <v>2740.6985120547943</v>
      </c>
      <c r="K76" s="43">
        <f>(K28*K52)/K7</f>
        <v>3108.8728735643826</v>
      </c>
      <c r="L76" s="43">
        <f>(L28*L52)/L7</f>
        <v>3488.7169978742613</v>
      </c>
      <c r="M76" s="43">
        <f>(M28*M52)/M7</f>
        <v>3932.3659928951442</v>
      </c>
      <c r="N76" s="43">
        <f>(N28*N52)/N7</f>
        <v>4352.2006579186764</v>
      </c>
      <c r="O76" s="43">
        <f t="shared" ref="O76:Q76" si="92">(O28*O52)/O7</f>
        <v>4744.4091128027158</v>
      </c>
      <c r="P76" s="43">
        <f t="shared" si="92"/>
        <v>5069.0457475201947</v>
      </c>
      <c r="Q76" s="43">
        <f t="shared" si="92"/>
        <v>5356.6918490138623</v>
      </c>
      <c r="R76" s="43">
        <f t="shared" ref="R76:S76" si="93">(R28*R52)/R7</f>
        <v>5549.4553250794606</v>
      </c>
      <c r="S76" s="43">
        <f t="shared" si="93"/>
        <v>5699.2971250164701</v>
      </c>
    </row>
    <row r="77" spans="1:19" outlineLevel="1" x14ac:dyDescent="0.15">
      <c r="A77" s="5" t="s">
        <v>24</v>
      </c>
      <c r="E77" s="28">
        <v>378</v>
      </c>
      <c r="F77" s="28">
        <v>431</v>
      </c>
      <c r="G77" s="28">
        <v>452</v>
      </c>
      <c r="H77" s="28">
        <v>629</v>
      </c>
      <c r="I77" s="28">
        <v>724</v>
      </c>
      <c r="J77" s="43">
        <f>(J29*J53)/J7</f>
        <v>591.18407985666852</v>
      </c>
      <c r="K77" s="43">
        <f>(K29*K53)/K7</f>
        <v>670.60135985974216</v>
      </c>
      <c r="L77" s="43">
        <f>(L29*L53)/L7</f>
        <v>752.53587331731273</v>
      </c>
      <c r="M77" s="43">
        <f>(M29*M53)/M7</f>
        <v>820.82099257250081</v>
      </c>
      <c r="N77" s="43">
        <f>(N29*N53)/N7</f>
        <v>908.45502945604278</v>
      </c>
      <c r="O77" s="43">
        <f t="shared" ref="O77:Q77" si="94">(O29*O53)/O7</f>
        <v>990.32251936285729</v>
      </c>
      <c r="P77" s="43">
        <f t="shared" si="94"/>
        <v>1026.022234994954</v>
      </c>
      <c r="Q77" s="43">
        <f t="shared" si="94"/>
        <v>1050.3618538532887</v>
      </c>
      <c r="R77" s="43">
        <f t="shared" ref="R77:S77" si="95">(R29*R53)/R7</f>
        <v>1088.1596977058784</v>
      </c>
      <c r="S77" s="43">
        <f t="shared" si="95"/>
        <v>1081.4915664175539</v>
      </c>
    </row>
    <row r="78" spans="1:19" outlineLevel="1" x14ac:dyDescent="0.15">
      <c r="A78" s="7" t="s">
        <v>29</v>
      </c>
      <c r="B78" s="8"/>
      <c r="C78" s="8"/>
      <c r="D78" s="8"/>
      <c r="E78" s="29">
        <v>691</v>
      </c>
      <c r="F78" s="29">
        <v>1723</v>
      </c>
      <c r="G78" s="29">
        <v>3434</v>
      </c>
      <c r="H78" s="29">
        <v>880</v>
      </c>
      <c r="I78" s="29">
        <v>2934</v>
      </c>
      <c r="J78" s="44">
        <f>J30*J52</f>
        <v>2195.5179166403886</v>
      </c>
      <c r="K78" s="44">
        <f>K30*K52</f>
        <v>2490.4549203226738</v>
      </c>
      <c r="L78" s="44">
        <f>L30*L52</f>
        <v>2802.3971568136653</v>
      </c>
      <c r="M78" s="44">
        <f>M30*M52</f>
        <v>3150.1385337403549</v>
      </c>
      <c r="N78" s="44">
        <f>N30*N52</f>
        <v>3486.4595573887423</v>
      </c>
      <c r="O78" s="44">
        <f t="shared" ref="O78:Q78" si="96">O30*O52</f>
        <v>3800.6497851603312</v>
      </c>
      <c r="P78" s="44">
        <f t="shared" si="96"/>
        <v>4071.8348319065867</v>
      </c>
      <c r="Q78" s="44">
        <f t="shared" si="96"/>
        <v>4291.1370501726815</v>
      </c>
      <c r="R78" s="44">
        <f t="shared" ref="R78:S78" si="97">R30*R52</f>
        <v>4445.5559559787798</v>
      </c>
      <c r="S78" s="44">
        <f t="shared" si="97"/>
        <v>4565.5911787427385</v>
      </c>
    </row>
    <row r="79" spans="1:19" outlineLevel="1" x14ac:dyDescent="0.15">
      <c r="A79" s="6" t="s">
        <v>28</v>
      </c>
      <c r="E79" s="58">
        <f>SUM(E75:E78)</f>
        <v>4680</v>
      </c>
      <c r="F79" s="58">
        <f t="shared" ref="F79:I79" si="98">SUM(F75:F78)</f>
        <v>5135</v>
      </c>
      <c r="G79" s="58">
        <f t="shared" si="98"/>
        <v>7651</v>
      </c>
      <c r="H79" s="58">
        <f t="shared" si="98"/>
        <v>5201</v>
      </c>
      <c r="I79" s="58">
        <f t="shared" si="98"/>
        <v>7423</v>
      </c>
      <c r="J79" s="58">
        <f>SUM(J75:J78)</f>
        <v>8527.1766675267336</v>
      </c>
      <c r="K79" s="58">
        <f t="shared" ref="K79" si="99">SUM(K75:K78)</f>
        <v>14168.466466268532</v>
      </c>
      <c r="L79" s="58">
        <f t="shared" ref="L79" si="100">SUM(L75:L78)</f>
        <v>20314.596174577244</v>
      </c>
      <c r="M79" s="58">
        <f t="shared" ref="M79" si="101">SUM(M75:M78)</f>
        <v>28048.170243003809</v>
      </c>
      <c r="N79" s="58">
        <f>SUM(N75:N78)</f>
        <v>36738.973982284049</v>
      </c>
      <c r="O79" s="58">
        <f t="shared" ref="O79:Q79" si="102">SUM(O75:O78)</f>
        <v>43520.162876827337</v>
      </c>
      <c r="P79" s="58">
        <f t="shared" si="102"/>
        <v>49875.075473548604</v>
      </c>
      <c r="Q79" s="58">
        <f t="shared" si="102"/>
        <v>54786.974662409208</v>
      </c>
      <c r="R79" s="58">
        <f t="shared" ref="R79" si="103">SUM(R75:R78)</f>
        <v>58844.82231380506</v>
      </c>
      <c r="S79" s="58">
        <f t="shared" ref="S79" si="104">SUM(S75:S78)</f>
        <v>61688.268592940731</v>
      </c>
    </row>
    <row r="80" spans="1:19" outlineLevel="1" x14ac:dyDescent="0.15">
      <c r="J80" s="60"/>
    </row>
    <row r="81" spans="1:19" outlineLevel="1" x14ac:dyDescent="0.15">
      <c r="A81" s="6" t="s">
        <v>30</v>
      </c>
    </row>
    <row r="82" spans="1:19" outlineLevel="1" x14ac:dyDescent="0.15">
      <c r="A82" s="5" t="s">
        <v>142</v>
      </c>
      <c r="E82" s="28">
        <v>57277</v>
      </c>
      <c r="F82" s="28">
        <v>66503</v>
      </c>
      <c r="G82" s="28">
        <v>65489</v>
      </c>
      <c r="H82" s="28">
        <v>69775</v>
      </c>
      <c r="I82" s="28">
        <v>70182</v>
      </c>
      <c r="J82" s="43">
        <f>I82-J125-J120</f>
        <v>74285.63912373349</v>
      </c>
      <c r="K82" s="43">
        <f t="shared" ref="K82:N82" si="105">J82-K125-K120</f>
        <v>78424.049959391778</v>
      </c>
      <c r="L82" s="43">
        <f t="shared" si="105"/>
        <v>82693.359168272698</v>
      </c>
      <c r="M82" s="43">
        <f t="shared" si="105"/>
        <v>86403.591072857234</v>
      </c>
      <c r="N82" s="43">
        <f t="shared" si="105"/>
        <v>89304.849011903309</v>
      </c>
      <c r="O82" s="43">
        <f t="shared" ref="O82" si="106">N82-O125-O120</f>
        <v>91153.868001306444</v>
      </c>
      <c r="P82" s="43">
        <f t="shared" ref="P82" si="107">O82-P125-P120</f>
        <v>91727.391362445851</v>
      </c>
      <c r="Q82" s="43">
        <f t="shared" ref="Q82" si="108">P82-Q125-Q120</f>
        <v>92331.80373321299</v>
      </c>
      <c r="R82" s="43">
        <f t="shared" ref="R82" si="109">Q82-R125-R120</f>
        <v>92343.324673030962</v>
      </c>
      <c r="S82" s="43">
        <f t="shared" ref="S82" si="110">R82-S125-S120</f>
        <v>92355.156691731114</v>
      </c>
    </row>
    <row r="83" spans="1:19" outlineLevel="1" x14ac:dyDescent="0.15">
      <c r="A83" s="5" t="s">
        <v>31</v>
      </c>
      <c r="E83" s="28">
        <v>13084</v>
      </c>
      <c r="F83" s="28">
        <v>14178</v>
      </c>
      <c r="G83" s="28">
        <v>12887</v>
      </c>
      <c r="H83" s="28">
        <v>12679</v>
      </c>
      <c r="I83" s="28">
        <v>12582</v>
      </c>
      <c r="J83" s="43">
        <f>I83</f>
        <v>12582</v>
      </c>
      <c r="K83" s="43">
        <f t="shared" ref="K83:N83" si="111">J83</f>
        <v>12582</v>
      </c>
      <c r="L83" s="43">
        <f t="shared" si="111"/>
        <v>12582</v>
      </c>
      <c r="M83" s="43">
        <f t="shared" si="111"/>
        <v>12582</v>
      </c>
      <c r="N83" s="43">
        <f t="shared" si="111"/>
        <v>12582</v>
      </c>
      <c r="O83" s="43">
        <f t="shared" ref="O83" si="112">N83</f>
        <v>12582</v>
      </c>
      <c r="P83" s="43">
        <f t="shared" ref="P83" si="113">O83</f>
        <v>12582</v>
      </c>
      <c r="Q83" s="43">
        <f t="shared" ref="Q83" si="114">P83</f>
        <v>12582</v>
      </c>
      <c r="R83" s="43">
        <f t="shared" ref="R83" si="115">Q83</f>
        <v>12582</v>
      </c>
      <c r="S83" s="43">
        <f t="shared" ref="S83" si="116">R83</f>
        <v>12582</v>
      </c>
    </row>
    <row r="84" spans="1:19" outlineLevel="1" x14ac:dyDescent="0.15">
      <c r="A84" s="5" t="s">
        <v>32</v>
      </c>
      <c r="E84" s="28">
        <v>0</v>
      </c>
      <c r="F84" s="28">
        <v>1921</v>
      </c>
      <c r="G84" s="28">
        <v>2168</v>
      </c>
      <c r="H84" s="28">
        <v>979</v>
      </c>
      <c r="I84" s="28">
        <v>1403</v>
      </c>
      <c r="J84" s="43">
        <f>J52*J32</f>
        <v>1836.4883899999998</v>
      </c>
      <c r="K84" s="43">
        <f t="shared" ref="K84:N84" si="117">K52*K32</f>
        <v>2083.1948180999998</v>
      </c>
      <c r="L84" s="43">
        <f t="shared" si="117"/>
        <v>2344.1256405379995</v>
      </c>
      <c r="M84" s="43">
        <f t="shared" si="117"/>
        <v>2635.0014273435604</v>
      </c>
      <c r="N84" s="43">
        <f t="shared" si="117"/>
        <v>2916.3244129415621</v>
      </c>
      <c r="O84" s="43">
        <f t="shared" ref="O84:Q84" si="118">O52*O32</f>
        <v>3179.1356162483985</v>
      </c>
      <c r="P84" s="43">
        <f t="shared" si="118"/>
        <v>3405.9742068681435</v>
      </c>
      <c r="Q84" s="43">
        <f t="shared" si="118"/>
        <v>3589.4142848080301</v>
      </c>
      <c r="R84" s="43">
        <f t="shared" ref="R84:S84" si="119">R52*R32</f>
        <v>3718.581314400461</v>
      </c>
      <c r="S84" s="43">
        <f t="shared" si="119"/>
        <v>3818.9873695395599</v>
      </c>
    </row>
    <row r="85" spans="1:19" outlineLevel="1" x14ac:dyDescent="0.15">
      <c r="A85" s="5" t="s">
        <v>144</v>
      </c>
      <c r="E85" s="28">
        <v>6366</v>
      </c>
      <c r="F85" s="28">
        <v>7113</v>
      </c>
      <c r="G85" s="28">
        <v>6506</v>
      </c>
      <c r="H85" s="28">
        <v>6677</v>
      </c>
      <c r="I85" s="28">
        <v>8441</v>
      </c>
      <c r="J85" s="43">
        <f>J52*J33</f>
        <v>7978.444796991881</v>
      </c>
      <c r="K85" s="43">
        <f t="shared" ref="K85:N85" si="120">K52*K33</f>
        <v>9050.2368259406157</v>
      </c>
      <c r="L85" s="43">
        <f t="shared" si="120"/>
        <v>10183.825349555118</v>
      </c>
      <c r="M85" s="43">
        <f t="shared" si="120"/>
        <v>11447.506851952061</v>
      </c>
      <c r="N85" s="43">
        <f t="shared" si="120"/>
        <v>12669.687140670685</v>
      </c>
      <c r="O85" s="43">
        <f t="shared" ref="O85:Q85" si="121">O52*O33</f>
        <v>13811.444795678024</v>
      </c>
      <c r="P85" s="43">
        <f t="shared" si="121"/>
        <v>14796.922941329181</v>
      </c>
      <c r="Q85" s="43">
        <f t="shared" si="121"/>
        <v>15593.860478951878</v>
      </c>
      <c r="R85" s="43">
        <f t="shared" ref="R85:S85" si="122">R52*R33</f>
        <v>16155.014048343421</v>
      </c>
      <c r="S85" s="43">
        <f t="shared" si="122"/>
        <v>16591.218367724403</v>
      </c>
    </row>
    <row r="86" spans="1:19" outlineLevel="1" x14ac:dyDescent="0.15">
      <c r="A86" s="7" t="s">
        <v>143</v>
      </c>
      <c r="B86" s="8"/>
      <c r="C86" s="8"/>
      <c r="D86" s="8"/>
      <c r="E86" s="29">
        <v>4694</v>
      </c>
      <c r="F86" s="29">
        <v>4070</v>
      </c>
      <c r="G86" s="29">
        <v>4578</v>
      </c>
      <c r="H86" s="29">
        <v>4989</v>
      </c>
      <c r="I86" s="29">
        <v>4187</v>
      </c>
      <c r="J86" s="44">
        <f>J34*J52</f>
        <v>5125.4799567612108</v>
      </c>
      <c r="K86" s="44">
        <f t="shared" ref="K86:N86" si="123">K34*K52</f>
        <v>5814.0162194003124</v>
      </c>
      <c r="L86" s="44">
        <f t="shared" si="123"/>
        <v>6542.2515340309628</v>
      </c>
      <c r="M86" s="44">
        <f t="shared" si="123"/>
        <v>7354.0606493497089</v>
      </c>
      <c r="N86" s="44">
        <f t="shared" si="123"/>
        <v>8139.208724290047</v>
      </c>
      <c r="O86" s="44">
        <f t="shared" ref="O86:Q86" si="124">O34*O52</f>
        <v>8872.6920189824177</v>
      </c>
      <c r="P86" s="44">
        <f t="shared" si="124"/>
        <v>9505.7788688488981</v>
      </c>
      <c r="Q86" s="44">
        <f t="shared" si="124"/>
        <v>10017.744230496299</v>
      </c>
      <c r="R86" s="44">
        <f t="shared" ref="R86:S86" si="125">R34*R52</f>
        <v>10378.238217202301</v>
      </c>
      <c r="S86" s="44">
        <f t="shared" si="125"/>
        <v>10658.462816472929</v>
      </c>
    </row>
    <row r="87" spans="1:19" outlineLevel="1" x14ac:dyDescent="0.15">
      <c r="A87" s="6" t="s">
        <v>33</v>
      </c>
      <c r="E87" s="58">
        <f>SUM(E82:E86)</f>
        <v>81421</v>
      </c>
      <c r="F87" s="58">
        <f t="shared" ref="F87:I87" si="126">SUM(F82:F86)</f>
        <v>93785</v>
      </c>
      <c r="G87" s="58">
        <f t="shared" si="126"/>
        <v>91628</v>
      </c>
      <c r="H87" s="58">
        <f t="shared" si="126"/>
        <v>95099</v>
      </c>
      <c r="I87" s="58">
        <f t="shared" si="126"/>
        <v>96795</v>
      </c>
      <c r="J87" s="58">
        <f>SUM(J82:J86)</f>
        <v>101808.05226748658</v>
      </c>
      <c r="K87" s="58">
        <f>SUM(K82:K86)</f>
        <v>107953.49782283271</v>
      </c>
      <c r="L87" s="58">
        <f t="shared" ref="L87" si="127">SUM(L82:L86)</f>
        <v>114345.56169239678</v>
      </c>
      <c r="M87" s="58">
        <f t="shared" ref="M87" si="128">SUM(M82:M86)</f>
        <v>120422.16000150256</v>
      </c>
      <c r="N87" s="58">
        <f t="shared" ref="N87:Q87" si="129">SUM(N82:N86)</f>
        <v>125612.0692898056</v>
      </c>
      <c r="O87" s="58">
        <f t="shared" si="129"/>
        <v>129599.14043221528</v>
      </c>
      <c r="P87" s="58">
        <f t="shared" si="129"/>
        <v>132018.06737949207</v>
      </c>
      <c r="Q87" s="58">
        <f t="shared" si="129"/>
        <v>134114.8227274692</v>
      </c>
      <c r="R87" s="58">
        <f t="shared" ref="R87:S87" si="130">SUM(R82:R86)</f>
        <v>135177.15825297715</v>
      </c>
      <c r="S87" s="58">
        <f t="shared" si="130"/>
        <v>136005.825245468</v>
      </c>
    </row>
    <row r="88" spans="1:19" outlineLevel="1" x14ac:dyDescent="0.15">
      <c r="J88" s="60"/>
    </row>
    <row r="89" spans="1:19" outlineLevel="1" x14ac:dyDescent="0.15">
      <c r="A89" s="6" t="s">
        <v>34</v>
      </c>
      <c r="E89" s="58">
        <f>SUM(E87,E79)</f>
        <v>86101</v>
      </c>
      <c r="F89" s="58">
        <f t="shared" ref="F89:N89" si="131">SUM(F87,F79)</f>
        <v>98920</v>
      </c>
      <c r="G89" s="58">
        <f t="shared" si="131"/>
        <v>99279</v>
      </c>
      <c r="H89" s="58">
        <f t="shared" si="131"/>
        <v>100300</v>
      </c>
      <c r="I89" s="58">
        <f t="shared" si="131"/>
        <v>104218</v>
      </c>
      <c r="J89" s="58">
        <f>SUM(J87,J79)</f>
        <v>110335.22893501331</v>
      </c>
      <c r="K89" s="58">
        <f t="shared" si="131"/>
        <v>122121.96428910125</v>
      </c>
      <c r="L89" s="58">
        <f t="shared" si="131"/>
        <v>134660.15786697401</v>
      </c>
      <c r="M89" s="58">
        <f t="shared" si="131"/>
        <v>148470.33024450636</v>
      </c>
      <c r="N89" s="58">
        <f t="shared" si="131"/>
        <v>162351.04327208965</v>
      </c>
      <c r="O89" s="58">
        <f t="shared" ref="O89:Q89" si="132">SUM(O87,O79)</f>
        <v>173119.30330904262</v>
      </c>
      <c r="P89" s="58">
        <f t="shared" si="132"/>
        <v>181893.14285304068</v>
      </c>
      <c r="Q89" s="58">
        <f t="shared" si="132"/>
        <v>188901.79738987843</v>
      </c>
      <c r="R89" s="58">
        <f t="shared" ref="R89:S89" si="133">SUM(R87,R79)</f>
        <v>194021.98056678221</v>
      </c>
      <c r="S89" s="58">
        <f t="shared" si="133"/>
        <v>197694.09383840873</v>
      </c>
    </row>
    <row r="90" spans="1:19" outlineLevel="1" x14ac:dyDescent="0.15">
      <c r="A90" s="6"/>
    </row>
    <row r="91" spans="1:19" outlineLevel="1" x14ac:dyDescent="0.15">
      <c r="A91" s="6" t="s">
        <v>158</v>
      </c>
    </row>
    <row r="92" spans="1:19" outlineLevel="1" x14ac:dyDescent="0.15">
      <c r="A92" s="6" t="s">
        <v>35</v>
      </c>
    </row>
    <row r="93" spans="1:19" outlineLevel="1" x14ac:dyDescent="0.15">
      <c r="A93" s="5" t="s">
        <v>36</v>
      </c>
      <c r="E93" s="28">
        <v>4861</v>
      </c>
      <c r="F93" s="28">
        <v>5800</v>
      </c>
      <c r="G93" s="28">
        <v>5723</v>
      </c>
      <c r="H93" s="28">
        <v>5091</v>
      </c>
      <c r="I93" s="28">
        <v>6285</v>
      </c>
      <c r="J93" s="43">
        <f>(J53*J35)/J7</f>
        <v>6327.3287702577472</v>
      </c>
      <c r="K93" s="43">
        <f>(K53*K35)/K7</f>
        <v>7177.3165452006933</v>
      </c>
      <c r="L93" s="43">
        <f>(L53*L35)/L7</f>
        <v>8054.2457825422152</v>
      </c>
      <c r="M93" s="43">
        <f>(M53*M35)/M7</f>
        <v>8785.0881958707087</v>
      </c>
      <c r="N93" s="43">
        <f>(N53*N35)/N7</f>
        <v>9723.0183291745325</v>
      </c>
      <c r="O93" s="43">
        <f t="shared" ref="O93:Q93" si="134">(O53*O35)/O7</f>
        <v>10599.230226426167</v>
      </c>
      <c r="P93" s="43">
        <f t="shared" si="134"/>
        <v>10981.317372385429</v>
      </c>
      <c r="Q93" s="43">
        <f t="shared" si="134"/>
        <v>11241.81960156722</v>
      </c>
      <c r="R93" s="43">
        <f t="shared" ref="R93:S93" si="135">(R53*R35)/R7</f>
        <v>11646.362607732379</v>
      </c>
      <c r="S93" s="43">
        <f t="shared" si="135"/>
        <v>11574.994889314286</v>
      </c>
    </row>
    <row r="94" spans="1:19" outlineLevel="1" x14ac:dyDescent="0.15">
      <c r="A94" s="5" t="s">
        <v>37</v>
      </c>
      <c r="E94" s="28">
        <v>4629</v>
      </c>
      <c r="F94" s="28">
        <v>6224</v>
      </c>
      <c r="G94" s="28">
        <v>7061</v>
      </c>
      <c r="H94" s="28">
        <v>6204</v>
      </c>
      <c r="I94" s="28">
        <v>6535</v>
      </c>
      <c r="J94" s="43">
        <f>J36*J52</f>
        <v>6973.5727767463759</v>
      </c>
      <c r="K94" s="43">
        <f t="shared" ref="K94:N94" si="136">K36*K52</f>
        <v>7910.3743597100984</v>
      </c>
      <c r="L94" s="43">
        <f t="shared" si="136"/>
        <v>8901.1892703165722</v>
      </c>
      <c r="M94" s="43">
        <f t="shared" si="136"/>
        <v>10005.712162662187</v>
      </c>
      <c r="N94" s="43">
        <f t="shared" si="136"/>
        <v>11073.960851040358</v>
      </c>
      <c r="O94" s="43">
        <f t="shared" ref="O94:Q94" si="137">O36*O52</f>
        <v>12071.916004355819</v>
      </c>
      <c r="P94" s="43">
        <f t="shared" si="137"/>
        <v>12933.274795881514</v>
      </c>
      <c r="Q94" s="43">
        <f t="shared" si="137"/>
        <v>13629.839359344844</v>
      </c>
      <c r="R94" s="43">
        <f t="shared" ref="R94:S94" si="138">R36*R52</f>
        <v>14120.316558179176</v>
      </c>
      <c r="S94" s="43">
        <f t="shared" si="138"/>
        <v>14501.58165985429</v>
      </c>
    </row>
    <row r="95" spans="1:19" outlineLevel="1" x14ac:dyDescent="0.15">
      <c r="A95" s="7" t="s">
        <v>38</v>
      </c>
      <c r="B95" s="8"/>
      <c r="C95" s="8"/>
      <c r="D95" s="8"/>
      <c r="E95" s="29">
        <v>387</v>
      </c>
      <c r="F95" s="29">
        <v>922</v>
      </c>
      <c r="G95" s="29">
        <v>115</v>
      </c>
      <c r="H95" s="29">
        <v>692</v>
      </c>
      <c r="I95" s="29">
        <v>221</v>
      </c>
      <c r="J95" s="44">
        <f>J37*J52</f>
        <v>531.21564999999998</v>
      </c>
      <c r="K95" s="44">
        <f t="shared" ref="K95:N95" si="139">K37*K52</f>
        <v>602.57701350000002</v>
      </c>
      <c r="L95" s="44">
        <f t="shared" si="139"/>
        <v>678.05287122999994</v>
      </c>
      <c r="M95" s="44">
        <f t="shared" si="139"/>
        <v>762.19049551260014</v>
      </c>
      <c r="N95" s="44">
        <f t="shared" si="139"/>
        <v>843.56491283433627</v>
      </c>
      <c r="O95" s="44">
        <f t="shared" ref="O95:Q95" si="140">O37*O52</f>
        <v>919.58468238590046</v>
      </c>
      <c r="P95" s="44">
        <f t="shared" si="140"/>
        <v>985.19915074698383</v>
      </c>
      <c r="Q95" s="44">
        <f t="shared" si="140"/>
        <v>1038.2603303163723</v>
      </c>
      <c r="R95" s="44">
        <f t="shared" ref="R95:S95" si="141">R37*R52</f>
        <v>1075.6226942480673</v>
      </c>
      <c r="S95" s="44">
        <f t="shared" si="141"/>
        <v>1104.6657680486333</v>
      </c>
    </row>
    <row r="96" spans="1:19" outlineLevel="1" x14ac:dyDescent="0.15">
      <c r="A96" s="6" t="s">
        <v>39</v>
      </c>
      <c r="E96" s="58">
        <f>SUM(E93:E95)</f>
        <v>9877</v>
      </c>
      <c r="F96" s="58">
        <f t="shared" ref="F96:I96" si="142">SUM(F93:F95)</f>
        <v>12946</v>
      </c>
      <c r="G96" s="58">
        <f t="shared" si="142"/>
        <v>12899</v>
      </c>
      <c r="H96" s="58">
        <f t="shared" si="142"/>
        <v>11987</v>
      </c>
      <c r="I96" s="58">
        <f t="shared" si="142"/>
        <v>13041</v>
      </c>
      <c r="J96" s="58">
        <f t="shared" ref="J96" si="143">SUM(J93:J95)</f>
        <v>13832.117197004123</v>
      </c>
      <c r="K96" s="58">
        <f t="shared" ref="K96" si="144">SUM(K93:K95)</f>
        <v>15690.267918410793</v>
      </c>
      <c r="L96" s="58">
        <f t="shared" ref="L96" si="145">SUM(L93:L95)</f>
        <v>17633.487924088789</v>
      </c>
      <c r="M96" s="58">
        <f t="shared" ref="M96" si="146">SUM(M93:M95)</f>
        <v>19552.990854045496</v>
      </c>
      <c r="N96" s="58">
        <f t="shared" ref="N96:Q96" si="147">SUM(N93:N95)</f>
        <v>21640.544093049226</v>
      </c>
      <c r="O96" s="58">
        <f t="shared" si="147"/>
        <v>23590.730913167885</v>
      </c>
      <c r="P96" s="58">
        <f t="shared" si="147"/>
        <v>24899.791319013926</v>
      </c>
      <c r="Q96" s="58">
        <f t="shared" si="147"/>
        <v>25909.919291228434</v>
      </c>
      <c r="R96" s="58">
        <f t="shared" ref="R96:S96" si="148">SUM(R93:R95)</f>
        <v>26842.301860159623</v>
      </c>
      <c r="S96" s="58">
        <f t="shared" si="148"/>
        <v>27181.242317217206</v>
      </c>
    </row>
    <row r="97" spans="1:19" outlineLevel="1" x14ac:dyDescent="0.15">
      <c r="A97" s="6"/>
      <c r="J97" s="60"/>
    </row>
    <row r="98" spans="1:19" outlineLevel="1" x14ac:dyDescent="0.15">
      <c r="A98" s="6" t="s">
        <v>40</v>
      </c>
    </row>
    <row r="99" spans="1:19" outlineLevel="1" x14ac:dyDescent="0.15">
      <c r="A99" s="5" t="s">
        <v>41</v>
      </c>
      <c r="E99" s="28">
        <v>38882</v>
      </c>
      <c r="F99" s="28">
        <v>44017</v>
      </c>
      <c r="G99" s="28">
        <v>43370</v>
      </c>
      <c r="H99" s="28">
        <v>43838</v>
      </c>
      <c r="I99" s="28">
        <v>46660</v>
      </c>
      <c r="J99" s="43">
        <f>J38*J52</f>
        <v>49296.812319999997</v>
      </c>
      <c r="K99" s="43">
        <f t="shared" ref="K99:N99" si="149">K38*K52</f>
        <v>55919.146852799997</v>
      </c>
      <c r="L99" s="43">
        <f t="shared" si="149"/>
        <v>62923.306450143995</v>
      </c>
      <c r="M99" s="43">
        <f t="shared" si="149"/>
        <v>70731.277983569293</v>
      </c>
      <c r="N99" s="43">
        <f t="shared" si="149"/>
        <v>78282.823911026397</v>
      </c>
      <c r="O99" s="43">
        <f t="shared" ref="O99:Q99" si="150">O38*O52</f>
        <v>82762.621414731038</v>
      </c>
      <c r="P99" s="43">
        <f t="shared" si="150"/>
        <v>85853.068850808573</v>
      </c>
      <c r="Q99" s="43">
        <f t="shared" si="150"/>
        <v>87510.513555237107</v>
      </c>
      <c r="R99" s="43">
        <f t="shared" ref="R99:S99" si="151">R38*R52</f>
        <v>87586.419388771203</v>
      </c>
      <c r="S99" s="43">
        <f t="shared" si="151"/>
        <v>86795.167489535466</v>
      </c>
    </row>
    <row r="100" spans="1:19" outlineLevel="1" x14ac:dyDescent="0.15">
      <c r="A100" s="7" t="s">
        <v>42</v>
      </c>
      <c r="B100" s="8"/>
      <c r="C100" s="8"/>
      <c r="D100" s="8"/>
      <c r="E100" s="29">
        <v>10451</v>
      </c>
      <c r="F100" s="29">
        <v>10964</v>
      </c>
      <c r="G100" s="29">
        <v>10613</v>
      </c>
      <c r="H100" s="29">
        <v>11395</v>
      </c>
      <c r="I100" s="29">
        <v>11121</v>
      </c>
      <c r="J100" s="44">
        <f>J39*J52</f>
        <v>12405.010285304299</v>
      </c>
      <c r="K100" s="44">
        <f t="shared" ref="K100:N100" si="152">K39*K52</f>
        <v>14071.44923188059</v>
      </c>
      <c r="L100" s="44">
        <f t="shared" si="152"/>
        <v>15833.970331236027</v>
      </c>
      <c r="M100" s="44">
        <f t="shared" si="152"/>
        <v>17798.76202102665</v>
      </c>
      <c r="N100" s="44">
        <f t="shared" si="152"/>
        <v>19699.026977145284</v>
      </c>
      <c r="O100" s="44">
        <f t="shared" ref="O100:Q100" si="153">O39*O52</f>
        <v>21474.249569276402</v>
      </c>
      <c r="P100" s="44">
        <f t="shared" si="153"/>
        <v>23006.486345214784</v>
      </c>
      <c r="Q100" s="44">
        <f t="shared" si="153"/>
        <v>24245.577246073302</v>
      </c>
      <c r="R100" s="44">
        <f t="shared" ref="R100:S100" si="154">R39*R52</f>
        <v>25118.067559293479</v>
      </c>
      <c r="S100" s="44">
        <f t="shared" si="154"/>
        <v>25796.284831719226</v>
      </c>
    </row>
    <row r="101" spans="1:19" outlineLevel="1" x14ac:dyDescent="0.15">
      <c r="A101" s="6" t="s">
        <v>43</v>
      </c>
      <c r="E101" s="58">
        <f>SUM(E99:E100)</f>
        <v>49333</v>
      </c>
      <c r="F101" s="58">
        <f t="shared" ref="F101:I101" si="155">SUM(F99:F100)</f>
        <v>54981</v>
      </c>
      <c r="G101" s="58">
        <f t="shared" si="155"/>
        <v>53983</v>
      </c>
      <c r="H101" s="58">
        <f t="shared" si="155"/>
        <v>55233</v>
      </c>
      <c r="I101" s="58">
        <f t="shared" si="155"/>
        <v>57781</v>
      </c>
      <c r="J101" s="58">
        <f>SUM(J99:J100)</f>
        <v>61701.822605304296</v>
      </c>
      <c r="K101" s="58">
        <f t="shared" ref="K101" si="156">SUM(K99:K100)</f>
        <v>69990.596084680583</v>
      </c>
      <c r="L101" s="58">
        <f t="shared" ref="L101" si="157">SUM(L99:L100)</f>
        <v>78757.276781380016</v>
      </c>
      <c r="M101" s="58">
        <f t="shared" ref="M101" si="158">SUM(M99:M100)</f>
        <v>88530.04000459594</v>
      </c>
      <c r="N101" s="58">
        <f t="shared" ref="N101:Q101" si="159">SUM(N99:N100)</f>
        <v>97981.850888171684</v>
      </c>
      <c r="O101" s="58">
        <f t="shared" si="159"/>
        <v>104236.87098400744</v>
      </c>
      <c r="P101" s="58">
        <f t="shared" si="159"/>
        <v>108859.55519602336</v>
      </c>
      <c r="Q101" s="58">
        <f t="shared" si="159"/>
        <v>111756.09080131041</v>
      </c>
      <c r="R101" s="58">
        <f t="shared" ref="R101:S101" si="160">SUM(R99:R100)</f>
        <v>112704.48694806467</v>
      </c>
      <c r="S101" s="58">
        <f t="shared" si="160"/>
        <v>112591.45232125469</v>
      </c>
    </row>
    <row r="102" spans="1:19" outlineLevel="1" x14ac:dyDescent="0.15">
      <c r="A102" s="6"/>
      <c r="J102" s="60"/>
    </row>
    <row r="103" spans="1:19" outlineLevel="1" x14ac:dyDescent="0.15">
      <c r="A103" s="6" t="s">
        <v>44</v>
      </c>
      <c r="E103" s="58">
        <f>SUM(E101,E96)</f>
        <v>59210</v>
      </c>
      <c r="F103" s="58">
        <f t="shared" ref="F103:N103" si="161">SUM(F101,F96)</f>
        <v>67927</v>
      </c>
      <c r="G103" s="58">
        <f t="shared" si="161"/>
        <v>66882</v>
      </c>
      <c r="H103" s="58">
        <f t="shared" si="161"/>
        <v>67220</v>
      </c>
      <c r="I103" s="58">
        <f t="shared" si="161"/>
        <v>70822</v>
      </c>
      <c r="J103" s="58">
        <f>SUM(J101,J96)</f>
        <v>75533.939802308421</v>
      </c>
      <c r="K103" s="58">
        <f t="shared" si="161"/>
        <v>85680.864003091381</v>
      </c>
      <c r="L103" s="58">
        <f t="shared" si="161"/>
        <v>96390.764705468813</v>
      </c>
      <c r="M103" s="58">
        <f t="shared" si="161"/>
        <v>108083.03085864143</v>
      </c>
      <c r="N103" s="58">
        <f t="shared" si="161"/>
        <v>119622.39498122092</v>
      </c>
      <c r="O103" s="58">
        <f t="shared" ref="O103:Q103" si="162">SUM(O101,O96)</f>
        <v>127827.60189717534</v>
      </c>
      <c r="P103" s="58">
        <f t="shared" si="162"/>
        <v>133759.34651503729</v>
      </c>
      <c r="Q103" s="58">
        <f t="shared" si="162"/>
        <v>137666.01009253884</v>
      </c>
      <c r="R103" s="58">
        <f t="shared" ref="R103:S103" si="163">SUM(R101,R96)</f>
        <v>139546.78880822429</v>
      </c>
      <c r="S103" s="58">
        <f t="shared" si="163"/>
        <v>139772.6946384719</v>
      </c>
    </row>
    <row r="104" spans="1:19" outlineLevel="1" x14ac:dyDescent="0.15">
      <c r="A104" s="6"/>
    </row>
    <row r="105" spans="1:19" outlineLevel="1" x14ac:dyDescent="0.15">
      <c r="A105" s="6" t="s">
        <v>45</v>
      </c>
    </row>
    <row r="106" spans="1:19" outlineLevel="1" x14ac:dyDescent="0.15">
      <c r="A106" s="5" t="s">
        <v>46</v>
      </c>
      <c r="E106" s="28">
        <v>25268</v>
      </c>
      <c r="F106" s="28">
        <v>28220</v>
      </c>
      <c r="G106" s="28">
        <v>28442</v>
      </c>
      <c r="H106" s="28">
        <v>27713</v>
      </c>
      <c r="I106" s="28">
        <v>29623</v>
      </c>
      <c r="J106" s="43">
        <f>I106</f>
        <v>29623</v>
      </c>
      <c r="K106" s="43">
        <f t="shared" ref="K106:N106" si="164">J106</f>
        <v>29623</v>
      </c>
      <c r="L106" s="43">
        <f t="shared" si="164"/>
        <v>29623</v>
      </c>
      <c r="M106" s="43">
        <f t="shared" si="164"/>
        <v>29623</v>
      </c>
      <c r="N106" s="43">
        <f t="shared" si="164"/>
        <v>29623</v>
      </c>
      <c r="O106" s="43">
        <f t="shared" ref="O106" si="165">N106</f>
        <v>29623</v>
      </c>
      <c r="P106" s="43">
        <f t="shared" ref="P106" si="166">O106</f>
        <v>29623</v>
      </c>
      <c r="Q106" s="43">
        <f t="shared" ref="Q106" si="167">P106</f>
        <v>29623</v>
      </c>
      <c r="R106" s="43">
        <f t="shared" ref="R106" si="168">Q106</f>
        <v>29623</v>
      </c>
      <c r="S106" s="43">
        <f t="shared" ref="S106" si="169">R106</f>
        <v>29623</v>
      </c>
    </row>
    <row r="107" spans="1:19" outlineLevel="1" x14ac:dyDescent="0.15">
      <c r="A107" s="7" t="s">
        <v>47</v>
      </c>
      <c r="B107" s="8"/>
      <c r="C107" s="8"/>
      <c r="D107" s="8"/>
      <c r="E107" s="29">
        <v>1623</v>
      </c>
      <c r="F107" s="29">
        <v>2773</v>
      </c>
      <c r="G107" s="29">
        <v>3955</v>
      </c>
      <c r="H107" s="29">
        <v>5367</v>
      </c>
      <c r="I107" s="29">
        <v>3773</v>
      </c>
      <c r="J107" s="44">
        <f>I107+J66-J68</f>
        <v>5178.2891327048928</v>
      </c>
      <c r="K107" s="44">
        <f t="shared" ref="K107:N107" si="170">J107+K66-K68</f>
        <v>6818.1002860098542</v>
      </c>
      <c r="L107" s="44">
        <f t="shared" si="170"/>
        <v>8646.3931615052152</v>
      </c>
      <c r="M107" s="44">
        <f t="shared" si="170"/>
        <v>10764.299385864932</v>
      </c>
      <c r="N107" s="44">
        <f t="shared" si="170"/>
        <v>13105.648290868743</v>
      </c>
      <c r="O107" s="44">
        <f t="shared" ref="O107" si="171">N107+O66-O68</f>
        <v>15668.701411867289</v>
      </c>
      <c r="P107" s="44">
        <f t="shared" ref="P107" si="172">O107+P66-P68</f>
        <v>18510.796338003391</v>
      </c>
      <c r="Q107" s="44">
        <f t="shared" ref="Q107" si="173">P107+Q66-Q68</f>
        <v>21612.787297339557</v>
      </c>
      <c r="R107" s="44">
        <f t="shared" ref="R107" si="174">Q107+R66-R68</f>
        <v>24852.191758557885</v>
      </c>
      <c r="S107" s="44">
        <f t="shared" ref="S107" si="175">R107+S66-S68</f>
        <v>28298.399199936826</v>
      </c>
    </row>
    <row r="108" spans="1:19" outlineLevel="1" x14ac:dyDescent="0.15">
      <c r="A108" s="6" t="s">
        <v>48</v>
      </c>
      <c r="E108" s="58">
        <f>SUM(E106:E107)</f>
        <v>26891</v>
      </c>
      <c r="F108" s="58">
        <f t="shared" ref="F108:I108" si="176">SUM(F106:F107)</f>
        <v>30993</v>
      </c>
      <c r="G108" s="58">
        <f t="shared" si="176"/>
        <v>32397</v>
      </c>
      <c r="H108" s="58">
        <f t="shared" si="176"/>
        <v>33080</v>
      </c>
      <c r="I108" s="58">
        <f t="shared" si="176"/>
        <v>33396</v>
      </c>
      <c r="J108" s="58">
        <f>SUM(J106:J107)</f>
        <v>34801.289132704893</v>
      </c>
      <c r="K108" s="58">
        <f>SUM(K106:K107)</f>
        <v>36441.100286009852</v>
      </c>
      <c r="L108" s="58">
        <f>SUM(L106:L107)</f>
        <v>38269.393161505213</v>
      </c>
      <c r="M108" s="58">
        <f>SUM(M106:M107)</f>
        <v>40387.299385864928</v>
      </c>
      <c r="N108" s="58">
        <f>SUM(N106:N107)</f>
        <v>42728.648290868747</v>
      </c>
      <c r="O108" s="58">
        <f t="shared" ref="O108:Q108" si="177">SUM(O106:O107)</f>
        <v>45291.701411867289</v>
      </c>
      <c r="P108" s="58">
        <f t="shared" si="177"/>
        <v>48133.796338003391</v>
      </c>
      <c r="Q108" s="58">
        <f t="shared" si="177"/>
        <v>51235.787297339557</v>
      </c>
      <c r="R108" s="58">
        <f t="shared" ref="R108" si="178">SUM(R106:R107)</f>
        <v>54475.191758557885</v>
      </c>
      <c r="S108" s="58">
        <f t="shared" ref="S108" si="179">SUM(S106:S107)</f>
        <v>57921.39919993683</v>
      </c>
    </row>
    <row r="109" spans="1:19" outlineLevel="1" x14ac:dyDescent="0.15">
      <c r="A109" s="6"/>
      <c r="J109" s="60"/>
    </row>
    <row r="110" spans="1:19" outlineLevel="1" x14ac:dyDescent="0.15">
      <c r="A110" s="6" t="s">
        <v>49</v>
      </c>
      <c r="E110" s="58">
        <f>E108+E103</f>
        <v>86101</v>
      </c>
      <c r="F110" s="58">
        <f t="shared" ref="F110:N110" si="180">F108+F103</f>
        <v>98920</v>
      </c>
      <c r="G110" s="58">
        <f t="shared" si="180"/>
        <v>99279</v>
      </c>
      <c r="H110" s="58">
        <f t="shared" si="180"/>
        <v>100300</v>
      </c>
      <c r="I110" s="58">
        <f t="shared" si="180"/>
        <v>104218</v>
      </c>
      <c r="J110" s="58">
        <f>J108+J103</f>
        <v>110335.22893501332</v>
      </c>
      <c r="K110" s="58">
        <f t="shared" si="180"/>
        <v>122121.96428910123</v>
      </c>
      <c r="L110" s="58">
        <f t="shared" si="180"/>
        <v>134660.15786697401</v>
      </c>
      <c r="M110" s="58">
        <f t="shared" si="180"/>
        <v>148470.33024450636</v>
      </c>
      <c r="N110" s="58">
        <f t="shared" si="180"/>
        <v>162351.04327208968</v>
      </c>
      <c r="O110" s="58">
        <f t="shared" ref="O110:Q110" si="181">O108+O103</f>
        <v>173119.30330904262</v>
      </c>
      <c r="P110" s="58">
        <f t="shared" si="181"/>
        <v>181893.14285304068</v>
      </c>
      <c r="Q110" s="58">
        <f t="shared" si="181"/>
        <v>188901.7973898784</v>
      </c>
      <c r="R110" s="58">
        <f t="shared" ref="R110:S110" si="182">R108+R103</f>
        <v>194021.98056678218</v>
      </c>
      <c r="S110" s="58">
        <f t="shared" si="182"/>
        <v>197694.09383840873</v>
      </c>
    </row>
    <row r="111" spans="1:19" outlineLevel="1" x14ac:dyDescent="0.15">
      <c r="A111" s="6"/>
    </row>
    <row r="112" spans="1:19" outlineLevel="1" x14ac:dyDescent="0.15">
      <c r="A112" s="6"/>
    </row>
    <row r="113" spans="1:19" outlineLevel="1" x14ac:dyDescent="0.15">
      <c r="A113" s="6" t="s">
        <v>0</v>
      </c>
      <c r="E113" s="43">
        <f>E89-E110</f>
        <v>0</v>
      </c>
      <c r="F113" s="43">
        <f t="shared" ref="F113:N113" si="183">F89-F110</f>
        <v>0</v>
      </c>
      <c r="G113" s="43">
        <f t="shared" si="183"/>
        <v>0</v>
      </c>
      <c r="H113" s="43">
        <f t="shared" si="183"/>
        <v>0</v>
      </c>
      <c r="I113" s="43">
        <f t="shared" si="183"/>
        <v>0</v>
      </c>
      <c r="J113" s="43">
        <f t="shared" si="183"/>
        <v>0</v>
      </c>
      <c r="K113" s="43">
        <f t="shared" si="183"/>
        <v>0</v>
      </c>
      <c r="L113" s="43">
        <f t="shared" si="183"/>
        <v>0</v>
      </c>
      <c r="M113" s="43">
        <f t="shared" si="183"/>
        <v>0</v>
      </c>
      <c r="N113" s="43">
        <f t="shared" si="183"/>
        <v>0</v>
      </c>
      <c r="O113" s="43">
        <f t="shared" ref="O113:Q113" si="184">O89-O110</f>
        <v>0</v>
      </c>
      <c r="P113" s="43">
        <f t="shared" si="184"/>
        <v>0</v>
      </c>
      <c r="Q113" s="43">
        <f t="shared" si="184"/>
        <v>0</v>
      </c>
      <c r="R113" s="43">
        <f t="shared" ref="R113:S113" si="185">R89-R110</f>
        <v>0</v>
      </c>
      <c r="S113" s="43">
        <f t="shared" si="185"/>
        <v>0</v>
      </c>
    </row>
    <row r="114" spans="1:19" outlineLevel="1" x14ac:dyDescent="0.15">
      <c r="A114" s="6"/>
    </row>
    <row r="115" spans="1:19" x14ac:dyDescent="0.15">
      <c r="K115" s="43"/>
      <c r="L115" s="43"/>
      <c r="M115" s="43"/>
      <c r="N115" s="43"/>
    </row>
    <row r="116" spans="1:19" ht="18.5" customHeight="1" x14ac:dyDescent="0.2">
      <c r="A116" s="1" t="s">
        <v>7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outlineLevel="1" x14ac:dyDescent="0.15"/>
    <row r="118" spans="1:19" outlineLevel="1" x14ac:dyDescent="0.15">
      <c r="A118" s="6" t="s">
        <v>50</v>
      </c>
    </row>
    <row r="119" spans="1:19" outlineLevel="1" x14ac:dyDescent="0.15">
      <c r="A119" s="2" t="s">
        <v>18</v>
      </c>
      <c r="E119" s="43">
        <f t="shared" ref="E119:I119" si="186">E66</f>
        <v>3157</v>
      </c>
      <c r="F119" s="43">
        <f t="shared" si="186"/>
        <v>3702</v>
      </c>
      <c r="G119" s="43">
        <f t="shared" si="186"/>
        <v>4140</v>
      </c>
      <c r="H119" s="43">
        <f t="shared" si="186"/>
        <v>4616</v>
      </c>
      <c r="I119" s="43">
        <f t="shared" si="186"/>
        <v>1955</v>
      </c>
      <c r="J119" s="43">
        <f>J66</f>
        <v>4684.2971090163073</v>
      </c>
      <c r="K119" s="43">
        <f t="shared" ref="K119:N119" si="187">K66</f>
        <v>5466.0371776832017</v>
      </c>
      <c r="L119" s="43">
        <f t="shared" si="187"/>
        <v>6094.3095849845313</v>
      </c>
      <c r="M119" s="43">
        <f t="shared" si="187"/>
        <v>7059.6874145323882</v>
      </c>
      <c r="N119" s="43">
        <f t="shared" si="187"/>
        <v>7804.4963500126969</v>
      </c>
      <c r="O119" s="43">
        <f t="shared" ref="O119:Q119" si="188">O66</f>
        <v>8543.5104033284879</v>
      </c>
      <c r="P119" s="43">
        <f t="shared" si="188"/>
        <v>9473.649753787</v>
      </c>
      <c r="Q119" s="43">
        <f t="shared" si="188"/>
        <v>10339.969864453886</v>
      </c>
      <c r="R119" s="43">
        <f t="shared" ref="R119:S119" si="189">R66</f>
        <v>10798.014870727755</v>
      </c>
      <c r="S119" s="43">
        <f t="shared" si="189"/>
        <v>11487.358137929796</v>
      </c>
    </row>
    <row r="120" spans="1:19" outlineLevel="1" x14ac:dyDescent="0.15">
      <c r="A120" s="2" t="s">
        <v>51</v>
      </c>
      <c r="E120" s="43">
        <f t="shared" ref="E120:I120" si="190">E56</f>
        <v>2055</v>
      </c>
      <c r="F120" s="43">
        <f t="shared" si="190"/>
        <v>2350</v>
      </c>
      <c r="G120" s="43">
        <f t="shared" si="190"/>
        <v>2464</v>
      </c>
      <c r="H120" s="43">
        <f t="shared" si="190"/>
        <v>2590</v>
      </c>
      <c r="I120" s="43">
        <f t="shared" si="190"/>
        <v>2522</v>
      </c>
      <c r="J120" s="43">
        <f>J56</f>
        <v>2726.2763762665109</v>
      </c>
      <c r="K120" s="43">
        <f t="shared" ref="K120:N120" si="191">K56</f>
        <v>3092.5133263417151</v>
      </c>
      <c r="L120" s="43">
        <f t="shared" si="191"/>
        <v>3479.8664623190739</v>
      </c>
      <c r="M120" s="43">
        <f t="shared" si="191"/>
        <v>3911.6730505414662</v>
      </c>
      <c r="N120" s="43">
        <f t="shared" si="191"/>
        <v>4329.2984566768118</v>
      </c>
      <c r="O120" s="43">
        <f t="shared" ref="O120:Q120" si="192">O56</f>
        <v>4719.4430276390067</v>
      </c>
      <c r="P120" s="43">
        <f t="shared" si="192"/>
        <v>5056.1860717005065</v>
      </c>
      <c r="Q120" s="43">
        <f t="shared" si="192"/>
        <v>5328.5038024692803</v>
      </c>
      <c r="R120" s="43">
        <f t="shared" ref="R120:S120" si="193">R56</f>
        <v>5520.2529163149511</v>
      </c>
      <c r="S120" s="43">
        <f t="shared" si="193"/>
        <v>5669.306216978528</v>
      </c>
    </row>
    <row r="121" spans="1:19" outlineLevel="1" x14ac:dyDescent="0.15">
      <c r="A121" s="8" t="s">
        <v>52</v>
      </c>
      <c r="B121" s="8"/>
      <c r="C121" s="8"/>
      <c r="D121" s="8"/>
      <c r="E121" s="44">
        <f t="shared" ref="E121:I121" si="194">E161</f>
        <v>0</v>
      </c>
      <c r="F121" s="44">
        <f t="shared" si="194"/>
        <v>-376</v>
      </c>
      <c r="G121" s="44">
        <f t="shared" si="194"/>
        <v>2503</v>
      </c>
      <c r="H121" s="44">
        <f t="shared" si="194"/>
        <v>-2582</v>
      </c>
      <c r="I121" s="44">
        <f t="shared" si="194"/>
        <v>2356</v>
      </c>
      <c r="J121" s="44">
        <f>J161</f>
        <v>-1575.1439117058962</v>
      </c>
      <c r="K121" s="44">
        <f>K161</f>
        <v>-178.82049324799937</v>
      </c>
      <c r="L121" s="44">
        <f>L161</f>
        <v>-178.68422081308108</v>
      </c>
      <c r="M121" s="44">
        <f>M161</f>
        <v>44.695453591668411</v>
      </c>
      <c r="N121" s="44">
        <f>N161</f>
        <v>-175.5148250700986</v>
      </c>
      <c r="O121" s="44">
        <f t="shared" ref="O121:Q121" si="195">O161</f>
        <v>-163.96549424075783</v>
      </c>
      <c r="P121" s="44">
        <f t="shared" si="195"/>
        <v>183.8197827754866</v>
      </c>
      <c r="Q121" s="44">
        <f t="shared" si="195"/>
        <v>217.7245298669186</v>
      </c>
      <c r="R121" s="44">
        <f t="shared" ref="R121:S121" si="196">R161</f>
        <v>-56.925144372567956</v>
      </c>
      <c r="S121" s="44">
        <f t="shared" si="196"/>
        <v>305.53353603017058</v>
      </c>
    </row>
    <row r="122" spans="1:19" outlineLevel="1" x14ac:dyDescent="0.15">
      <c r="A122" s="6" t="s">
        <v>54</v>
      </c>
      <c r="E122" s="58">
        <f t="shared" ref="E122" si="197">E119+E120-E121</f>
        <v>5212</v>
      </c>
      <c r="F122" s="58">
        <f t="shared" ref="F122" si="198">F119+F120-F121</f>
        <v>6428</v>
      </c>
      <c r="G122" s="58">
        <f t="shared" ref="G122" si="199">G119+G120-G121</f>
        <v>4101</v>
      </c>
      <c r="H122" s="58">
        <f t="shared" ref="H122" si="200">H119+H120-H121</f>
        <v>9788</v>
      </c>
      <c r="I122" s="58">
        <f t="shared" ref="I122" si="201">I119+I120-I121</f>
        <v>2121</v>
      </c>
      <c r="J122" s="58">
        <f>J119+J120-J121</f>
        <v>8985.7173969887153</v>
      </c>
      <c r="K122" s="58">
        <f>K119+K120-K121</f>
        <v>8737.3709972729157</v>
      </c>
      <c r="L122" s="58">
        <f>L119+L120-L121</f>
        <v>9752.8602681166849</v>
      </c>
      <c r="M122" s="58">
        <f>M119+M120-M121</f>
        <v>10926.665011482186</v>
      </c>
      <c r="N122" s="58">
        <f>N119+N120-N121</f>
        <v>12309.309631759606</v>
      </c>
      <c r="O122" s="58">
        <f t="shared" ref="O122:Q122" si="202">O119+O120-O121</f>
        <v>13426.918925208252</v>
      </c>
      <c r="P122" s="58">
        <f t="shared" si="202"/>
        <v>14346.016042712019</v>
      </c>
      <c r="Q122" s="58">
        <f t="shared" si="202"/>
        <v>15450.749137056247</v>
      </c>
      <c r="R122" s="58">
        <f t="shared" ref="R122" si="203">R119+R120-R121</f>
        <v>16375.192931415275</v>
      </c>
      <c r="S122" s="58">
        <f t="shared" ref="S122" si="204">S119+S120-S121</f>
        <v>16851.130818878155</v>
      </c>
    </row>
    <row r="123" spans="1:19" outlineLevel="1" x14ac:dyDescent="0.15"/>
    <row r="124" spans="1:19" outlineLevel="1" x14ac:dyDescent="0.15">
      <c r="A124" s="6" t="s">
        <v>53</v>
      </c>
      <c r="K124" s="43"/>
    </row>
    <row r="125" spans="1:19" outlineLevel="1" x14ac:dyDescent="0.15">
      <c r="A125" s="2" t="s">
        <v>145</v>
      </c>
      <c r="E125" s="43">
        <v>-5007</v>
      </c>
      <c r="F125" s="43">
        <v>-9300</v>
      </c>
      <c r="G125" s="43">
        <v>-7475</v>
      </c>
      <c r="H125" s="43">
        <v>-8013</v>
      </c>
      <c r="I125" s="43">
        <v>-5924</v>
      </c>
      <c r="J125" s="85">
        <f>-(J52*J40)</f>
        <v>-6829.9154999999992</v>
      </c>
      <c r="K125" s="85">
        <f t="shared" ref="K125:N125" si="205">-(K52*K40)</f>
        <v>-7230.9241619999993</v>
      </c>
      <c r="L125" s="85">
        <f t="shared" si="205"/>
        <v>-7749.1756711999988</v>
      </c>
      <c r="M125" s="85">
        <f t="shared" si="205"/>
        <v>-7621.9049551260005</v>
      </c>
      <c r="N125" s="85">
        <f t="shared" si="205"/>
        <v>-7230.5563957228815</v>
      </c>
      <c r="O125" s="85">
        <f t="shared" ref="O125:Q125" si="206">-(O52*O40)</f>
        <v>-6568.4620170421458</v>
      </c>
      <c r="P125" s="85">
        <f t="shared" si="206"/>
        <v>-5629.7094328399071</v>
      </c>
      <c r="Q125" s="85">
        <f t="shared" si="206"/>
        <v>-5932.9161732364137</v>
      </c>
      <c r="R125" s="85">
        <f t="shared" ref="R125:S125" si="207">-(R52*R40)</f>
        <v>-5531.773856132917</v>
      </c>
      <c r="S125" s="85">
        <f t="shared" si="207"/>
        <v>-5681.1382356786844</v>
      </c>
    </row>
    <row r="126" spans="1:19" outlineLevel="1" x14ac:dyDescent="0.15">
      <c r="A126" s="2" t="s">
        <v>32</v>
      </c>
      <c r="F126" s="67"/>
      <c r="G126" s="67"/>
      <c r="H126" s="67"/>
      <c r="I126" s="67"/>
      <c r="J126" s="43">
        <f>-(J84-I84)</f>
        <v>-433.48838999999975</v>
      </c>
      <c r="K126" s="43">
        <f t="shared" ref="K126:N126" si="208">-(K84-J84)</f>
        <v>-246.70642810000004</v>
      </c>
      <c r="L126" s="43">
        <f t="shared" si="208"/>
        <v>-260.93082243799972</v>
      </c>
      <c r="M126" s="43">
        <f t="shared" si="208"/>
        <v>-290.87578680556089</v>
      </c>
      <c r="N126" s="43">
        <f t="shared" si="208"/>
        <v>-281.32298559800165</v>
      </c>
      <c r="O126" s="43">
        <f t="shared" ref="O126:O128" si="209">-(O84-N84)</f>
        <v>-262.81120330683643</v>
      </c>
      <c r="P126" s="43">
        <f t="shared" ref="P126:P128" si="210">-(P84-O84)</f>
        <v>-226.83859061974499</v>
      </c>
      <c r="Q126" s="43">
        <f t="shared" ref="Q126:Q128" si="211">-(Q84-P84)</f>
        <v>-183.44007793988658</v>
      </c>
      <c r="R126" s="43">
        <f t="shared" ref="R126:R128" si="212">-(R84-Q84)</f>
        <v>-129.16702959243094</v>
      </c>
      <c r="S126" s="43">
        <f t="shared" ref="S126:S128" si="213">-(S84-R84)</f>
        <v>-100.40605513909895</v>
      </c>
    </row>
    <row r="127" spans="1:19" outlineLevel="1" x14ac:dyDescent="0.15">
      <c r="A127" s="2" t="s">
        <v>159</v>
      </c>
      <c r="F127" s="67"/>
      <c r="G127" s="67"/>
      <c r="H127" s="67"/>
      <c r="I127" s="67"/>
      <c r="J127" s="43">
        <f>-(J85-I85)</f>
        <v>462.55520300811895</v>
      </c>
      <c r="K127" s="43">
        <f t="shared" ref="K127:N127" si="214">-(K85-J85)</f>
        <v>-1071.7920289487347</v>
      </c>
      <c r="L127" s="43">
        <f t="shared" si="214"/>
        <v>-1133.5885236145023</v>
      </c>
      <c r="M127" s="43">
        <f t="shared" si="214"/>
        <v>-1263.681502396943</v>
      </c>
      <c r="N127" s="43">
        <f t="shared" si="214"/>
        <v>-1222.1802887186241</v>
      </c>
      <c r="O127" s="43">
        <f t="shared" si="209"/>
        <v>-1141.7576550073391</v>
      </c>
      <c r="P127" s="43">
        <f t="shared" si="210"/>
        <v>-985.47814565115732</v>
      </c>
      <c r="Q127" s="43">
        <f t="shared" si="211"/>
        <v>-796.93753762269625</v>
      </c>
      <c r="R127" s="43">
        <f t="shared" si="212"/>
        <v>-561.15356939154299</v>
      </c>
      <c r="S127" s="43">
        <f t="shared" si="213"/>
        <v>-436.20431938098227</v>
      </c>
    </row>
    <row r="128" spans="1:19" outlineLevel="1" x14ac:dyDescent="0.15">
      <c r="A128" s="8" t="s">
        <v>143</v>
      </c>
      <c r="B128" s="8"/>
      <c r="C128" s="8"/>
      <c r="D128" s="8"/>
      <c r="E128" s="8"/>
      <c r="F128" s="29"/>
      <c r="G128" s="29"/>
      <c r="H128" s="29"/>
      <c r="I128" s="29"/>
      <c r="J128" s="44">
        <f>-(J86-I86)</f>
        <v>-938.47995676121081</v>
      </c>
      <c r="K128" s="44">
        <f t="shared" ref="K128:N128" si="215">-(K86-J86)</f>
        <v>-688.53626263910155</v>
      </c>
      <c r="L128" s="44">
        <f t="shared" si="215"/>
        <v>-728.23531463065046</v>
      </c>
      <c r="M128" s="44">
        <f t="shared" si="215"/>
        <v>-811.80911531874608</v>
      </c>
      <c r="N128" s="44">
        <f t="shared" si="215"/>
        <v>-785.14807494033812</v>
      </c>
      <c r="O128" s="44">
        <f t="shared" si="209"/>
        <v>-733.48329469237069</v>
      </c>
      <c r="P128" s="44">
        <f t="shared" si="210"/>
        <v>-633.08684986648041</v>
      </c>
      <c r="Q128" s="44">
        <f t="shared" si="211"/>
        <v>-511.96536164740064</v>
      </c>
      <c r="R128" s="44">
        <f t="shared" si="212"/>
        <v>-360.49398670600203</v>
      </c>
      <c r="S128" s="44">
        <f t="shared" si="213"/>
        <v>-280.22459927062846</v>
      </c>
    </row>
    <row r="129" spans="1:19" outlineLevel="1" x14ac:dyDescent="0.15">
      <c r="A129" s="6" t="s">
        <v>55</v>
      </c>
      <c r="E129" s="58">
        <f>SUM(E125:E126)</f>
        <v>-5007</v>
      </c>
      <c r="F129" s="58">
        <f>SUM(F125:F126)</f>
        <v>-9300</v>
      </c>
      <c r="G129" s="58">
        <f>SUM(G125:G126)</f>
        <v>-7475</v>
      </c>
      <c r="H129" s="58">
        <f>SUM(H125:H126)</f>
        <v>-8013</v>
      </c>
      <c r="I129" s="58">
        <f>SUM(I125:I126)</f>
        <v>-5924</v>
      </c>
      <c r="J129" s="58">
        <f>SUM(J125:J128)</f>
        <v>-7739.3286437530905</v>
      </c>
      <c r="K129" s="58">
        <f>SUM(K125:K128)</f>
        <v>-9237.9588816878368</v>
      </c>
      <c r="L129" s="58">
        <f>SUM(L125:L128)</f>
        <v>-9871.9303318831517</v>
      </c>
      <c r="M129" s="58">
        <f>SUM(M125:M128)</f>
        <v>-9988.2713596472495</v>
      </c>
      <c r="N129" s="58">
        <f>SUM(N125:N128)</f>
        <v>-9519.2077449798453</v>
      </c>
      <c r="O129" s="58">
        <f t="shared" ref="O129:Q129" si="216">SUM(O125:O128)</f>
        <v>-8706.5141700486929</v>
      </c>
      <c r="P129" s="58">
        <f t="shared" si="216"/>
        <v>-7475.1130189772903</v>
      </c>
      <c r="Q129" s="58">
        <f t="shared" si="216"/>
        <v>-7425.2591504463971</v>
      </c>
      <c r="R129" s="58">
        <f t="shared" ref="R129" si="217">SUM(R125:R128)</f>
        <v>-6582.5884418228925</v>
      </c>
      <c r="S129" s="58">
        <f t="shared" ref="S129" si="218">SUM(S125:S128)</f>
        <v>-6497.9732094693936</v>
      </c>
    </row>
    <row r="130" spans="1:19" outlineLevel="1" x14ac:dyDescent="0.15"/>
    <row r="131" spans="1:19" outlineLevel="1" x14ac:dyDescent="0.15">
      <c r="A131" s="6" t="s">
        <v>56</v>
      </c>
    </row>
    <row r="132" spans="1:19" outlineLevel="1" x14ac:dyDescent="0.15">
      <c r="A132" s="2" t="s">
        <v>160</v>
      </c>
      <c r="F132" s="43">
        <f>F99-E99+F94-E94+F100-E100</f>
        <v>7243</v>
      </c>
      <c r="G132" s="43">
        <f>G99-F99+G94-F94+G100-F100</f>
        <v>-161</v>
      </c>
      <c r="H132" s="43">
        <f>H99-G99+H94-G94+H100-G100</f>
        <v>393</v>
      </c>
      <c r="I132" s="43">
        <f>I99-H99+I94-H94+I100-H100</f>
        <v>2879</v>
      </c>
      <c r="J132" s="43">
        <f>J99-I99</f>
        <v>2636.8123199999973</v>
      </c>
      <c r="K132" s="43">
        <f t="shared" ref="K132:N132" si="219">K99-J99</f>
        <v>6622.3345327999996</v>
      </c>
      <c r="L132" s="43">
        <f t="shared" si="219"/>
        <v>7004.159597343998</v>
      </c>
      <c r="M132" s="43">
        <f t="shared" si="219"/>
        <v>7807.9715334252978</v>
      </c>
      <c r="N132" s="43">
        <f t="shared" si="219"/>
        <v>7551.545927457104</v>
      </c>
      <c r="O132" s="43">
        <f t="shared" ref="O132" si="220">O99-N99</f>
        <v>4479.7975037046417</v>
      </c>
      <c r="P132" s="43">
        <f t="shared" ref="P132" si="221">P99-O99</f>
        <v>3090.4474360775348</v>
      </c>
      <c r="Q132" s="43">
        <f t="shared" ref="Q132" si="222">Q99-P99</f>
        <v>1657.4447044285334</v>
      </c>
      <c r="R132" s="43">
        <f t="shared" ref="R132" si="223">R99-Q99</f>
        <v>75.905833534096018</v>
      </c>
      <c r="S132" s="43">
        <f t="shared" ref="S132" si="224">S99-R99</f>
        <v>-791.25189923573635</v>
      </c>
    </row>
    <row r="133" spans="1:19" outlineLevel="1" x14ac:dyDescent="0.15">
      <c r="A133" s="2" t="s">
        <v>162</v>
      </c>
      <c r="F133" s="43"/>
      <c r="G133" s="43"/>
      <c r="H133" s="43"/>
      <c r="I133" s="43"/>
      <c r="J133" s="43">
        <f>J94-I94</f>
        <v>438.57277674637589</v>
      </c>
      <c r="K133" s="43">
        <f t="shared" ref="K133:N133" si="225">K94-J94</f>
        <v>936.80158296372247</v>
      </c>
      <c r="L133" s="43">
        <f t="shared" si="225"/>
        <v>990.81491060647386</v>
      </c>
      <c r="M133" s="43">
        <f t="shared" si="225"/>
        <v>1104.5228923456143</v>
      </c>
      <c r="N133" s="43">
        <f t="shared" si="225"/>
        <v>1068.2486883781712</v>
      </c>
      <c r="O133" s="43">
        <f t="shared" ref="O133" si="226">O94-N94</f>
        <v>997.95515331546085</v>
      </c>
      <c r="P133" s="43">
        <f t="shared" ref="P133" si="227">P94-O94</f>
        <v>861.35879152569578</v>
      </c>
      <c r="Q133" s="43">
        <f t="shared" ref="Q133" si="228">Q94-P94</f>
        <v>696.56456346332925</v>
      </c>
      <c r="R133" s="43">
        <f t="shared" ref="R133" si="229">R94-Q94</f>
        <v>490.47719883433274</v>
      </c>
      <c r="S133" s="43">
        <f t="shared" ref="S133" si="230">S94-R94</f>
        <v>381.26510167511333</v>
      </c>
    </row>
    <row r="134" spans="1:19" outlineLevel="1" x14ac:dyDescent="0.15">
      <c r="A134" s="2" t="s">
        <v>163</v>
      </c>
      <c r="F134" s="43"/>
      <c r="G134" s="43"/>
      <c r="H134" s="43"/>
      <c r="I134" s="43"/>
      <c r="J134" s="43">
        <f>J100-I100</f>
        <v>1284.010285304299</v>
      </c>
      <c r="K134" s="43">
        <f t="shared" ref="K134:N134" si="231">K100-J100</f>
        <v>1666.4389465762906</v>
      </c>
      <c r="L134" s="43">
        <f t="shared" si="231"/>
        <v>1762.5210993554374</v>
      </c>
      <c r="M134" s="43">
        <f t="shared" si="231"/>
        <v>1964.7916897906234</v>
      </c>
      <c r="N134" s="43">
        <f t="shared" si="231"/>
        <v>1900.2649561186336</v>
      </c>
      <c r="O134" s="43">
        <f t="shared" ref="O134" si="232">O100-N100</f>
        <v>1775.2225921311183</v>
      </c>
      <c r="P134" s="43">
        <f t="shared" ref="P134" si="233">P100-O100</f>
        <v>1532.2367759383815</v>
      </c>
      <c r="Q134" s="43">
        <f t="shared" ref="Q134" si="234">Q100-P100</f>
        <v>1239.0909008585186</v>
      </c>
      <c r="R134" s="43">
        <f t="shared" ref="R134" si="235">R100-Q100</f>
        <v>872.49031322017618</v>
      </c>
      <c r="S134" s="43">
        <f t="shared" ref="S134" si="236">S100-R100</f>
        <v>678.21727242574707</v>
      </c>
    </row>
    <row r="135" spans="1:19" outlineLevel="1" x14ac:dyDescent="0.15">
      <c r="A135" s="2" t="s">
        <v>161</v>
      </c>
      <c r="J135" s="43">
        <f>J106-I106</f>
        <v>0</v>
      </c>
      <c r="K135" s="43">
        <f t="shared" ref="K135:N135" si="237">K106-J106</f>
        <v>0</v>
      </c>
      <c r="L135" s="43">
        <f t="shared" si="237"/>
        <v>0</v>
      </c>
      <c r="M135" s="43">
        <f t="shared" si="237"/>
        <v>0</v>
      </c>
      <c r="N135" s="43">
        <f t="shared" si="237"/>
        <v>0</v>
      </c>
      <c r="O135" s="43">
        <f t="shared" ref="O135" si="238">O106-N106</f>
        <v>0</v>
      </c>
      <c r="P135" s="43">
        <f t="shared" ref="P135" si="239">P106-O106</f>
        <v>0</v>
      </c>
      <c r="Q135" s="43">
        <f t="shared" ref="Q135" si="240">Q106-P106</f>
        <v>0</v>
      </c>
      <c r="R135" s="43">
        <f t="shared" ref="R135" si="241">R106-Q106</f>
        <v>0</v>
      </c>
      <c r="S135" s="43">
        <f t="shared" ref="S135" si="242">S106-R106</f>
        <v>0</v>
      </c>
    </row>
    <row r="136" spans="1:19" outlineLevel="1" x14ac:dyDescent="0.15">
      <c r="A136" s="8" t="s">
        <v>57</v>
      </c>
      <c r="B136" s="8"/>
      <c r="C136" s="8"/>
      <c r="D136" s="8"/>
      <c r="E136" s="44">
        <f t="shared" ref="E136:J136" si="243">-E68</f>
        <v>-1494</v>
      </c>
      <c r="F136" s="44">
        <f t="shared" si="243"/>
        <v>-1729</v>
      </c>
      <c r="G136" s="44">
        <f t="shared" si="243"/>
        <v>-1958</v>
      </c>
      <c r="H136" s="44">
        <f t="shared" si="243"/>
        <v>-3146</v>
      </c>
      <c r="I136" s="44">
        <f t="shared" si="243"/>
        <v>-3458</v>
      </c>
      <c r="J136" s="44">
        <f t="shared" si="243"/>
        <v>-3279.007976311415</v>
      </c>
      <c r="K136" s="44">
        <f t="shared" ref="K136:N136" si="244">-K68</f>
        <v>-3826.2260243782407</v>
      </c>
      <c r="L136" s="44">
        <f t="shared" si="244"/>
        <v>-4266.0167094891713</v>
      </c>
      <c r="M136" s="44">
        <f t="shared" si="244"/>
        <v>-4941.7811901726718</v>
      </c>
      <c r="N136" s="44">
        <f t="shared" si="244"/>
        <v>-5463.1474450088872</v>
      </c>
      <c r="O136" s="44">
        <f t="shared" ref="O136:Q136" si="245">-O68</f>
        <v>-5980.4572823299413</v>
      </c>
      <c r="P136" s="44">
        <f t="shared" si="245"/>
        <v>-6631.5548276508998</v>
      </c>
      <c r="Q136" s="44">
        <f t="shared" si="245"/>
        <v>-7237.9789051177195</v>
      </c>
      <c r="R136" s="44">
        <f t="shared" ref="R136:S136" si="246">-R68</f>
        <v>-7558.6104095094279</v>
      </c>
      <c r="S136" s="44">
        <f t="shared" si="246"/>
        <v>-8041.1506965508561</v>
      </c>
    </row>
    <row r="137" spans="1:19" outlineLevel="1" x14ac:dyDescent="0.15">
      <c r="A137" s="6" t="s">
        <v>58</v>
      </c>
      <c r="E137" s="58">
        <f>SUM(E132:E136)</f>
        <v>-1494</v>
      </c>
      <c r="F137" s="58">
        <f t="shared" ref="F137:I137" si="247">SUM(F132:F136)</f>
        <v>5514</v>
      </c>
      <c r="G137" s="58">
        <f t="shared" si="247"/>
        <v>-2119</v>
      </c>
      <c r="H137" s="58">
        <f t="shared" si="247"/>
        <v>-2753</v>
      </c>
      <c r="I137" s="58">
        <f t="shared" si="247"/>
        <v>-579</v>
      </c>
      <c r="J137" s="58">
        <f>SUM(J132:J136)</f>
        <v>1080.3874057392572</v>
      </c>
      <c r="K137" s="58">
        <f>SUM(K132:K136)</f>
        <v>5399.3490379617724</v>
      </c>
      <c r="L137" s="58">
        <f t="shared" ref="L137:M137" si="248">SUM(L132:L136)</f>
        <v>5491.478897816738</v>
      </c>
      <c r="M137" s="58">
        <f t="shared" si="248"/>
        <v>5935.5049253888637</v>
      </c>
      <c r="N137" s="58">
        <f>SUM(N132:N136)</f>
        <v>5056.9121269450216</v>
      </c>
      <c r="O137" s="58">
        <f t="shared" ref="O137:Q137" si="249">SUM(O132:O136)</f>
        <v>1272.5179668212795</v>
      </c>
      <c r="P137" s="58">
        <f t="shared" si="249"/>
        <v>-1147.5118241092878</v>
      </c>
      <c r="Q137" s="58">
        <f t="shared" si="249"/>
        <v>-3644.8787363673382</v>
      </c>
      <c r="R137" s="58">
        <f t="shared" ref="R137" si="250">SUM(R132:R136)</f>
        <v>-6119.7370639208229</v>
      </c>
      <c r="S137" s="58">
        <f t="shared" ref="S137" si="251">SUM(S132:S136)</f>
        <v>-7772.920221685732</v>
      </c>
    </row>
    <row r="138" spans="1:19" outlineLevel="1" x14ac:dyDescent="0.15"/>
    <row r="139" spans="1:19" outlineLevel="1" x14ac:dyDescent="0.15">
      <c r="A139" s="2" t="s">
        <v>60</v>
      </c>
      <c r="F139" s="43">
        <f>E141</f>
        <v>1089</v>
      </c>
      <c r="G139" s="43">
        <f t="shared" ref="G139:N139" si="252">F141</f>
        <v>446</v>
      </c>
      <c r="H139" s="43">
        <f t="shared" si="252"/>
        <v>1343</v>
      </c>
      <c r="I139" s="43">
        <f t="shared" si="252"/>
        <v>1530</v>
      </c>
      <c r="J139" s="43">
        <f>I141</f>
        <v>673</v>
      </c>
      <c r="K139" s="43">
        <f>J141</f>
        <v>2999.7761589748825</v>
      </c>
      <c r="L139" s="43">
        <f t="shared" si="252"/>
        <v>7898.5373125217338</v>
      </c>
      <c r="M139" s="43">
        <f t="shared" si="252"/>
        <v>13270.946146572005</v>
      </c>
      <c r="N139" s="43">
        <f t="shared" si="252"/>
        <v>20144.844723795806</v>
      </c>
      <c r="O139" s="43">
        <f t="shared" ref="O139" si="253">N141</f>
        <v>27991.85873752059</v>
      </c>
      <c r="P139" s="43">
        <f t="shared" ref="P139" si="254">O141</f>
        <v>33984.781459501428</v>
      </c>
      <c r="Q139" s="43">
        <f t="shared" ref="Q139" si="255">P141</f>
        <v>39708.172659126867</v>
      </c>
      <c r="R139" s="43">
        <f t="shared" ref="R139" si="256">Q141</f>
        <v>44088.783909369376</v>
      </c>
      <c r="S139" s="43">
        <f t="shared" ref="S139" si="257">R141</f>
        <v>47761.651335040937</v>
      </c>
    </row>
    <row r="140" spans="1:19" outlineLevel="1" x14ac:dyDescent="0.15">
      <c r="A140" s="8" t="s">
        <v>59</v>
      </c>
      <c r="B140" s="8"/>
      <c r="C140" s="8"/>
      <c r="D140" s="8"/>
      <c r="E140" s="44"/>
      <c r="F140" s="44">
        <f t="shared" ref="F140:N140" si="258">F137+F129+F122</f>
        <v>2642</v>
      </c>
      <c r="G140" s="44">
        <f t="shared" si="258"/>
        <v>-5493</v>
      </c>
      <c r="H140" s="44">
        <f t="shared" si="258"/>
        <v>-978</v>
      </c>
      <c r="I140" s="44">
        <f t="shared" si="258"/>
        <v>-4382</v>
      </c>
      <c r="J140" s="44">
        <f t="shared" si="258"/>
        <v>2326.7761589748825</v>
      </c>
      <c r="K140" s="44">
        <f t="shared" si="258"/>
        <v>4898.7611535468513</v>
      </c>
      <c r="L140" s="44">
        <f t="shared" si="258"/>
        <v>5372.4088340502713</v>
      </c>
      <c r="M140" s="44">
        <f t="shared" si="258"/>
        <v>6873.8985772238002</v>
      </c>
      <c r="N140" s="44">
        <f t="shared" si="258"/>
        <v>7847.0140137247827</v>
      </c>
      <c r="O140" s="44">
        <f t="shared" ref="O140:Q140" si="259">O137+O129+O122</f>
        <v>5992.922721980839</v>
      </c>
      <c r="P140" s="44">
        <f t="shared" si="259"/>
        <v>5723.391199625441</v>
      </c>
      <c r="Q140" s="44">
        <f t="shared" si="259"/>
        <v>4380.6112502425112</v>
      </c>
      <c r="R140" s="44">
        <f t="shared" ref="R140:S140" si="260">R137+R129+R122</f>
        <v>3672.8674256715585</v>
      </c>
      <c r="S140" s="44">
        <f t="shared" si="260"/>
        <v>2580.2373877230293</v>
      </c>
    </row>
    <row r="141" spans="1:19" outlineLevel="1" x14ac:dyDescent="0.15">
      <c r="A141" s="6" t="s">
        <v>61</v>
      </c>
      <c r="E141" s="58">
        <f>E75</f>
        <v>1089</v>
      </c>
      <c r="F141" s="58">
        <f>F75</f>
        <v>446</v>
      </c>
      <c r="G141" s="58">
        <f>G75</f>
        <v>1343</v>
      </c>
      <c r="H141" s="58">
        <f>H75</f>
        <v>1530</v>
      </c>
      <c r="I141" s="58">
        <f>I75</f>
        <v>673</v>
      </c>
      <c r="J141" s="58">
        <f>J139+J140</f>
        <v>2999.7761589748825</v>
      </c>
      <c r="K141" s="58">
        <f t="shared" ref="K141:N141" si="261">K139+K140</f>
        <v>7898.5373125217338</v>
      </c>
      <c r="L141" s="58">
        <f t="shared" si="261"/>
        <v>13270.946146572005</v>
      </c>
      <c r="M141" s="58">
        <f t="shared" si="261"/>
        <v>20144.844723795806</v>
      </c>
      <c r="N141" s="58">
        <f t="shared" si="261"/>
        <v>27991.85873752059</v>
      </c>
      <c r="O141" s="58">
        <f t="shared" ref="O141:Q141" si="262">O139+O140</f>
        <v>33984.781459501428</v>
      </c>
      <c r="P141" s="58">
        <f t="shared" si="262"/>
        <v>39708.172659126867</v>
      </c>
      <c r="Q141" s="58">
        <f t="shared" si="262"/>
        <v>44088.783909369376</v>
      </c>
      <c r="R141" s="58">
        <f t="shared" ref="R141:S141" si="263">R139+R140</f>
        <v>47761.651335040937</v>
      </c>
      <c r="S141" s="58">
        <f t="shared" si="263"/>
        <v>50341.888722763964</v>
      </c>
    </row>
    <row r="142" spans="1:19" outlineLevel="1" x14ac:dyDescent="0.15">
      <c r="A142" s="6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</row>
    <row r="143" spans="1:19" outlineLevel="1" x14ac:dyDescent="0.15">
      <c r="A143" s="6" t="s">
        <v>164</v>
      </c>
      <c r="F143" s="58">
        <f>F141-F75</f>
        <v>0</v>
      </c>
      <c r="G143" s="58">
        <f t="shared" ref="G143:N143" si="264">G141-G75</f>
        <v>0</v>
      </c>
      <c r="H143" s="58">
        <f t="shared" si="264"/>
        <v>0</v>
      </c>
      <c r="I143" s="58">
        <f t="shared" si="264"/>
        <v>0</v>
      </c>
      <c r="J143" s="58">
        <f t="shared" si="264"/>
        <v>0</v>
      </c>
      <c r="K143" s="58">
        <f t="shared" si="264"/>
        <v>0</v>
      </c>
      <c r="L143" s="58">
        <f t="shared" si="264"/>
        <v>0</v>
      </c>
      <c r="M143" s="58">
        <f t="shared" si="264"/>
        <v>0</v>
      </c>
      <c r="N143" s="58">
        <f t="shared" si="264"/>
        <v>0</v>
      </c>
      <c r="O143" s="58">
        <f t="shared" ref="O143:Q143" si="265">O141-O75</f>
        <v>0</v>
      </c>
      <c r="P143" s="58">
        <f t="shared" si="265"/>
        <v>0</v>
      </c>
      <c r="Q143" s="58">
        <f t="shared" si="265"/>
        <v>0</v>
      </c>
      <c r="R143" s="58">
        <f t="shared" ref="R143:S143" si="266">R141-R75</f>
        <v>0</v>
      </c>
      <c r="S143" s="58">
        <f t="shared" si="266"/>
        <v>0</v>
      </c>
    </row>
    <row r="145" spans="1:19" ht="18.5" customHeight="1" x14ac:dyDescent="0.2">
      <c r="A145" s="1" t="s">
        <v>8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outlineLevel="1" x14ac:dyDescent="0.15"/>
    <row r="147" spans="1:19" outlineLevel="1" x14ac:dyDescent="0.15">
      <c r="A147" s="6" t="s">
        <v>62</v>
      </c>
    </row>
    <row r="148" spans="1:19" outlineLevel="1" x14ac:dyDescent="0.15"/>
    <row r="149" spans="1:19" outlineLevel="1" x14ac:dyDescent="0.15">
      <c r="A149" s="6" t="s">
        <v>26</v>
      </c>
    </row>
    <row r="150" spans="1:19" outlineLevel="1" x14ac:dyDescent="0.15">
      <c r="A150" s="2" t="s">
        <v>23</v>
      </c>
      <c r="E150" s="43">
        <f t="shared" ref="E150:J152" si="267">E76</f>
        <v>2522</v>
      </c>
      <c r="F150" s="43">
        <f t="shared" si="267"/>
        <v>2535</v>
      </c>
      <c r="G150" s="43">
        <f t="shared" si="267"/>
        <v>2422</v>
      </c>
      <c r="H150" s="43">
        <f t="shared" si="267"/>
        <v>2162</v>
      </c>
      <c r="I150" s="43">
        <f t="shared" si="267"/>
        <v>3092</v>
      </c>
      <c r="J150" s="43">
        <f t="shared" si="267"/>
        <v>2740.6985120547943</v>
      </c>
      <c r="K150" s="43">
        <f t="shared" ref="K150:N150" si="268">K76</f>
        <v>3108.8728735643826</v>
      </c>
      <c r="L150" s="43">
        <f t="shared" si="268"/>
        <v>3488.7169978742613</v>
      </c>
      <c r="M150" s="43">
        <f t="shared" si="268"/>
        <v>3932.3659928951442</v>
      </c>
      <c r="N150" s="43">
        <f t="shared" si="268"/>
        <v>4352.2006579186764</v>
      </c>
      <c r="O150" s="43">
        <f t="shared" ref="O150:Q150" si="269">O76</f>
        <v>4744.4091128027158</v>
      </c>
      <c r="P150" s="43">
        <f t="shared" si="269"/>
        <v>5069.0457475201947</v>
      </c>
      <c r="Q150" s="43">
        <f t="shared" si="269"/>
        <v>5356.6918490138623</v>
      </c>
      <c r="R150" s="43">
        <f t="shared" ref="R150:S150" si="270">R76</f>
        <v>5549.4553250794606</v>
      </c>
      <c r="S150" s="43">
        <f t="shared" si="270"/>
        <v>5699.2971250164701</v>
      </c>
    </row>
    <row r="151" spans="1:19" outlineLevel="1" x14ac:dyDescent="0.15">
      <c r="A151" s="2" t="s">
        <v>24</v>
      </c>
      <c r="E151" s="43">
        <f t="shared" si="267"/>
        <v>378</v>
      </c>
      <c r="F151" s="43">
        <f t="shared" si="267"/>
        <v>431</v>
      </c>
      <c r="G151" s="43">
        <f t="shared" si="267"/>
        <v>452</v>
      </c>
      <c r="H151" s="43">
        <f t="shared" si="267"/>
        <v>629</v>
      </c>
      <c r="I151" s="43">
        <f t="shared" si="267"/>
        <v>724</v>
      </c>
      <c r="J151" s="43">
        <f t="shared" si="267"/>
        <v>591.18407985666852</v>
      </c>
      <c r="K151" s="43">
        <f t="shared" ref="K151:N151" si="271">K77</f>
        <v>670.60135985974216</v>
      </c>
      <c r="L151" s="43">
        <f t="shared" si="271"/>
        <v>752.53587331731273</v>
      </c>
      <c r="M151" s="43">
        <f t="shared" si="271"/>
        <v>820.82099257250081</v>
      </c>
      <c r="N151" s="43">
        <f t="shared" si="271"/>
        <v>908.45502945604278</v>
      </c>
      <c r="O151" s="43">
        <f t="shared" ref="O151:Q151" si="272">O77</f>
        <v>990.32251936285729</v>
      </c>
      <c r="P151" s="43">
        <f t="shared" si="272"/>
        <v>1026.022234994954</v>
      </c>
      <c r="Q151" s="43">
        <f t="shared" si="272"/>
        <v>1050.3618538532887</v>
      </c>
      <c r="R151" s="43">
        <f t="shared" ref="R151:S151" si="273">R77</f>
        <v>1088.1596977058784</v>
      </c>
      <c r="S151" s="43">
        <f t="shared" si="273"/>
        <v>1081.4915664175539</v>
      </c>
    </row>
    <row r="152" spans="1:19" outlineLevel="1" x14ac:dyDescent="0.15">
      <c r="A152" s="8" t="s">
        <v>29</v>
      </c>
      <c r="B152" s="8"/>
      <c r="C152" s="8"/>
      <c r="D152" s="8"/>
      <c r="E152" s="44">
        <f t="shared" si="267"/>
        <v>691</v>
      </c>
      <c r="F152" s="44">
        <f t="shared" si="267"/>
        <v>1723</v>
      </c>
      <c r="G152" s="44">
        <f t="shared" si="267"/>
        <v>3434</v>
      </c>
      <c r="H152" s="44">
        <f t="shared" si="267"/>
        <v>880</v>
      </c>
      <c r="I152" s="44">
        <f t="shared" si="267"/>
        <v>2934</v>
      </c>
      <c r="J152" s="44">
        <f t="shared" si="267"/>
        <v>2195.5179166403886</v>
      </c>
      <c r="K152" s="44">
        <f t="shared" ref="K152:N152" si="274">K78</f>
        <v>2490.4549203226738</v>
      </c>
      <c r="L152" s="44">
        <f t="shared" si="274"/>
        <v>2802.3971568136653</v>
      </c>
      <c r="M152" s="44">
        <f t="shared" si="274"/>
        <v>3150.1385337403549</v>
      </c>
      <c r="N152" s="44">
        <f t="shared" si="274"/>
        <v>3486.4595573887423</v>
      </c>
      <c r="O152" s="44">
        <f t="shared" ref="O152:Q152" si="275">O78</f>
        <v>3800.6497851603312</v>
      </c>
      <c r="P152" s="44">
        <f t="shared" si="275"/>
        <v>4071.8348319065867</v>
      </c>
      <c r="Q152" s="44">
        <f t="shared" si="275"/>
        <v>4291.1370501726815</v>
      </c>
      <c r="R152" s="44">
        <f t="shared" ref="R152:S152" si="276">R78</f>
        <v>4445.5559559787798</v>
      </c>
      <c r="S152" s="44">
        <f t="shared" si="276"/>
        <v>4565.5911787427385</v>
      </c>
    </row>
    <row r="153" spans="1:19" outlineLevel="1" x14ac:dyDescent="0.15">
      <c r="A153" s="2" t="s">
        <v>28</v>
      </c>
      <c r="E153" s="58">
        <f>SUM(E150:E152)</f>
        <v>3591</v>
      </c>
      <c r="F153" s="58">
        <f t="shared" ref="F153:I153" si="277">SUM(F150:F152)</f>
        <v>4689</v>
      </c>
      <c r="G153" s="58">
        <f t="shared" si="277"/>
        <v>6308</v>
      </c>
      <c r="H153" s="58">
        <f t="shared" si="277"/>
        <v>3671</v>
      </c>
      <c r="I153" s="58">
        <f t="shared" si="277"/>
        <v>6750</v>
      </c>
      <c r="J153" s="58">
        <f>SUM(J150:J152)</f>
        <v>5527.4005085518511</v>
      </c>
      <c r="K153" s="58">
        <f t="shared" ref="K153:N153" si="278">SUM(K150:K152)</f>
        <v>6269.929153746798</v>
      </c>
      <c r="L153" s="58">
        <f t="shared" si="278"/>
        <v>7043.6500280052387</v>
      </c>
      <c r="M153" s="58">
        <f t="shared" si="278"/>
        <v>7903.3255192079996</v>
      </c>
      <c r="N153" s="58">
        <f t="shared" si="278"/>
        <v>8747.1152447634613</v>
      </c>
      <c r="O153" s="58">
        <f t="shared" ref="O153:Q153" si="279">SUM(O150:O152)</f>
        <v>9535.3814173259034</v>
      </c>
      <c r="P153" s="58">
        <f t="shared" si="279"/>
        <v>10166.902814421735</v>
      </c>
      <c r="Q153" s="58">
        <f t="shared" si="279"/>
        <v>10698.190753039833</v>
      </c>
      <c r="R153" s="58">
        <f t="shared" ref="R153:S153" si="280">SUM(R150:R152)</f>
        <v>11083.170978764119</v>
      </c>
      <c r="S153" s="58">
        <f t="shared" si="280"/>
        <v>11346.379870176763</v>
      </c>
    </row>
    <row r="154" spans="1:19" outlineLevel="1" x14ac:dyDescent="0.15"/>
    <row r="155" spans="1:19" outlineLevel="1" x14ac:dyDescent="0.15">
      <c r="A155" s="6" t="s">
        <v>35</v>
      </c>
    </row>
    <row r="156" spans="1:19" outlineLevel="1" x14ac:dyDescent="0.15">
      <c r="A156" s="2" t="s">
        <v>36</v>
      </c>
      <c r="E156" s="43">
        <f t="shared" ref="E156:J156" si="281">E93</f>
        <v>4861</v>
      </c>
      <c r="F156" s="43">
        <f t="shared" si="281"/>
        <v>5800</v>
      </c>
      <c r="G156" s="43">
        <f t="shared" si="281"/>
        <v>5723</v>
      </c>
      <c r="H156" s="43">
        <f t="shared" si="281"/>
        <v>5091</v>
      </c>
      <c r="I156" s="43">
        <f t="shared" si="281"/>
        <v>6285</v>
      </c>
      <c r="J156" s="43">
        <f t="shared" si="281"/>
        <v>6327.3287702577472</v>
      </c>
      <c r="K156" s="43">
        <f t="shared" ref="K156:N156" si="282">K93</f>
        <v>7177.3165452006933</v>
      </c>
      <c r="L156" s="43">
        <f t="shared" si="282"/>
        <v>8054.2457825422152</v>
      </c>
      <c r="M156" s="43">
        <f t="shared" si="282"/>
        <v>8785.0881958707087</v>
      </c>
      <c r="N156" s="43">
        <f t="shared" si="282"/>
        <v>9723.0183291745325</v>
      </c>
      <c r="O156" s="43">
        <f t="shared" ref="O156:Q156" si="283">O93</f>
        <v>10599.230226426167</v>
      </c>
      <c r="P156" s="43">
        <f t="shared" si="283"/>
        <v>10981.317372385429</v>
      </c>
      <c r="Q156" s="43">
        <f t="shared" si="283"/>
        <v>11241.81960156722</v>
      </c>
      <c r="R156" s="43">
        <f t="shared" ref="R156:S156" si="284">R93</f>
        <v>11646.362607732379</v>
      </c>
      <c r="S156" s="43">
        <f t="shared" si="284"/>
        <v>11574.994889314286</v>
      </c>
    </row>
    <row r="157" spans="1:19" outlineLevel="1" x14ac:dyDescent="0.15">
      <c r="A157" s="8" t="s">
        <v>38</v>
      </c>
      <c r="B157" s="8"/>
      <c r="C157" s="8"/>
      <c r="D157" s="8"/>
      <c r="E157" s="44">
        <f t="shared" ref="E157:J157" si="285">E95</f>
        <v>387</v>
      </c>
      <c r="F157" s="44">
        <f t="shared" si="285"/>
        <v>922</v>
      </c>
      <c r="G157" s="44">
        <f t="shared" si="285"/>
        <v>115</v>
      </c>
      <c r="H157" s="44">
        <f t="shared" si="285"/>
        <v>692</v>
      </c>
      <c r="I157" s="44">
        <f t="shared" si="285"/>
        <v>221</v>
      </c>
      <c r="J157" s="44">
        <f t="shared" si="285"/>
        <v>531.21564999999998</v>
      </c>
      <c r="K157" s="44">
        <f t="shared" ref="K157:N157" si="286">K95</f>
        <v>602.57701350000002</v>
      </c>
      <c r="L157" s="44">
        <f t="shared" si="286"/>
        <v>678.05287122999994</v>
      </c>
      <c r="M157" s="44">
        <f t="shared" si="286"/>
        <v>762.19049551260014</v>
      </c>
      <c r="N157" s="44">
        <f t="shared" si="286"/>
        <v>843.56491283433627</v>
      </c>
      <c r="O157" s="44">
        <f t="shared" ref="O157:Q157" si="287">O95</f>
        <v>919.58468238590046</v>
      </c>
      <c r="P157" s="44">
        <f t="shared" si="287"/>
        <v>985.19915074698383</v>
      </c>
      <c r="Q157" s="44">
        <f t="shared" si="287"/>
        <v>1038.2603303163723</v>
      </c>
      <c r="R157" s="44">
        <f t="shared" ref="R157:S157" si="288">R95</f>
        <v>1075.6226942480673</v>
      </c>
      <c r="S157" s="44">
        <f t="shared" si="288"/>
        <v>1104.6657680486333</v>
      </c>
    </row>
    <row r="158" spans="1:19" outlineLevel="1" x14ac:dyDescent="0.15">
      <c r="A158" s="2" t="s">
        <v>39</v>
      </c>
      <c r="E158" s="58">
        <f>SUM(E156:E157)</f>
        <v>5248</v>
      </c>
      <c r="F158" s="58">
        <f t="shared" ref="F158:N158" si="289">SUM(F156:F157)</f>
        <v>6722</v>
      </c>
      <c r="G158" s="58">
        <f t="shared" si="289"/>
        <v>5838</v>
      </c>
      <c r="H158" s="58">
        <f t="shared" si="289"/>
        <v>5783</v>
      </c>
      <c r="I158" s="58">
        <f t="shared" si="289"/>
        <v>6506</v>
      </c>
      <c r="J158" s="58">
        <f t="shared" si="289"/>
        <v>6858.5444202577473</v>
      </c>
      <c r="K158" s="58">
        <f t="shared" si="289"/>
        <v>7779.8935587006936</v>
      </c>
      <c r="L158" s="58">
        <f t="shared" si="289"/>
        <v>8732.2986537722154</v>
      </c>
      <c r="M158" s="58">
        <f t="shared" si="289"/>
        <v>9547.2786913833079</v>
      </c>
      <c r="N158" s="58">
        <f t="shared" si="289"/>
        <v>10566.583242008868</v>
      </c>
      <c r="O158" s="58">
        <f t="shared" ref="O158:Q158" si="290">SUM(O156:O157)</f>
        <v>11518.814908812068</v>
      </c>
      <c r="P158" s="58">
        <f t="shared" si="290"/>
        <v>11966.516523132414</v>
      </c>
      <c r="Q158" s="58">
        <f t="shared" si="290"/>
        <v>12280.079931883593</v>
      </c>
      <c r="R158" s="58">
        <f t="shared" ref="R158:S158" si="291">SUM(R156:R157)</f>
        <v>12721.985301980447</v>
      </c>
      <c r="S158" s="58">
        <f t="shared" si="291"/>
        <v>12679.66065736292</v>
      </c>
    </row>
    <row r="159" spans="1:19" outlineLevel="1" x14ac:dyDescent="0.15"/>
    <row r="160" spans="1:19" outlineLevel="1" x14ac:dyDescent="0.15">
      <c r="A160" s="2" t="s">
        <v>63</v>
      </c>
      <c r="E160" s="43">
        <f>E153-E158</f>
        <v>-1657</v>
      </c>
      <c r="F160" s="43">
        <f t="shared" ref="F160:I160" si="292">F153-F158</f>
        <v>-2033</v>
      </c>
      <c r="G160" s="43">
        <f t="shared" si="292"/>
        <v>470</v>
      </c>
      <c r="H160" s="43">
        <f t="shared" si="292"/>
        <v>-2112</v>
      </c>
      <c r="I160" s="43">
        <f t="shared" si="292"/>
        <v>244</v>
      </c>
      <c r="J160" s="43">
        <f>J153-J158</f>
        <v>-1331.1439117058962</v>
      </c>
      <c r="K160" s="43">
        <f>K153-K158</f>
        <v>-1509.9644049538956</v>
      </c>
      <c r="L160" s="43">
        <f>L153-L158</f>
        <v>-1688.6486257669767</v>
      </c>
      <c r="M160" s="43">
        <f>M153-M158</f>
        <v>-1643.9531721753083</v>
      </c>
      <c r="N160" s="43">
        <f>N153-N158</f>
        <v>-1819.4679972454069</v>
      </c>
      <c r="O160" s="43">
        <f t="shared" ref="O160:Q160" si="293">O153-O158</f>
        <v>-1983.4334914861647</v>
      </c>
      <c r="P160" s="43">
        <f t="shared" si="293"/>
        <v>-1799.6137087106781</v>
      </c>
      <c r="Q160" s="43">
        <f t="shared" si="293"/>
        <v>-1581.8891788437595</v>
      </c>
      <c r="R160" s="43">
        <f t="shared" ref="R160:S160" si="294">R153-R158</f>
        <v>-1638.8143232163275</v>
      </c>
      <c r="S160" s="43">
        <f t="shared" si="294"/>
        <v>-1333.2807871861569</v>
      </c>
    </row>
    <row r="161" spans="1:19" outlineLevel="1" x14ac:dyDescent="0.15">
      <c r="A161" s="2" t="s">
        <v>64</v>
      </c>
      <c r="F161" s="43">
        <f>F160-E160</f>
        <v>-376</v>
      </c>
      <c r="G161" s="43">
        <f t="shared" ref="G161:I161" si="295">G160-F160</f>
        <v>2503</v>
      </c>
      <c r="H161" s="43">
        <f t="shared" si="295"/>
        <v>-2582</v>
      </c>
      <c r="I161" s="43">
        <f t="shared" si="295"/>
        <v>2356</v>
      </c>
      <c r="J161" s="43">
        <f>J160-I160</f>
        <v>-1575.1439117058962</v>
      </c>
      <c r="K161" s="43">
        <f t="shared" ref="K161:N161" si="296">K160-J160</f>
        <v>-178.82049324799937</v>
      </c>
      <c r="L161" s="43">
        <f t="shared" si="296"/>
        <v>-178.68422081308108</v>
      </c>
      <c r="M161" s="43">
        <f t="shared" si="296"/>
        <v>44.695453591668411</v>
      </c>
      <c r="N161" s="43">
        <f t="shared" si="296"/>
        <v>-175.5148250700986</v>
      </c>
      <c r="O161" s="43">
        <f t="shared" ref="O161" si="297">O160-N160</f>
        <v>-163.96549424075783</v>
      </c>
      <c r="P161" s="43">
        <f t="shared" ref="P161" si="298">P160-O160</f>
        <v>183.8197827754866</v>
      </c>
      <c r="Q161" s="43">
        <f t="shared" ref="Q161" si="299">Q160-P160</f>
        <v>217.7245298669186</v>
      </c>
      <c r="R161" s="43">
        <f t="shared" ref="R161" si="300">R160-Q160</f>
        <v>-56.925144372567956</v>
      </c>
      <c r="S161" s="43">
        <f t="shared" ref="S161" si="301">S160-R160</f>
        <v>305.53353603017058</v>
      </c>
    </row>
    <row r="162" spans="1:19" outlineLevel="1" x14ac:dyDescent="0.15"/>
    <row r="163" spans="1:19" outlineLevel="1" x14ac:dyDescent="0.15"/>
    <row r="164" spans="1:19" outlineLevel="1" x14ac:dyDescent="0.15">
      <c r="A164" s="6" t="s">
        <v>66</v>
      </c>
    </row>
    <row r="165" spans="1:19" outlineLevel="1" x14ac:dyDescent="0.15">
      <c r="A165" s="2" t="s">
        <v>176</v>
      </c>
      <c r="F165" s="43">
        <f>E166</f>
        <v>43511</v>
      </c>
      <c r="G165" s="43">
        <f t="shared" ref="G165:N165" si="302">F166</f>
        <v>50241</v>
      </c>
      <c r="H165" s="43">
        <f t="shared" si="302"/>
        <v>50431</v>
      </c>
      <c r="I165" s="43">
        <f t="shared" si="302"/>
        <v>50042</v>
      </c>
      <c r="J165" s="43">
        <f t="shared" si="302"/>
        <v>53195</v>
      </c>
      <c r="K165" s="43">
        <f t="shared" si="302"/>
        <v>56270.385096746373</v>
      </c>
      <c r="L165" s="43">
        <f t="shared" si="302"/>
        <v>63829.521212510095</v>
      </c>
      <c r="M165" s="43">
        <f t="shared" si="302"/>
        <v>71824.495720460574</v>
      </c>
      <c r="N165" s="43">
        <f t="shared" si="302"/>
        <v>80736.990146231474</v>
      </c>
      <c r="O165" s="43">
        <f t="shared" ref="O165" si="303">N166</f>
        <v>89356.78476206676</v>
      </c>
      <c r="P165" s="43">
        <f t="shared" ref="P165" si="304">O166</f>
        <v>94834.537419086861</v>
      </c>
      <c r="Q165" s="43">
        <f t="shared" ref="Q165" si="305">P166</f>
        <v>98786.343646690089</v>
      </c>
      <c r="R165" s="43">
        <f t="shared" ref="R165" si="306">Q166</f>
        <v>101140.35291458195</v>
      </c>
      <c r="S165" s="43">
        <f t="shared" ref="S165" si="307">R166</f>
        <v>101706.73594695039</v>
      </c>
    </row>
    <row r="166" spans="1:19" outlineLevel="1" x14ac:dyDescent="0.15">
      <c r="A166" s="8" t="s">
        <v>175</v>
      </c>
      <c r="B166" s="8"/>
      <c r="C166" s="8"/>
      <c r="D166" s="8"/>
      <c r="E166" s="43">
        <f t="shared" ref="E166:N166" si="308">(E94+E99)</f>
        <v>43511</v>
      </c>
      <c r="F166" s="44">
        <f t="shared" si="308"/>
        <v>50241</v>
      </c>
      <c r="G166" s="44">
        <f t="shared" si="308"/>
        <v>50431</v>
      </c>
      <c r="H166" s="44">
        <f t="shared" si="308"/>
        <v>50042</v>
      </c>
      <c r="I166" s="44">
        <f t="shared" si="308"/>
        <v>53195</v>
      </c>
      <c r="J166" s="44">
        <f t="shared" si="308"/>
        <v>56270.385096746373</v>
      </c>
      <c r="K166" s="44">
        <f t="shared" si="308"/>
        <v>63829.521212510095</v>
      </c>
      <c r="L166" s="44">
        <f t="shared" si="308"/>
        <v>71824.495720460574</v>
      </c>
      <c r="M166" s="44">
        <f t="shared" si="308"/>
        <v>80736.990146231474</v>
      </c>
      <c r="N166" s="44">
        <f t="shared" si="308"/>
        <v>89356.78476206676</v>
      </c>
      <c r="O166" s="44">
        <f t="shared" ref="O166:Q166" si="309">(O94+O99)</f>
        <v>94834.537419086861</v>
      </c>
      <c r="P166" s="44">
        <f t="shared" si="309"/>
        <v>98786.343646690089</v>
      </c>
      <c r="Q166" s="44">
        <f t="shared" si="309"/>
        <v>101140.35291458195</v>
      </c>
      <c r="R166" s="44">
        <f t="shared" ref="R166:S166" si="310">(R94+R99)</f>
        <v>101706.73594695039</v>
      </c>
      <c r="S166" s="44">
        <f t="shared" si="310"/>
        <v>101296.74914938975</v>
      </c>
    </row>
    <row r="167" spans="1:19" outlineLevel="1" x14ac:dyDescent="0.15">
      <c r="A167" s="10" t="s">
        <v>67</v>
      </c>
      <c r="B167" s="10"/>
      <c r="C167" s="10"/>
      <c r="D167" s="10"/>
      <c r="E167" s="79">
        <f>E58</f>
        <v>1885</v>
      </c>
      <c r="F167" s="79">
        <f>F58</f>
        <v>2189</v>
      </c>
      <c r="G167" s="79">
        <f>G58</f>
        <v>1873</v>
      </c>
      <c r="H167" s="79">
        <f>H58</f>
        <v>2015</v>
      </c>
      <c r="I167" s="79">
        <f>I58</f>
        <v>2160</v>
      </c>
      <c r="J167" s="81">
        <f>AVERAGE(J165:J166)*J168</f>
        <v>2269.5370768701891</v>
      </c>
      <c r="K167" s="81">
        <f t="shared" ref="K167:N167" si="311">AVERAGE(K165:K166)*K168</f>
        <v>2411.4789628695316</v>
      </c>
      <c r="L167" s="81">
        <f t="shared" si="311"/>
        <v>2773.7764114726174</v>
      </c>
      <c r="M167" s="81">
        <f t="shared" si="311"/>
        <v>3134.4529768285147</v>
      </c>
      <c r="N167" s="81">
        <f t="shared" si="311"/>
        <v>3478.621833424228</v>
      </c>
      <c r="O167" s="81">
        <f t="shared" ref="O167:Q167" si="312">AVERAGE(O165:O166)*O168</f>
        <v>3753.9610038259084</v>
      </c>
      <c r="P167" s="81">
        <f t="shared" si="312"/>
        <v>3960.7527713622608</v>
      </c>
      <c r="Q167" s="81">
        <f t="shared" si="312"/>
        <v>4090.1855296263557</v>
      </c>
      <c r="R167" s="81">
        <f t="shared" ref="R167:S167" si="313">AVERAGE(R165:R166)*R168</f>
        <v>4145.5161611540652</v>
      </c>
      <c r="S167" s="81">
        <f t="shared" si="313"/>
        <v>4147.9742457243683</v>
      </c>
    </row>
    <row r="168" spans="1:19" outlineLevel="1" x14ac:dyDescent="0.15">
      <c r="A168" s="2" t="s">
        <v>177</v>
      </c>
      <c r="F168" s="33">
        <f>F167/AVERAGE(F165:F166)</f>
        <v>4.6697670449697075E-2</v>
      </c>
      <c r="G168" s="33">
        <f t="shared" ref="G168:I168" si="314">G167/AVERAGE(G165:G166)</f>
        <v>3.7209949141767326E-2</v>
      </c>
      <c r="H168" s="33">
        <f t="shared" si="314"/>
        <v>4.0110278383247239E-2</v>
      </c>
      <c r="I168" s="33">
        <f t="shared" si="314"/>
        <v>4.1845462382672879E-2</v>
      </c>
      <c r="J168" s="80">
        <f>AVERAGE(F168:I168)</f>
        <v>4.1465840089346132E-2</v>
      </c>
      <c r="K168" s="80">
        <f t="shared" ref="K168:N168" si="315">AVERAGE(G168:J168)</f>
        <v>4.015788249925839E-2</v>
      </c>
      <c r="L168" s="80">
        <f t="shared" si="315"/>
        <v>4.089486583863116E-2</v>
      </c>
      <c r="M168" s="80">
        <f t="shared" si="315"/>
        <v>4.1091012702477142E-2</v>
      </c>
      <c r="N168" s="80">
        <f t="shared" si="315"/>
        <v>4.0902400282428204E-2</v>
      </c>
      <c r="O168" s="80">
        <f t="shared" ref="O168" si="316">AVERAGE(K168:N168)</f>
        <v>4.0761540330698724E-2</v>
      </c>
      <c r="P168" s="80">
        <f t="shared" ref="P168" si="317">AVERAGE(L168:O168)</f>
        <v>4.0912454788558809E-2</v>
      </c>
      <c r="Q168" s="80">
        <f t="shared" ref="Q168" si="318">AVERAGE(M168:P168)</f>
        <v>4.0916852026040722E-2</v>
      </c>
      <c r="R168" s="80">
        <f t="shared" ref="R168" si="319">AVERAGE(N168:Q168)</f>
        <v>4.0873311856931618E-2</v>
      </c>
      <c r="S168" s="80">
        <f t="shared" ref="S168" si="320">AVERAGE(O168:R168)</f>
        <v>4.086603975055747E-2</v>
      </c>
    </row>
    <row r="169" spans="1:19" outlineLevel="1" x14ac:dyDescent="0.15"/>
    <row r="171" spans="1:19" ht="18.5" customHeight="1" x14ac:dyDescent="0.2">
      <c r="A171" s="1" t="s">
        <v>9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outlineLevel="1" x14ac:dyDescent="0.15"/>
    <row r="173" spans="1:19" outlineLevel="1" x14ac:dyDescent="0.15">
      <c r="A173" s="6" t="s">
        <v>68</v>
      </c>
      <c r="J173" s="11"/>
      <c r="K173" s="11"/>
    </row>
    <row r="174" spans="1:19" outlineLevel="1" x14ac:dyDescent="0.15">
      <c r="A174" s="2" t="s">
        <v>20</v>
      </c>
      <c r="F174" s="33">
        <f t="shared" ref="F174:N174" si="321">F49/E49-1</f>
        <v>0.14323945456862486</v>
      </c>
      <c r="G174" s="33">
        <f t="shared" si="321"/>
        <v>6.9111581763459995E-2</v>
      </c>
      <c r="H174" s="33">
        <f t="shared" si="321"/>
        <v>6.5165259097070161E-2</v>
      </c>
      <c r="I174" s="33">
        <f t="shared" si="321"/>
        <v>1.3801879404855111E-2</v>
      </c>
      <c r="J174" s="37">
        <f t="shared" si="321"/>
        <v>0.14999999999999991</v>
      </c>
      <c r="K174" s="37">
        <f t="shared" si="321"/>
        <v>0.14999999999999991</v>
      </c>
      <c r="L174" s="37">
        <f t="shared" si="321"/>
        <v>0.14000000000000012</v>
      </c>
      <c r="M174" s="37">
        <f t="shared" si="321"/>
        <v>0.14000000000000012</v>
      </c>
      <c r="N174" s="37">
        <f t="shared" si="321"/>
        <v>0.12000000000000011</v>
      </c>
      <c r="O174" s="37">
        <f t="shared" ref="O174:O177" si="322">O49/N49-1</f>
        <v>0.10000000000000009</v>
      </c>
      <c r="P174" s="37">
        <f t="shared" ref="P174:P177" si="323">P49/O49-1</f>
        <v>8.0000000000000071E-2</v>
      </c>
      <c r="Q174" s="37">
        <f t="shared" ref="Q174:Q177" si="324">Q49/P49-1</f>
        <v>6.0000000000000053E-2</v>
      </c>
      <c r="R174" s="37">
        <f t="shared" ref="R174:R177" si="325">R49/Q49-1</f>
        <v>4.0000000000000036E-2</v>
      </c>
      <c r="S174" s="37">
        <f t="shared" ref="S174:S177" si="326">S49/R49-1</f>
        <v>3.0000000000000027E-2</v>
      </c>
    </row>
    <row r="175" spans="1:19" outlineLevel="1" x14ac:dyDescent="0.15">
      <c r="A175" s="2" t="s">
        <v>93</v>
      </c>
      <c r="F175" s="33">
        <f t="shared" ref="F175:N175" si="327">F50/E50-1</f>
        <v>0.28621204579392723</v>
      </c>
      <c r="G175" s="33">
        <f t="shared" si="327"/>
        <v>0.1141640866873066</v>
      </c>
      <c r="H175" s="33">
        <f t="shared" si="327"/>
        <v>-0.1764501563042723</v>
      </c>
      <c r="I175" s="33">
        <f t="shared" si="327"/>
        <v>-2.7414592998734721E-2</v>
      </c>
      <c r="J175" s="37">
        <f t="shared" si="327"/>
        <v>4.0000000000000036E-2</v>
      </c>
      <c r="K175" s="37">
        <f t="shared" si="327"/>
        <v>4.0000000000000036E-2</v>
      </c>
      <c r="L175" s="37">
        <f t="shared" si="327"/>
        <v>3.0000000000000027E-2</v>
      </c>
      <c r="M175" s="37">
        <f t="shared" si="327"/>
        <v>2.0000000000000018E-2</v>
      </c>
      <c r="N175" s="37">
        <f t="shared" si="327"/>
        <v>1.0000000000000009E-2</v>
      </c>
      <c r="O175" s="37">
        <f t="shared" si="322"/>
        <v>1.0000000000000009E-2</v>
      </c>
      <c r="P175" s="37">
        <f t="shared" si="323"/>
        <v>-4.9999999999998934E-3</v>
      </c>
      <c r="Q175" s="37">
        <f t="shared" si="324"/>
        <v>-4.9999999999998934E-3</v>
      </c>
      <c r="R175" s="37">
        <f t="shared" si="325"/>
        <v>-5.0000000000000044E-3</v>
      </c>
      <c r="S175" s="37">
        <f t="shared" si="326"/>
        <v>-5.0000000000001155E-3</v>
      </c>
    </row>
    <row r="176" spans="1:19" outlineLevel="1" x14ac:dyDescent="0.15">
      <c r="A176" s="2" t="s">
        <v>179</v>
      </c>
      <c r="F176" s="33">
        <f t="shared" ref="F176:N176" si="328">F51/E51-1</f>
        <v>-0.40885054272195942</v>
      </c>
      <c r="G176" s="33">
        <f t="shared" si="328"/>
        <v>-0.63041431261770242</v>
      </c>
      <c r="H176" s="33">
        <f t="shared" si="328"/>
        <v>-0.47515923566878981</v>
      </c>
      <c r="I176" s="33">
        <f t="shared" si="328"/>
        <v>0.75728155339805836</v>
      </c>
      <c r="J176" s="37">
        <f t="shared" si="328"/>
        <v>0.19999999999999996</v>
      </c>
      <c r="K176" s="37">
        <f t="shared" si="328"/>
        <v>0.17999999999999994</v>
      </c>
      <c r="L176" s="37">
        <f t="shared" si="328"/>
        <v>0.15999999999999992</v>
      </c>
      <c r="M176" s="37">
        <f t="shared" si="328"/>
        <v>0.14000000000000012</v>
      </c>
      <c r="N176" s="37">
        <f t="shared" si="328"/>
        <v>0.12000000000000011</v>
      </c>
      <c r="O176" s="37">
        <f t="shared" si="322"/>
        <v>0.10000000000000009</v>
      </c>
      <c r="P176" s="37">
        <f t="shared" si="323"/>
        <v>8.0000000000000071E-2</v>
      </c>
      <c r="Q176" s="37">
        <f t="shared" si="324"/>
        <v>6.0000000000000053E-2</v>
      </c>
      <c r="R176" s="37">
        <f t="shared" si="325"/>
        <v>4.0000000000000036E-2</v>
      </c>
      <c r="S176" s="37">
        <f t="shared" si="326"/>
        <v>3.0000000000000027E-2</v>
      </c>
    </row>
    <row r="177" spans="1:20" outlineLevel="1" x14ac:dyDescent="0.15">
      <c r="A177" s="6" t="s">
        <v>10</v>
      </c>
      <c r="B177" s="6"/>
      <c r="C177" s="6"/>
      <c r="D177" s="6"/>
      <c r="E177" s="6"/>
      <c r="F177" s="48">
        <f t="shared" ref="F177:N177" si="329">F52/E52-1</f>
        <v>1.7101643244850973E-2</v>
      </c>
      <c r="G177" s="48">
        <f t="shared" si="329"/>
        <v>-3.0996417866803183E-2</v>
      </c>
      <c r="H177" s="48">
        <f t="shared" si="329"/>
        <v>-1.9313466616371233E-2</v>
      </c>
      <c r="I177" s="48">
        <f t="shared" si="329"/>
        <v>2.9848449880760075E-2</v>
      </c>
      <c r="J177" s="82">
        <f t="shared" si="329"/>
        <v>0.13375588257264504</v>
      </c>
      <c r="K177" s="82">
        <f t="shared" si="329"/>
        <v>0.13433595847562096</v>
      </c>
      <c r="L177" s="82">
        <f t="shared" si="329"/>
        <v>0.12525512264665895</v>
      </c>
      <c r="M177" s="82">
        <f t="shared" si="329"/>
        <v>0.12408711451951082</v>
      </c>
      <c r="N177" s="82">
        <f t="shared" si="329"/>
        <v>0.10676388357087685</v>
      </c>
      <c r="O177" s="82">
        <f t="shared" si="322"/>
        <v>9.0117273010018373E-2</v>
      </c>
      <c r="P177" s="82">
        <f t="shared" si="323"/>
        <v>7.1352285023760897E-2</v>
      </c>
      <c r="Q177" s="82">
        <f t="shared" si="324"/>
        <v>5.3858328571596115E-2</v>
      </c>
      <c r="R177" s="82">
        <f t="shared" si="325"/>
        <v>3.5985545089939119E-2</v>
      </c>
      <c r="S177" s="82">
        <f t="shared" si="326"/>
        <v>2.7001172396114992E-2</v>
      </c>
      <c r="T177" s="11"/>
    </row>
    <row r="178" spans="1:20" outlineLevel="1" x14ac:dyDescent="0.15">
      <c r="A178" s="2" t="s">
        <v>13</v>
      </c>
      <c r="F178" s="33">
        <f t="shared" ref="F178:N178" si="330">(F57+F56)/(E57+E56)-1</f>
        <v>0.35520149953139635</v>
      </c>
      <c r="G178" s="33">
        <f t="shared" si="330"/>
        <v>0.1410788381742738</v>
      </c>
      <c r="H178" s="33">
        <f t="shared" si="330"/>
        <v>1.7454545454545389E-2</v>
      </c>
      <c r="I178" s="33">
        <f t="shared" si="330"/>
        <v>-0.32296878722897304</v>
      </c>
      <c r="J178" s="37">
        <f t="shared" si="330"/>
        <v>0.75993594051093183</v>
      </c>
      <c r="K178" s="37">
        <f t="shared" si="330"/>
        <v>0.13433595847562096</v>
      </c>
      <c r="L178" s="37">
        <f t="shared" si="330"/>
        <v>0.12525512264665895</v>
      </c>
      <c r="M178" s="37">
        <f t="shared" si="330"/>
        <v>0.14288642076019054</v>
      </c>
      <c r="N178" s="37">
        <f t="shared" si="330"/>
        <v>0.10676388357087685</v>
      </c>
      <c r="O178" s="37">
        <f t="shared" ref="O178" si="331">(O57+O56)/(N57+N56)-1</f>
        <v>9.0117273010018373E-2</v>
      </c>
      <c r="P178" s="37">
        <f t="shared" ref="P178" si="332">(P57+P56)/(O57+O56)-1</f>
        <v>8.7342617636055664E-2</v>
      </c>
      <c r="Q178" s="37">
        <f t="shared" ref="Q178" si="333">(Q57+Q56)/(P57+P56)-1</f>
        <v>6.9356245168237241E-2</v>
      </c>
      <c r="R178" s="37">
        <f t="shared" ref="R178" si="334">(R57+R56)/(Q57+Q56)-1</f>
        <v>3.5985545089939341E-2</v>
      </c>
      <c r="S178" s="37">
        <f t="shared" ref="S178" si="335">(S57+S56)/(R57+R56)-1</f>
        <v>4.1885247358377731E-2</v>
      </c>
    </row>
    <row r="179" spans="1:20" outlineLevel="1" x14ac:dyDescent="0.15">
      <c r="A179" s="2" t="s">
        <v>15</v>
      </c>
      <c r="F179" s="33">
        <f t="shared" ref="F179:N179" si="336">F57/E57-1</f>
        <v>0.48780487804878048</v>
      </c>
      <c r="G179" s="33">
        <f t="shared" si="336"/>
        <v>0.18565573770491794</v>
      </c>
      <c r="H179" s="33">
        <f t="shared" si="336"/>
        <v>3.1109574835810339E-3</v>
      </c>
      <c r="I179" s="33">
        <f t="shared" si="336"/>
        <v>-0.45537560303239144</v>
      </c>
      <c r="J179" s="37">
        <f t="shared" si="336"/>
        <v>1.3016259328241429</v>
      </c>
      <c r="K179" s="37">
        <f t="shared" si="336"/>
        <v>0.13433595847562096</v>
      </c>
      <c r="L179" s="37">
        <f t="shared" si="336"/>
        <v>0.12525512264665895</v>
      </c>
      <c r="M179" s="37">
        <f t="shared" si="336"/>
        <v>0.14993095792874023</v>
      </c>
      <c r="N179" s="37">
        <f t="shared" si="336"/>
        <v>0.10676388357087685</v>
      </c>
      <c r="O179" s="37">
        <f t="shared" ref="O179" si="337">O57/N57-1</f>
        <v>9.0117273010018595E-2</v>
      </c>
      <c r="P179" s="37">
        <f t="shared" ref="P179" si="338">P57/O57-1</f>
        <v>9.3199902462891782E-2</v>
      </c>
      <c r="Q179" s="37">
        <f t="shared" ref="Q179" si="339">Q57/P57-1</f>
        <v>7.4919704030743883E-2</v>
      </c>
      <c r="R179" s="37">
        <f t="shared" ref="R179" si="340">R57/Q57-1</f>
        <v>3.5985545089939119E-2</v>
      </c>
      <c r="S179" s="37">
        <f t="shared" ref="S179" si="341">S57/R57-1</f>
        <v>4.7123658948097669E-2</v>
      </c>
    </row>
    <row r="180" spans="1:20" outlineLevel="1" x14ac:dyDescent="0.15">
      <c r="A180" s="2" t="s">
        <v>18</v>
      </c>
      <c r="F180" s="33">
        <f t="shared" ref="F180:N180" si="342">F66/E66-1</f>
        <v>0.17263224580297742</v>
      </c>
      <c r="G180" s="33">
        <f t="shared" si="342"/>
        <v>0.11831442463533226</v>
      </c>
      <c r="H180" s="33">
        <f t="shared" si="342"/>
        <v>0.114975845410628</v>
      </c>
      <c r="I180" s="33">
        <f t="shared" si="342"/>
        <v>-0.57647313691507795</v>
      </c>
      <c r="J180" s="37">
        <f t="shared" si="342"/>
        <v>1.3960599023101317</v>
      </c>
      <c r="K180" s="37">
        <f t="shared" si="342"/>
        <v>0.1668852445679001</v>
      </c>
      <c r="L180" s="37">
        <f t="shared" si="342"/>
        <v>0.11494111490248327</v>
      </c>
      <c r="M180" s="37">
        <f t="shared" si="342"/>
        <v>0.15840643080003747</v>
      </c>
      <c r="N180" s="37">
        <f t="shared" si="342"/>
        <v>0.10550168750348887</v>
      </c>
      <c r="O180" s="37">
        <f t="shared" ref="O180" si="343">O66/N66-1</f>
        <v>9.4690806449616582E-2</v>
      </c>
      <c r="P180" s="37">
        <f t="shared" ref="P180" si="344">P66/O66-1</f>
        <v>0.10887086297643367</v>
      </c>
      <c r="Q180" s="37">
        <f t="shared" ref="Q180" si="345">Q66/P66-1</f>
        <v>9.1445233165874829E-2</v>
      </c>
      <c r="R180" s="37">
        <f t="shared" ref="R180" si="346">R66/Q66-1</f>
        <v>4.429848561246863E-2</v>
      </c>
      <c r="S180" s="37">
        <f t="shared" ref="S180" si="347">S66/R66-1</f>
        <v>6.3839814582101972E-2</v>
      </c>
    </row>
    <row r="181" spans="1:20" outlineLevel="1" x14ac:dyDescent="0.15">
      <c r="F181" s="33"/>
      <c r="G181" s="33"/>
      <c r="H181" s="33"/>
      <c r="I181" s="33"/>
      <c r="J181" s="37"/>
      <c r="K181" s="37"/>
      <c r="L181" s="37"/>
      <c r="M181" s="37"/>
      <c r="N181" s="37"/>
      <c r="O181" s="37"/>
      <c r="P181" s="37"/>
      <c r="Q181" s="37"/>
      <c r="R181" s="37"/>
      <c r="S181" s="37"/>
    </row>
    <row r="182" spans="1:20" outlineLevel="1" x14ac:dyDescent="0.15">
      <c r="A182" s="6" t="s">
        <v>110</v>
      </c>
      <c r="F182" s="33"/>
      <c r="G182" s="33"/>
      <c r="H182" s="33"/>
      <c r="I182" s="33"/>
      <c r="J182" s="37"/>
      <c r="K182" s="37"/>
      <c r="L182" s="37"/>
      <c r="M182" s="37"/>
      <c r="N182" s="37"/>
      <c r="O182" s="37"/>
      <c r="P182" s="37"/>
      <c r="Q182" s="37"/>
      <c r="R182" s="37"/>
      <c r="S182" s="37"/>
    </row>
    <row r="183" spans="1:20" outlineLevel="1" x14ac:dyDescent="0.15">
      <c r="A183" s="2" t="s">
        <v>20</v>
      </c>
      <c r="E183" s="33">
        <f t="shared" ref="E183:N183" si="348">E49/E$52</f>
        <v>0.58346345453193549</v>
      </c>
      <c r="F183" s="33">
        <f t="shared" si="348"/>
        <v>0.65582279406389354</v>
      </c>
      <c r="G183" s="33">
        <f t="shared" si="348"/>
        <v>0.72357600905318753</v>
      </c>
      <c r="H183" s="33">
        <f t="shared" si="348"/>
        <v>0.78590660820063085</v>
      </c>
      <c r="I183" s="33">
        <f t="shared" si="348"/>
        <v>0.77366101441697166</v>
      </c>
      <c r="J183" s="37">
        <f t="shared" si="348"/>
        <v>0.78474579956369883</v>
      </c>
      <c r="K183" s="37">
        <f t="shared" si="348"/>
        <v>0.79558235173204128</v>
      </c>
      <c r="L183" s="37">
        <f t="shared" si="348"/>
        <v>0.80600733355587895</v>
      </c>
      <c r="M183" s="37">
        <f t="shared" si="348"/>
        <v>0.81741739442183914</v>
      </c>
      <c r="N183" s="37">
        <f t="shared" si="348"/>
        <v>0.82719313066004219</v>
      </c>
      <c r="O183" s="37">
        <f t="shared" ref="O183:Q183" si="349">O49/O$52</f>
        <v>0.83469225399356106</v>
      </c>
      <c r="P183" s="37">
        <f t="shared" si="349"/>
        <v>0.84142970236261083</v>
      </c>
      <c r="Q183" s="37">
        <f t="shared" si="349"/>
        <v>0.84633338307747052</v>
      </c>
      <c r="R183" s="37">
        <f t="shared" ref="R183:S183" si="350">R49/R$52</f>
        <v>0.84961293386014947</v>
      </c>
      <c r="S183" s="37">
        <f t="shared" si="350"/>
        <v>0.85209379053992629</v>
      </c>
    </row>
    <row r="184" spans="1:20" outlineLevel="1" x14ac:dyDescent="0.15">
      <c r="A184" s="2" t="s">
        <v>93</v>
      </c>
      <c r="E184" s="33">
        <f t="shared" ref="E184:N184" si="351">E50/E$52</f>
        <v>0.14937913599524127</v>
      </c>
      <c r="F184" s="33">
        <f t="shared" si="351"/>
        <v>0.18890269756561151</v>
      </c>
      <c r="G184" s="33">
        <f t="shared" si="351"/>
        <v>0.21720105620520558</v>
      </c>
      <c r="H184" s="33">
        <f t="shared" si="351"/>
        <v>0.18239864604969613</v>
      </c>
      <c r="I184" s="33">
        <f t="shared" si="351"/>
        <v>0.17225666691566446</v>
      </c>
      <c r="J184" s="37">
        <f t="shared" si="351"/>
        <v>0.1580119109819148</v>
      </c>
      <c r="K184" s="37">
        <f t="shared" si="351"/>
        <v>0.14487100245153978</v>
      </c>
      <c r="L184" s="37">
        <f t="shared" si="351"/>
        <v>0.13260737900407818</v>
      </c>
      <c r="M184" s="37">
        <f t="shared" si="351"/>
        <v>0.12032833117384872</v>
      </c>
      <c r="N184" s="37">
        <f t="shared" si="351"/>
        <v>0.10980807766646315</v>
      </c>
      <c r="O184" s="37">
        <f t="shared" ref="O184:Q184" si="352">O50/O$52</f>
        <v>0.1017378232498739</v>
      </c>
      <c r="P184" s="37">
        <f t="shared" si="352"/>
        <v>9.4487252744674413E-2</v>
      </c>
      <c r="Q184" s="37">
        <f t="shared" si="352"/>
        <v>8.921010911246402E-2</v>
      </c>
      <c r="R184" s="37">
        <f t="shared" ref="R184:S184" si="353">R50/R$52</f>
        <v>8.5680788682428607E-2</v>
      </c>
      <c r="S184" s="37">
        <f t="shared" si="353"/>
        <v>8.3010990669185478E-2</v>
      </c>
    </row>
    <row r="185" spans="1:20" outlineLevel="1" x14ac:dyDescent="0.15">
      <c r="A185" s="2" t="s">
        <v>21</v>
      </c>
      <c r="E185" s="33">
        <f t="shared" ref="E185:N185" si="354">E51/E$52</f>
        <v>0.26715740947282324</v>
      </c>
      <c r="F185" s="33">
        <f t="shared" si="354"/>
        <v>0.15527450837049492</v>
      </c>
      <c r="G185" s="33">
        <f t="shared" si="354"/>
        <v>5.922293474160694E-2</v>
      </c>
      <c r="H185" s="33">
        <f t="shared" si="354"/>
        <v>3.1694745749673049E-2</v>
      </c>
      <c r="I185" s="33">
        <f t="shared" si="354"/>
        <v>5.4082318667363863E-2</v>
      </c>
      <c r="J185" s="37">
        <f t="shared" si="354"/>
        <v>5.7242289454386371E-2</v>
      </c>
      <c r="K185" s="37">
        <f t="shared" si="354"/>
        <v>5.9546645816418955E-2</v>
      </c>
      <c r="L185" s="37">
        <f t="shared" si="354"/>
        <v>6.1385287440042992E-2</v>
      </c>
      <c r="M185" s="37">
        <f t="shared" si="354"/>
        <v>6.2254274404312089E-2</v>
      </c>
      <c r="N185" s="37">
        <f t="shared" si="354"/>
        <v>6.2998791673494647E-2</v>
      </c>
      <c r="O185" s="37">
        <f t="shared" ref="O185:Q185" si="355">O51/O$52</f>
        <v>6.3569922756564964E-2</v>
      </c>
      <c r="P185" s="37">
        <f t="shared" si="355"/>
        <v>6.4083044892714727E-2</v>
      </c>
      <c r="Q185" s="37">
        <f t="shared" si="355"/>
        <v>6.4456507810065455E-2</v>
      </c>
      <c r="R185" s="37">
        <f t="shared" ref="R185:S185" si="356">R51/R$52</f>
        <v>6.4706277457421912E-2</v>
      </c>
      <c r="S185" s="37">
        <f t="shared" si="356"/>
        <v>6.4895218790888193E-2</v>
      </c>
    </row>
    <row r="186" spans="1:20" outlineLevel="1" x14ac:dyDescent="0.15">
      <c r="F186" s="33"/>
      <c r="G186" s="33"/>
      <c r="H186" s="33"/>
      <c r="I186" s="33"/>
      <c r="J186" s="37"/>
      <c r="K186" s="37"/>
      <c r="L186" s="37"/>
      <c r="M186" s="37"/>
      <c r="N186" s="37"/>
      <c r="O186" s="37"/>
      <c r="P186" s="37"/>
      <c r="Q186" s="37"/>
      <c r="R186" s="37"/>
      <c r="S186" s="37"/>
    </row>
    <row r="187" spans="1:20" outlineLevel="1" x14ac:dyDescent="0.15">
      <c r="A187" s="6" t="s">
        <v>69</v>
      </c>
    </row>
    <row r="188" spans="1:20" outlineLevel="1" x14ac:dyDescent="0.15">
      <c r="A188" s="2" t="s">
        <v>70</v>
      </c>
      <c r="E188" s="33">
        <f t="shared" ref="E188:N188" si="357">E54/E52</f>
        <v>0.66726150643170501</v>
      </c>
      <c r="F188" s="33">
        <f t="shared" si="357"/>
        <v>0.69588420206155421</v>
      </c>
      <c r="G188" s="33">
        <f t="shared" si="357"/>
        <v>0.64994341757827234</v>
      </c>
      <c r="H188" s="33">
        <f t="shared" si="357"/>
        <v>0.64574198015231943</v>
      </c>
      <c r="I188" s="33">
        <f t="shared" si="357"/>
        <v>0.63606483902293265</v>
      </c>
      <c r="J188" s="37">
        <f t="shared" si="357"/>
        <v>0.65897918904935682</v>
      </c>
      <c r="K188" s="37">
        <f t="shared" si="357"/>
        <v>0.65897918904935671</v>
      </c>
      <c r="L188" s="37">
        <f t="shared" si="357"/>
        <v>0.65897918904935671</v>
      </c>
      <c r="M188" s="37">
        <f t="shared" si="357"/>
        <v>0.67</v>
      </c>
      <c r="N188" s="37">
        <f t="shared" si="357"/>
        <v>0.67</v>
      </c>
      <c r="O188" s="37">
        <f t="shared" ref="O188:Q188" si="358">O54/O52</f>
        <v>0.67</v>
      </c>
      <c r="P188" s="37">
        <f t="shared" si="358"/>
        <v>0.68</v>
      </c>
      <c r="Q188" s="37">
        <f t="shared" si="358"/>
        <v>0.69</v>
      </c>
      <c r="R188" s="37">
        <f t="shared" ref="R188:S188" si="359">R54/R52</f>
        <v>0.69000000000000006</v>
      </c>
      <c r="S188" s="37">
        <f t="shared" si="359"/>
        <v>0.70000000000000007</v>
      </c>
    </row>
    <row r="189" spans="1:20" outlineLevel="1" x14ac:dyDescent="0.15">
      <c r="A189" s="2" t="s">
        <v>13</v>
      </c>
      <c r="E189" s="33">
        <f t="shared" ref="E189:N189" si="360">(E57+E56)/E52</f>
        <v>0.39668376830991153</v>
      </c>
      <c r="F189" s="33">
        <f t="shared" si="360"/>
        <v>0.52854740843628922</v>
      </c>
      <c r="G189" s="33">
        <f t="shared" si="360"/>
        <v>0.62240663900414939</v>
      </c>
      <c r="H189" s="33">
        <f t="shared" si="360"/>
        <v>0.64574198015231943</v>
      </c>
      <c r="I189" s="33">
        <f t="shared" si="360"/>
        <v>0.42451632180473592</v>
      </c>
      <c r="J189" s="37">
        <f t="shared" si="360"/>
        <v>0.65897918904935682</v>
      </c>
      <c r="K189" s="37">
        <f t="shared" si="360"/>
        <v>0.65897918904935671</v>
      </c>
      <c r="L189" s="37">
        <f t="shared" si="360"/>
        <v>0.65897918904935671</v>
      </c>
      <c r="M189" s="37">
        <f t="shared" si="360"/>
        <v>0.67</v>
      </c>
      <c r="N189" s="37">
        <f t="shared" si="360"/>
        <v>0.67</v>
      </c>
      <c r="O189" s="37">
        <f t="shared" ref="O189:Q189" si="361">(O57+O56)/O52</f>
        <v>0.67</v>
      </c>
      <c r="P189" s="37">
        <f t="shared" si="361"/>
        <v>0.68</v>
      </c>
      <c r="Q189" s="37">
        <f t="shared" si="361"/>
        <v>0.69</v>
      </c>
      <c r="R189" s="37">
        <f t="shared" ref="R189:S189" si="362">(R57+R56)/R52</f>
        <v>0.69000000000000006</v>
      </c>
      <c r="S189" s="37">
        <f t="shared" si="362"/>
        <v>0.70000000000000007</v>
      </c>
    </row>
    <row r="190" spans="1:20" outlineLevel="1" x14ac:dyDescent="0.15">
      <c r="A190" s="2" t="s">
        <v>15</v>
      </c>
      <c r="E190" s="33">
        <f t="shared" ref="E190:N190" si="363">E57/E52</f>
        <v>0.24388430366570005</v>
      </c>
      <c r="F190" s="33">
        <f t="shared" si="363"/>
        <v>0.35675122450471525</v>
      </c>
      <c r="G190" s="33">
        <f t="shared" si="363"/>
        <v>0.43651452282157677</v>
      </c>
      <c r="H190" s="33">
        <f t="shared" si="363"/>
        <v>0.44649588429879222</v>
      </c>
      <c r="I190" s="33">
        <f t="shared" si="363"/>
        <v>0.23612459849107342</v>
      </c>
      <c r="J190" s="37">
        <f t="shared" si="363"/>
        <v>0.4793540722642472</v>
      </c>
      <c r="K190" s="37">
        <f t="shared" si="363"/>
        <v>0.47935407226424714</v>
      </c>
      <c r="L190" s="37">
        <f t="shared" si="363"/>
        <v>0.47935407226424714</v>
      </c>
      <c r="M190" s="37">
        <f t="shared" si="363"/>
        <v>0.49037488321489037</v>
      </c>
      <c r="N190" s="37">
        <f t="shared" si="363"/>
        <v>0.49037488321489042</v>
      </c>
      <c r="O190" s="37">
        <f t="shared" ref="O190:Q190" si="364">O57/O52</f>
        <v>0.49037488321489053</v>
      </c>
      <c r="P190" s="37">
        <f t="shared" si="364"/>
        <v>0.50037488321489043</v>
      </c>
      <c r="Q190" s="37">
        <f t="shared" si="364"/>
        <v>0.51037488321489044</v>
      </c>
      <c r="R190" s="37">
        <f t="shared" ref="R190:S190" si="365">R57/R52</f>
        <v>0.51037488321489044</v>
      </c>
      <c r="S190" s="37">
        <f t="shared" si="365"/>
        <v>0.52037488321489056</v>
      </c>
    </row>
    <row r="191" spans="1:20" outlineLevel="1" x14ac:dyDescent="0.15">
      <c r="A191" s="2" t="s">
        <v>18</v>
      </c>
      <c r="E191" s="33">
        <f t="shared" ref="E191:N191" si="366">E66/E52</f>
        <v>0.23473864227823629</v>
      </c>
      <c r="F191" s="33">
        <f t="shared" si="366"/>
        <v>0.27063381826156885</v>
      </c>
      <c r="G191" s="33">
        <f t="shared" si="366"/>
        <v>0.31233496793662768</v>
      </c>
      <c r="H191" s="33">
        <f t="shared" si="366"/>
        <v>0.35510423878759906</v>
      </c>
      <c r="I191" s="33">
        <f t="shared" si="366"/>
        <v>0.14603720026891762</v>
      </c>
      <c r="J191" s="37">
        <f t="shared" si="366"/>
        <v>0.30863247123003767</v>
      </c>
      <c r="K191" s="37">
        <f t="shared" si="366"/>
        <v>0.31748854824000367</v>
      </c>
      <c r="L191" s="37">
        <f t="shared" si="366"/>
        <v>0.31457847097900654</v>
      </c>
      <c r="M191" s="37">
        <f t="shared" si="366"/>
        <v>0.32418281382852648</v>
      </c>
      <c r="N191" s="37">
        <f t="shared" si="366"/>
        <v>0.32381310328881413</v>
      </c>
      <c r="O191" s="37">
        <f t="shared" ref="O191:Q191" si="367">O66/O52</f>
        <v>0.32517164524823305</v>
      </c>
      <c r="P191" s="37">
        <f t="shared" si="367"/>
        <v>0.33655910191471522</v>
      </c>
      <c r="Q191" s="37">
        <f t="shared" si="367"/>
        <v>0.34856281675098805</v>
      </c>
      <c r="R191" s="37">
        <f t="shared" ref="R191:S191" si="368">R66/R52</f>
        <v>0.35135974956317773</v>
      </c>
      <c r="S191" s="37">
        <f t="shared" si="368"/>
        <v>0.36396306145864221</v>
      </c>
    </row>
    <row r="192" spans="1:20" outlineLevel="1" x14ac:dyDescent="0.15"/>
    <row r="193" spans="1:19" outlineLevel="1" x14ac:dyDescent="0.15"/>
    <row r="194" spans="1:19" outlineLevel="1" x14ac:dyDescent="0.15">
      <c r="A194" s="6" t="s">
        <v>111</v>
      </c>
    </row>
    <row r="195" spans="1:19" outlineLevel="1" x14ac:dyDescent="0.15"/>
    <row r="196" spans="1:19" outlineLevel="1" x14ac:dyDescent="0.15">
      <c r="A196" s="2" t="s">
        <v>112</v>
      </c>
    </row>
    <row r="197" spans="1:19" outlineLevel="1" x14ac:dyDescent="0.15">
      <c r="A197" s="2" t="s">
        <v>113</v>
      </c>
      <c r="E197" s="63">
        <f t="shared" ref="E197:N197" si="369">E79/E96</f>
        <v>0.47382808545104788</v>
      </c>
      <c r="F197" s="63">
        <f t="shared" si="369"/>
        <v>0.39664761316236674</v>
      </c>
      <c r="G197" s="63">
        <f t="shared" si="369"/>
        <v>0.59314675556244667</v>
      </c>
      <c r="H197" s="63">
        <f t="shared" si="369"/>
        <v>0.43388671060315342</v>
      </c>
      <c r="I197" s="63">
        <f t="shared" si="369"/>
        <v>0.56920481558162717</v>
      </c>
      <c r="J197" s="63">
        <f t="shared" si="369"/>
        <v>0.61647660629810319</v>
      </c>
      <c r="K197" s="63">
        <f t="shared" si="369"/>
        <v>0.90300984915900673</v>
      </c>
      <c r="L197" s="63">
        <f t="shared" si="369"/>
        <v>1.1520463938859107</v>
      </c>
      <c r="M197" s="63">
        <f t="shared" si="369"/>
        <v>1.4344695628597743</v>
      </c>
      <c r="N197" s="63">
        <f t="shared" si="369"/>
        <v>1.6976917874298882</v>
      </c>
      <c r="O197" s="63">
        <f t="shared" ref="O197:Q197" si="370">O79/O96</f>
        <v>1.8447992576836707</v>
      </c>
      <c r="P197" s="63">
        <f t="shared" si="370"/>
        <v>2.0030318661933166</v>
      </c>
      <c r="Q197" s="63">
        <f t="shared" si="370"/>
        <v>2.1145173802589512</v>
      </c>
      <c r="R197" s="63">
        <f t="shared" ref="R197:S197" si="371">R79/R96</f>
        <v>2.1922420297770664</v>
      </c>
      <c r="S197" s="63">
        <f t="shared" si="371"/>
        <v>2.2695161565101092</v>
      </c>
    </row>
    <row r="198" spans="1:19" outlineLevel="1" x14ac:dyDescent="0.15">
      <c r="A198" s="2" t="s">
        <v>114</v>
      </c>
      <c r="E198" s="63">
        <f t="shared" ref="E198:N198" si="372">(E79-E77)/E96</f>
        <v>0.43555735547230939</v>
      </c>
      <c r="F198" s="63">
        <f t="shared" si="372"/>
        <v>0.36335547659508727</v>
      </c>
      <c r="G198" s="63">
        <f t="shared" si="372"/>
        <v>0.55810527947902944</v>
      </c>
      <c r="H198" s="63">
        <f t="shared" si="372"/>
        <v>0.38141319763076664</v>
      </c>
      <c r="I198" s="63">
        <f t="shared" si="372"/>
        <v>0.51368760064412233</v>
      </c>
      <c r="J198" s="63">
        <f t="shared" si="372"/>
        <v>0.57373665033642929</v>
      </c>
      <c r="K198" s="63">
        <f t="shared" si="372"/>
        <v>0.86026989319733282</v>
      </c>
      <c r="L198" s="63">
        <f t="shared" si="372"/>
        <v>1.1093698754026169</v>
      </c>
      <c r="M198" s="63">
        <f t="shared" si="372"/>
        <v>1.3924902565378121</v>
      </c>
      <c r="N198" s="63">
        <f t="shared" si="372"/>
        <v>1.6557124811079262</v>
      </c>
      <c r="O198" s="63">
        <f t="shared" ref="O198:Q198" si="373">(O79-O77)/O96</f>
        <v>1.8028199513617085</v>
      </c>
      <c r="P198" s="63">
        <f t="shared" si="373"/>
        <v>1.9618258086063411</v>
      </c>
      <c r="Q198" s="63">
        <f t="shared" si="373"/>
        <v>2.0739783943189649</v>
      </c>
      <c r="R198" s="63">
        <f t="shared" ref="R198:S198" si="374">(R79-R77)/R96</f>
        <v>2.1517030438370801</v>
      </c>
      <c r="S198" s="63">
        <f t="shared" si="374"/>
        <v>2.2297279984194649</v>
      </c>
    </row>
    <row r="199" spans="1:19" outlineLevel="1" x14ac:dyDescent="0.15"/>
    <row r="200" spans="1:19" outlineLevel="1" x14ac:dyDescent="0.15">
      <c r="A200" s="2" t="s">
        <v>115</v>
      </c>
    </row>
    <row r="201" spans="1:19" outlineLevel="1" x14ac:dyDescent="0.15">
      <c r="A201" s="2" t="s">
        <v>116</v>
      </c>
      <c r="E201" s="63">
        <f t="shared" ref="E201:N201" si="375">E57/E58</f>
        <v>1.7400530503978779</v>
      </c>
      <c r="F201" s="63">
        <f t="shared" si="375"/>
        <v>2.2293284604842394</v>
      </c>
      <c r="G201" s="63">
        <f t="shared" si="375"/>
        <v>3.0891617725573948</v>
      </c>
      <c r="H201" s="63">
        <f t="shared" si="375"/>
        <v>2.8803970223325064</v>
      </c>
      <c r="I201" s="63">
        <f t="shared" si="375"/>
        <v>1.4634259259259259</v>
      </c>
      <c r="J201" s="63">
        <f t="shared" si="375"/>
        <v>3.2056931996415448</v>
      </c>
      <c r="K201" s="63">
        <f t="shared" si="375"/>
        <v>3.4222951347232247</v>
      </c>
      <c r="L201" s="63">
        <f t="shared" si="375"/>
        <v>3.3479617348723534</v>
      </c>
      <c r="M201" s="63">
        <f t="shared" si="375"/>
        <v>3.4069200589841775</v>
      </c>
      <c r="N201" s="63">
        <f t="shared" si="375"/>
        <v>3.3975938536565464</v>
      </c>
      <c r="O201" s="63">
        <f t="shared" ref="O201:Q201" si="376">O57/O58</f>
        <v>3.4321174793512714</v>
      </c>
      <c r="P201" s="63">
        <f t="shared" si="376"/>
        <v>3.5560982502603524</v>
      </c>
      <c r="Q201" s="63">
        <f t="shared" si="376"/>
        <v>3.7015575175093365</v>
      </c>
      <c r="R201" s="63">
        <f t="shared" ref="R201:S201" si="377">R57/R58</f>
        <v>3.7835771443464203</v>
      </c>
      <c r="S201" s="63">
        <f t="shared" si="377"/>
        <v>3.9595253420205321</v>
      </c>
    </row>
    <row r="202" spans="1:19" outlineLevel="1" x14ac:dyDescent="0.15">
      <c r="A202" s="2" t="s">
        <v>117</v>
      </c>
      <c r="E202" s="63">
        <f t="shared" ref="E202:N202" si="378">(E57+E56)/E58</f>
        <v>2.830238726790451</v>
      </c>
      <c r="F202" s="63">
        <f t="shared" si="378"/>
        <v>3.3028780264961171</v>
      </c>
      <c r="G202" s="63">
        <f t="shared" si="378"/>
        <v>4.4046983449012282</v>
      </c>
      <c r="H202" s="63">
        <f t="shared" si="378"/>
        <v>4.16575682382134</v>
      </c>
      <c r="I202" s="63">
        <f t="shared" si="378"/>
        <v>2.6310185185185184</v>
      </c>
      <c r="J202" s="63">
        <f t="shared" si="378"/>
        <v>4.4069409801035366</v>
      </c>
      <c r="K202" s="63">
        <f t="shared" si="378"/>
        <v>4.7047086966735181</v>
      </c>
      <c r="L202" s="63">
        <f t="shared" si="378"/>
        <v>4.6025208435034592</v>
      </c>
      <c r="M202" s="63">
        <f t="shared" si="378"/>
        <v>4.6548804142546389</v>
      </c>
      <c r="N202" s="63">
        <f t="shared" si="378"/>
        <v>4.6421380047565268</v>
      </c>
      <c r="O202" s="63">
        <f t="shared" ref="O202:Q202" si="379">(O57+O56)/O58</f>
        <v>4.6893076906585049</v>
      </c>
      <c r="P202" s="63">
        <f t="shared" si="379"/>
        <v>4.8326702464371003</v>
      </c>
      <c r="Q202" s="63">
        <f t="shared" si="379"/>
        <v>5.004311087946042</v>
      </c>
      <c r="R202" s="63">
        <f t="shared" ref="R202:S202" si="380">(R57+R56)/R58</f>
        <v>5.1151973097779244</v>
      </c>
      <c r="S202" s="63">
        <f t="shared" si="380"/>
        <v>5.3262903895186717</v>
      </c>
    </row>
    <row r="203" spans="1:19" outlineLevel="1" x14ac:dyDescent="0.15"/>
    <row r="204" spans="1:19" outlineLevel="1" x14ac:dyDescent="0.15">
      <c r="A204" s="2" t="s">
        <v>118</v>
      </c>
    </row>
    <row r="205" spans="1:19" outlineLevel="1" x14ac:dyDescent="0.15">
      <c r="A205" s="2" t="s">
        <v>119</v>
      </c>
      <c r="E205" s="63">
        <f t="shared" ref="E205:N205" si="381">E103/E108</f>
        <v>2.2018519207169684</v>
      </c>
      <c r="F205" s="63">
        <f t="shared" si="381"/>
        <v>2.191688445778079</v>
      </c>
      <c r="G205" s="63">
        <f t="shared" si="381"/>
        <v>2.0644504120751921</v>
      </c>
      <c r="H205" s="63">
        <f t="shared" si="381"/>
        <v>2.0320435308343412</v>
      </c>
      <c r="I205" s="63">
        <f t="shared" si="381"/>
        <v>2.1206731345071268</v>
      </c>
      <c r="J205" s="63">
        <f t="shared" si="381"/>
        <v>2.1704351098685186</v>
      </c>
      <c r="K205" s="63">
        <f t="shared" si="381"/>
        <v>2.3512150656983657</v>
      </c>
      <c r="L205" s="63">
        <f t="shared" si="381"/>
        <v>2.5187429625204323</v>
      </c>
      <c r="M205" s="63">
        <f t="shared" si="381"/>
        <v>2.6761638560182908</v>
      </c>
      <c r="N205" s="63">
        <f t="shared" si="381"/>
        <v>2.7995829441387832</v>
      </c>
      <c r="O205" s="63">
        <f t="shared" ref="O205:Q205" si="382">O103/O108</f>
        <v>2.8223183919445796</v>
      </c>
      <c r="P205" s="63">
        <f t="shared" si="382"/>
        <v>2.7789070609714073</v>
      </c>
      <c r="Q205" s="63">
        <f t="shared" si="382"/>
        <v>2.6869111875575142</v>
      </c>
      <c r="R205" s="63">
        <f t="shared" ref="R205:S205" si="383">R103/R108</f>
        <v>2.5616575968509907</v>
      </c>
      <c r="S205" s="63">
        <f t="shared" si="383"/>
        <v>2.4131443053714134</v>
      </c>
    </row>
    <row r="206" spans="1:19" outlineLevel="1" x14ac:dyDescent="0.15">
      <c r="A206" s="2" t="s">
        <v>120</v>
      </c>
      <c r="E206" s="63">
        <f t="shared" ref="E206:N206" si="384">E103/E110</f>
        <v>0.68768074702965121</v>
      </c>
      <c r="F206" s="63">
        <f t="shared" si="384"/>
        <v>0.68668621107966032</v>
      </c>
      <c r="G206" s="63">
        <f t="shared" si="384"/>
        <v>0.67367721270359293</v>
      </c>
      <c r="H206" s="63">
        <f t="shared" si="384"/>
        <v>0.67018943170488532</v>
      </c>
      <c r="I206" s="63">
        <f t="shared" si="384"/>
        <v>0.67955631464814137</v>
      </c>
      <c r="J206" s="63">
        <f t="shared" si="384"/>
        <v>0.68458588006191012</v>
      </c>
      <c r="K206" s="63">
        <f t="shared" si="384"/>
        <v>0.70160076855837117</v>
      </c>
      <c r="L206" s="63">
        <f t="shared" si="384"/>
        <v>0.71580760213195227</v>
      </c>
      <c r="M206" s="63">
        <f t="shared" si="384"/>
        <v>0.72797730483017276</v>
      </c>
      <c r="N206" s="63">
        <f t="shared" si="384"/>
        <v>0.73681322010811867</v>
      </c>
      <c r="O206" s="63">
        <f t="shared" ref="O206:Q206" si="385">O103/O110</f>
        <v>0.73837867559451098</v>
      </c>
      <c r="P206" s="63">
        <f t="shared" si="385"/>
        <v>0.73537322197520794</v>
      </c>
      <c r="Q206" s="63">
        <f t="shared" si="385"/>
        <v>0.72877024991142392</v>
      </c>
      <c r="R206" s="63">
        <f t="shared" ref="R206:S206" si="386">R103/R110</f>
        <v>0.71923185404342582</v>
      </c>
      <c r="S206" s="63">
        <f t="shared" si="386"/>
        <v>0.7070150247013417</v>
      </c>
    </row>
    <row r="207" spans="1:19" outlineLevel="1" x14ac:dyDescent="0.15">
      <c r="A207" s="2" t="s">
        <v>121</v>
      </c>
      <c r="E207" s="63">
        <f t="shared" ref="E207:N207" si="387">E89/E108</f>
        <v>3.2018519207169684</v>
      </c>
      <c r="F207" s="63">
        <f t="shared" si="387"/>
        <v>3.191688445778079</v>
      </c>
      <c r="G207" s="63">
        <f t="shared" si="387"/>
        <v>3.0644504120751921</v>
      </c>
      <c r="H207" s="63">
        <f t="shared" si="387"/>
        <v>3.0320435308343412</v>
      </c>
      <c r="I207" s="63">
        <f t="shared" si="387"/>
        <v>3.1206731345071268</v>
      </c>
      <c r="J207" s="63">
        <f t="shared" si="387"/>
        <v>3.1704351098685182</v>
      </c>
      <c r="K207" s="63">
        <f t="shared" si="387"/>
        <v>3.3512150656983657</v>
      </c>
      <c r="L207" s="63">
        <f t="shared" si="387"/>
        <v>3.5187429625204318</v>
      </c>
      <c r="M207" s="63">
        <f t="shared" si="387"/>
        <v>3.6761638560182908</v>
      </c>
      <c r="N207" s="63">
        <f t="shared" si="387"/>
        <v>3.7995829441387832</v>
      </c>
      <c r="O207" s="63">
        <f t="shared" ref="O207:Q207" si="388">O89/O108</f>
        <v>3.8223183919445796</v>
      </c>
      <c r="P207" s="63">
        <f t="shared" si="388"/>
        <v>3.7789070609714073</v>
      </c>
      <c r="Q207" s="63">
        <f t="shared" si="388"/>
        <v>3.6869111875575151</v>
      </c>
      <c r="R207" s="63">
        <f t="shared" ref="R207:S207" si="389">R89/R108</f>
        <v>3.5616575968509916</v>
      </c>
      <c r="S207" s="63">
        <f t="shared" si="389"/>
        <v>3.4131443053714134</v>
      </c>
    </row>
    <row r="208" spans="1:19" outlineLevel="1" x14ac:dyDescent="0.15">
      <c r="A208" s="2" t="s">
        <v>122</v>
      </c>
      <c r="E208" s="63">
        <f t="shared" ref="E208:N208" si="390">E103/(E57+E56)</f>
        <v>11.098406747891284</v>
      </c>
      <c r="F208" s="63">
        <f t="shared" si="390"/>
        <v>9.3951590594744125</v>
      </c>
      <c r="G208" s="63">
        <f t="shared" si="390"/>
        <v>8.1069090909090917</v>
      </c>
      <c r="H208" s="63">
        <f t="shared" si="390"/>
        <v>8.0081010245413395</v>
      </c>
      <c r="I208" s="63">
        <f t="shared" si="390"/>
        <v>12.462079887383425</v>
      </c>
      <c r="J208" s="63">
        <f t="shared" si="390"/>
        <v>7.5520980780188234</v>
      </c>
      <c r="K208" s="63">
        <f t="shared" si="390"/>
        <v>7.5520980780188234</v>
      </c>
      <c r="L208" s="63">
        <f t="shared" si="390"/>
        <v>7.5503695962651074</v>
      </c>
      <c r="M208" s="63">
        <f t="shared" si="390"/>
        <v>7.4077655270327174</v>
      </c>
      <c r="N208" s="63">
        <f t="shared" si="390"/>
        <v>7.4077655270327183</v>
      </c>
      <c r="O208" s="63">
        <f t="shared" ref="O208:Q208" si="391">O103/(O57+O56)</f>
        <v>7.2614968703162992</v>
      </c>
      <c r="P208" s="63">
        <f t="shared" si="391"/>
        <v>6.9881020927367921</v>
      </c>
      <c r="Q208" s="63">
        <f t="shared" si="391"/>
        <v>6.7257298377440984</v>
      </c>
      <c r="R208" s="63">
        <f t="shared" ref="R208:S208" si="392">R103/(R57+R56)</f>
        <v>6.5808023015122137</v>
      </c>
      <c r="S208" s="63">
        <f t="shared" si="392"/>
        <v>6.3264699007274015</v>
      </c>
    </row>
    <row r="209" spans="1:20" outlineLevel="1" x14ac:dyDescent="0.15"/>
    <row r="210" spans="1:20" outlineLevel="1" x14ac:dyDescent="0.15">
      <c r="A210" s="6" t="s">
        <v>123</v>
      </c>
    </row>
    <row r="211" spans="1:20" outlineLevel="1" x14ac:dyDescent="0.15">
      <c r="A211" s="2" t="s">
        <v>124</v>
      </c>
      <c r="E211" s="65">
        <f t="shared" ref="E211:N211" si="393">E53/E77</f>
        <v>11.838624338624339</v>
      </c>
      <c r="F211" s="65">
        <f t="shared" si="393"/>
        <v>9.6519721577726223</v>
      </c>
      <c r="G211" s="65">
        <f t="shared" si="393"/>
        <v>10.265486725663717</v>
      </c>
      <c r="H211" s="65">
        <f t="shared" si="393"/>
        <v>7.3211446740858506</v>
      </c>
      <c r="I211" s="65">
        <f t="shared" si="393"/>
        <v>6.7292817679558015</v>
      </c>
      <c r="J211" s="65">
        <f t="shared" si="393"/>
        <v>8.7550971455984641</v>
      </c>
      <c r="K211" s="65">
        <f t="shared" si="393"/>
        <v>8.7550971455984641</v>
      </c>
      <c r="L211" s="65">
        <f t="shared" si="393"/>
        <v>8.7790837131206541</v>
      </c>
      <c r="M211" s="65">
        <f t="shared" si="393"/>
        <v>8.7550971455984659</v>
      </c>
      <c r="N211" s="65">
        <f t="shared" si="393"/>
        <v>8.7550971455984659</v>
      </c>
      <c r="O211" s="65">
        <f t="shared" ref="O211:Q211" si="394">O53/O77</f>
        <v>8.7550971455984641</v>
      </c>
      <c r="P211" s="65">
        <f t="shared" si="394"/>
        <v>8.7790837131206541</v>
      </c>
      <c r="Q211" s="65">
        <f t="shared" si="394"/>
        <v>8.7550971455984641</v>
      </c>
      <c r="R211" s="65">
        <f t="shared" ref="R211:S211" si="395">R53/R77</f>
        <v>8.7550971455984641</v>
      </c>
      <c r="S211" s="65">
        <f t="shared" si="395"/>
        <v>8.7550971455984659</v>
      </c>
    </row>
    <row r="212" spans="1:20" outlineLevel="1" x14ac:dyDescent="0.15">
      <c r="A212" s="2" t="s">
        <v>125</v>
      </c>
      <c r="E212" s="65">
        <f t="shared" ref="E212:N212" si="396">E77/E53*E7</f>
        <v>30.831284916201117</v>
      </c>
      <c r="F212" s="65">
        <f t="shared" si="396"/>
        <v>37.816105769230774</v>
      </c>
      <c r="G212" s="65">
        <f t="shared" si="396"/>
        <v>35.556034482758619</v>
      </c>
      <c r="H212" s="65">
        <f t="shared" si="396"/>
        <v>49.992182410423453</v>
      </c>
      <c r="I212" s="65">
        <f t="shared" si="396"/>
        <v>54.240558292282437</v>
      </c>
      <c r="J212" s="65">
        <f t="shared" si="396"/>
        <v>41.690000000000005</v>
      </c>
      <c r="K212" s="65">
        <f t="shared" si="396"/>
        <v>41.690000000000005</v>
      </c>
      <c r="L212" s="65">
        <f t="shared" si="396"/>
        <v>41.689999999999991</v>
      </c>
      <c r="M212" s="65">
        <f t="shared" si="396"/>
        <v>41.69</v>
      </c>
      <c r="N212" s="65">
        <f t="shared" si="396"/>
        <v>41.69</v>
      </c>
      <c r="O212" s="65">
        <f t="shared" ref="O212:Q212" si="397">O77/O53*O7</f>
        <v>41.690000000000005</v>
      </c>
      <c r="P212" s="65">
        <f t="shared" si="397"/>
        <v>41.69</v>
      </c>
      <c r="Q212" s="65">
        <f t="shared" si="397"/>
        <v>41.690000000000005</v>
      </c>
      <c r="R212" s="65">
        <f t="shared" ref="R212:S212" si="398">R77/R53*R7</f>
        <v>41.690000000000005</v>
      </c>
      <c r="S212" s="65">
        <f t="shared" si="398"/>
        <v>41.69</v>
      </c>
    </row>
    <row r="213" spans="1:20" outlineLevel="1" x14ac:dyDescent="0.15">
      <c r="A213" s="2" t="s">
        <v>126</v>
      </c>
      <c r="E213" s="65">
        <f t="shared" ref="E213:N213" si="399">E52/E76</f>
        <v>5.3326724821570179</v>
      </c>
      <c r="F213" s="65">
        <f t="shared" si="399"/>
        <v>5.3960552268244575</v>
      </c>
      <c r="G213" s="65">
        <f t="shared" si="399"/>
        <v>5.4727497935590419</v>
      </c>
      <c r="H213" s="65">
        <f t="shared" si="399"/>
        <v>6.0124884366327471</v>
      </c>
      <c r="I213" s="65">
        <f t="shared" si="399"/>
        <v>4.329560155239327</v>
      </c>
      <c r="J213" s="65">
        <f t="shared" si="399"/>
        <v>5.5378546502806856</v>
      </c>
      <c r="K213" s="65">
        <f t="shared" si="399"/>
        <v>5.5378546502806865</v>
      </c>
      <c r="L213" s="65">
        <f t="shared" si="399"/>
        <v>5.5530268548020034</v>
      </c>
      <c r="M213" s="65">
        <f t="shared" si="399"/>
        <v>5.5378546502806865</v>
      </c>
      <c r="N213" s="65">
        <f t="shared" si="399"/>
        <v>5.5378546502806865</v>
      </c>
      <c r="O213" s="65">
        <f t="shared" ref="O213:Q213" si="400">O52/O76</f>
        <v>5.5378546502806856</v>
      </c>
      <c r="P213" s="65">
        <f t="shared" si="400"/>
        <v>5.5530268548020034</v>
      </c>
      <c r="Q213" s="65">
        <f t="shared" si="400"/>
        <v>5.5378546502806865</v>
      </c>
      <c r="R213" s="65">
        <f t="shared" ref="R213:S213" si="401">R52/R76</f>
        <v>5.5378546502806865</v>
      </c>
      <c r="S213" s="65">
        <f t="shared" si="401"/>
        <v>5.5378546502806865</v>
      </c>
    </row>
    <row r="214" spans="1:20" outlineLevel="1" x14ac:dyDescent="0.15">
      <c r="A214" s="2" t="s">
        <v>127</v>
      </c>
      <c r="E214" s="65">
        <f t="shared" ref="E214:N214" si="402">E76/E52*E7</f>
        <v>68.445981113837462</v>
      </c>
      <c r="F214" s="65">
        <f t="shared" si="402"/>
        <v>67.642005994590249</v>
      </c>
      <c r="G214" s="65">
        <f t="shared" si="402"/>
        <v>66.694077706525832</v>
      </c>
      <c r="H214" s="65">
        <f t="shared" si="402"/>
        <v>60.873297945995844</v>
      </c>
      <c r="I214" s="65">
        <f t="shared" si="402"/>
        <v>84.304175692836324</v>
      </c>
      <c r="J214" s="65">
        <f t="shared" si="402"/>
        <v>65.910000000000011</v>
      </c>
      <c r="K214" s="65">
        <f t="shared" si="402"/>
        <v>65.909999999999982</v>
      </c>
      <c r="L214" s="65">
        <f t="shared" si="402"/>
        <v>65.91</v>
      </c>
      <c r="M214" s="65">
        <f t="shared" si="402"/>
        <v>65.91</v>
      </c>
      <c r="N214" s="65">
        <f t="shared" si="402"/>
        <v>65.91</v>
      </c>
      <c r="O214" s="65">
        <f t="shared" ref="O214:Q214" si="403">O76/O52*O7</f>
        <v>65.91</v>
      </c>
      <c r="P214" s="65">
        <f t="shared" si="403"/>
        <v>65.91</v>
      </c>
      <c r="Q214" s="65">
        <f t="shared" si="403"/>
        <v>65.91</v>
      </c>
      <c r="R214" s="65">
        <f t="shared" ref="R214:S214" si="404">R76/R52*R7</f>
        <v>65.91</v>
      </c>
      <c r="S214" s="65">
        <f t="shared" si="404"/>
        <v>65.91</v>
      </c>
    </row>
    <row r="215" spans="1:20" outlineLevel="1" x14ac:dyDescent="0.15">
      <c r="A215" s="2" t="s">
        <v>128</v>
      </c>
      <c r="E215" s="65">
        <f t="shared" ref="E215:N215" si="405">E53/E93</f>
        <v>0.92059247068504424</v>
      </c>
      <c r="F215" s="65">
        <f t="shared" si="405"/>
        <v>0.71724137931034482</v>
      </c>
      <c r="G215" s="65">
        <f t="shared" si="405"/>
        <v>0.81076358553206362</v>
      </c>
      <c r="H215" s="65">
        <f t="shared" si="405"/>
        <v>0.90453741897466111</v>
      </c>
      <c r="I215" s="65">
        <f t="shared" si="405"/>
        <v>0.77517899761336517</v>
      </c>
      <c r="J215" s="65">
        <f t="shared" si="405"/>
        <v>0.81801882563872708</v>
      </c>
      <c r="K215" s="65">
        <f t="shared" si="405"/>
        <v>0.81801882563872719</v>
      </c>
      <c r="L215" s="65">
        <f t="shared" si="405"/>
        <v>0.82025997310623044</v>
      </c>
      <c r="M215" s="65">
        <f t="shared" si="405"/>
        <v>0.81801882563872708</v>
      </c>
      <c r="N215" s="65">
        <f t="shared" si="405"/>
        <v>0.81801882563872719</v>
      </c>
      <c r="O215" s="65">
        <f t="shared" ref="O215:Q215" si="406">O53/O93</f>
        <v>0.81801882563872708</v>
      </c>
      <c r="P215" s="65">
        <f t="shared" si="406"/>
        <v>0.82025997310623044</v>
      </c>
      <c r="Q215" s="65">
        <f t="shared" si="406"/>
        <v>0.81801882563872708</v>
      </c>
      <c r="R215" s="65">
        <f t="shared" ref="R215:S215" si="407">R53/R93</f>
        <v>0.81801882563872708</v>
      </c>
      <c r="S215" s="65">
        <f t="shared" si="407"/>
        <v>0.81801882563872708</v>
      </c>
    </row>
    <row r="216" spans="1:20" outlineLevel="1" x14ac:dyDescent="0.15">
      <c r="A216" s="2" t="s">
        <v>129</v>
      </c>
      <c r="E216" s="65">
        <f t="shared" ref="E216:N216" si="408">E93/E53*E7</f>
        <v>396.48379888268158</v>
      </c>
      <c r="F216" s="65">
        <f t="shared" si="408"/>
        <v>508.89423076923072</v>
      </c>
      <c r="G216" s="65">
        <f t="shared" si="408"/>
        <v>450.19288793103448</v>
      </c>
      <c r="H216" s="65">
        <f t="shared" si="408"/>
        <v>404.62671009771987</v>
      </c>
      <c r="I216" s="65">
        <f t="shared" si="408"/>
        <v>470.85899014778323</v>
      </c>
      <c r="J216" s="65">
        <f t="shared" si="408"/>
        <v>446.2</v>
      </c>
      <c r="K216" s="65">
        <f t="shared" si="408"/>
        <v>446.19999999999987</v>
      </c>
      <c r="L216" s="65">
        <f t="shared" si="408"/>
        <v>446.19999999999993</v>
      </c>
      <c r="M216" s="65">
        <f t="shared" si="408"/>
        <v>446.2</v>
      </c>
      <c r="N216" s="65">
        <f t="shared" si="408"/>
        <v>446.19999999999987</v>
      </c>
      <c r="O216" s="65">
        <f t="shared" ref="O216:Q216" si="409">O93/O53*O7</f>
        <v>446.2</v>
      </c>
      <c r="P216" s="65">
        <f t="shared" si="409"/>
        <v>446.20000000000005</v>
      </c>
      <c r="Q216" s="65">
        <f t="shared" si="409"/>
        <v>446.2</v>
      </c>
      <c r="R216" s="65">
        <f t="shared" ref="R216:S216" si="410">R93/R53*R7</f>
        <v>446.2</v>
      </c>
      <c r="S216" s="65">
        <f t="shared" si="410"/>
        <v>446.2</v>
      </c>
    </row>
    <row r="217" spans="1:20" outlineLevel="1" x14ac:dyDescent="0.15"/>
    <row r="218" spans="1:20" outlineLevel="1" x14ac:dyDescent="0.15">
      <c r="A218" s="6" t="s">
        <v>133</v>
      </c>
    </row>
    <row r="219" spans="1:20" outlineLevel="1" x14ac:dyDescent="0.15">
      <c r="A219" s="2" t="s">
        <v>134</v>
      </c>
      <c r="E219" s="33">
        <f t="shared" ref="E219:N219" si="411">E66/E89</f>
        <v>3.6666240810211262E-2</v>
      </c>
      <c r="F219" s="33">
        <f t="shared" si="411"/>
        <v>3.7424181156490093E-2</v>
      </c>
      <c r="G219" s="33">
        <f t="shared" si="411"/>
        <v>4.1700661771371592E-2</v>
      </c>
      <c r="H219" s="33">
        <f t="shared" si="411"/>
        <v>4.6021934197407778E-2</v>
      </c>
      <c r="I219" s="33">
        <f t="shared" si="411"/>
        <v>1.8758755685198334E-2</v>
      </c>
      <c r="J219" s="33">
        <f t="shared" si="411"/>
        <v>4.2455135628307133E-2</v>
      </c>
      <c r="K219" s="33">
        <f t="shared" si="411"/>
        <v>4.4758837687407037E-2</v>
      </c>
      <c r="L219" s="33">
        <f t="shared" si="411"/>
        <v>4.5256961535756431E-2</v>
      </c>
      <c r="M219" s="33">
        <f t="shared" si="411"/>
        <v>4.7549482801757345E-2</v>
      </c>
      <c r="N219" s="33">
        <f t="shared" si="411"/>
        <v>4.8071735128507154E-2</v>
      </c>
      <c r="O219" s="33">
        <f t="shared" ref="O219:Q219" si="412">O66/O89</f>
        <v>4.9350420432764247E-2</v>
      </c>
      <c r="P219" s="33">
        <f t="shared" si="412"/>
        <v>5.2083600322642018E-2</v>
      </c>
      <c r="Q219" s="33">
        <f t="shared" si="412"/>
        <v>5.4737276232014895E-2</v>
      </c>
      <c r="R219" s="33">
        <f t="shared" ref="R219:S219" si="413">R66/R89</f>
        <v>5.565356481355517E-2</v>
      </c>
      <c r="S219" s="33">
        <f t="shared" si="413"/>
        <v>5.810673407026179E-2</v>
      </c>
      <c r="T219" s="11"/>
    </row>
    <row r="220" spans="1:20" outlineLevel="1" x14ac:dyDescent="0.15">
      <c r="A220" s="2" t="s">
        <v>135</v>
      </c>
      <c r="E220" s="33">
        <f t="shared" ref="E220:N220" si="414">E66/E108</f>
        <v>0.11739987356364583</v>
      </c>
      <c r="F220" s="33">
        <f t="shared" si="414"/>
        <v>0.11944632658987513</v>
      </c>
      <c r="G220" s="33">
        <f t="shared" si="414"/>
        <v>0.12778961014908788</v>
      </c>
      <c r="H220" s="33">
        <f t="shared" si="414"/>
        <v>0.13954050785973399</v>
      </c>
      <c r="I220" s="33">
        <f t="shared" si="414"/>
        <v>5.8539944903581269E-2</v>
      </c>
      <c r="J220" s="33">
        <f t="shared" si="414"/>
        <v>0.13460125259021477</v>
      </c>
      <c r="K220" s="33">
        <f t="shared" si="414"/>
        <v>0.14999649118118627</v>
      </c>
      <c r="L220" s="33">
        <f t="shared" si="414"/>
        <v>0.1592476149090008</v>
      </c>
      <c r="M220" s="33">
        <f t="shared" si="414"/>
        <v>0.17479969004818366</v>
      </c>
      <c r="N220" s="33">
        <f t="shared" si="414"/>
        <v>0.18265254488943297</v>
      </c>
      <c r="O220" s="33">
        <f t="shared" ref="O220:Q220" si="415">O66/O108</f>
        <v>0.18863301967035237</v>
      </c>
      <c r="P220" s="33">
        <f t="shared" si="415"/>
        <v>0.19681908502004458</v>
      </c>
      <c r="Q220" s="33">
        <f t="shared" si="415"/>
        <v>0.20181147611624178</v>
      </c>
      <c r="R220" s="33">
        <f t="shared" ref="R220:S220" si="416">R66/R108</f>
        <v>0.1982189419100378</v>
      </c>
      <c r="S220" s="33">
        <f t="shared" si="416"/>
        <v>0.19832666849564512</v>
      </c>
    </row>
    <row r="221" spans="1:20" outlineLevel="1" x14ac:dyDescent="0.15">
      <c r="E221" s="33"/>
    </row>
    <row r="222" spans="1:20" outlineLevel="1" x14ac:dyDescent="0.15"/>
    <row r="223" spans="1:20" outlineLevel="1" x14ac:dyDescent="0.15"/>
    <row r="225" spans="1:19" ht="18.5" customHeight="1" x14ac:dyDescent="0.2">
      <c r="A225" s="1" t="s">
        <v>82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8.5" customHeight="1" outlineLevel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 spans="1:19" ht="15" outlineLevel="1" thickBot="1" x14ac:dyDescent="0.2">
      <c r="A227" s="22" t="s">
        <v>4</v>
      </c>
      <c r="B227" s="8"/>
      <c r="C227" s="38"/>
      <c r="F227" s="13" t="s">
        <v>71</v>
      </c>
      <c r="G227" s="14"/>
      <c r="H227" s="15"/>
    </row>
    <row r="228" spans="1:19" outlineLevel="1" x14ac:dyDescent="0.15">
      <c r="A228" s="2" t="s">
        <v>72</v>
      </c>
      <c r="C228" s="88">
        <v>0.2</v>
      </c>
      <c r="D228" s="11"/>
      <c r="F228" s="2" t="s">
        <v>73</v>
      </c>
      <c r="H228" s="16">
        <f>(N238+N241)*C231</f>
        <v>213541.8641583976</v>
      </c>
      <c r="J228" s="2" t="s">
        <v>165</v>
      </c>
      <c r="L228" s="37">
        <f>(C229*H228-I244)/(H228+I244)</f>
        <v>6.1093618093693985E-2</v>
      </c>
      <c r="M228" s="11"/>
    </row>
    <row r="229" spans="1:19" outlineLevel="1" x14ac:dyDescent="0.15">
      <c r="A229" s="2" t="s">
        <v>74</v>
      </c>
      <c r="C229" s="39">
        <v>0.09</v>
      </c>
      <c r="D229" s="11"/>
      <c r="F229" s="2" t="s">
        <v>83</v>
      </c>
      <c r="H229" s="16">
        <f>(N244*(1+C230)/(C229-C230))</f>
        <v>209957.57937482369</v>
      </c>
      <c r="J229" s="2" t="s">
        <v>166</v>
      </c>
      <c r="L229" s="91">
        <f>H229/(I238+I241)</f>
        <v>13.989590367553376</v>
      </c>
    </row>
    <row r="230" spans="1:19" outlineLevel="1" x14ac:dyDescent="0.15">
      <c r="A230" s="2" t="s">
        <v>75</v>
      </c>
      <c r="C230" s="93">
        <v>0.03</v>
      </c>
      <c r="D230" s="11"/>
      <c r="H230" s="16"/>
    </row>
    <row r="231" spans="1:19" outlineLevel="1" x14ac:dyDescent="0.15">
      <c r="A231" s="2" t="s">
        <v>76</v>
      </c>
      <c r="C231" s="40">
        <v>10</v>
      </c>
      <c r="D231" s="11"/>
      <c r="H231" s="16"/>
    </row>
    <row r="232" spans="1:19" outlineLevel="1" x14ac:dyDescent="0.15">
      <c r="A232" s="2" t="s">
        <v>84</v>
      </c>
      <c r="C232" s="47">
        <v>66.599999999999994</v>
      </c>
      <c r="D232" s="11"/>
      <c r="H232" s="16"/>
    </row>
    <row r="233" spans="1:19" outlineLevel="1" x14ac:dyDescent="0.15">
      <c r="A233" s="2" t="s">
        <v>171</v>
      </c>
      <c r="C233" s="89">
        <v>981</v>
      </c>
      <c r="D233" s="11"/>
      <c r="H233" s="16"/>
    </row>
    <row r="234" spans="1:19" outlineLevel="1" x14ac:dyDescent="0.15">
      <c r="C234" s="57"/>
      <c r="H234" s="16"/>
      <c r="J234" s="11"/>
    </row>
    <row r="235" spans="1:19" outlineLevel="1" x14ac:dyDescent="0.15">
      <c r="C235" s="18"/>
      <c r="H235" s="16"/>
    </row>
    <row r="236" spans="1:19" outlineLevel="1" x14ac:dyDescent="0.15"/>
    <row r="237" spans="1:19" ht="15" outlineLevel="1" thickBot="1" x14ac:dyDescent="0.2">
      <c r="A237" s="13" t="s">
        <v>77</v>
      </c>
      <c r="B237" s="14"/>
      <c r="C237" s="14"/>
      <c r="D237" s="13"/>
      <c r="E237" s="21">
        <f>J4</f>
        <v>2022</v>
      </c>
      <c r="F237" s="21">
        <f>K4</f>
        <v>2023</v>
      </c>
      <c r="G237" s="21">
        <f>L4</f>
        <v>2024</v>
      </c>
      <c r="H237" s="21">
        <f>M4</f>
        <v>2025</v>
      </c>
      <c r="I237" s="21">
        <f>N4</f>
        <v>2026</v>
      </c>
      <c r="J237" s="21">
        <f t="shared" ref="J237:L237" si="417">O4</f>
        <v>2027</v>
      </c>
      <c r="K237" s="21">
        <f t="shared" si="417"/>
        <v>2028</v>
      </c>
      <c r="L237" s="21">
        <f t="shared" si="417"/>
        <v>2029</v>
      </c>
      <c r="M237" s="21">
        <f t="shared" ref="M237" si="418">R4</f>
        <v>2030</v>
      </c>
      <c r="N237" s="21">
        <f t="shared" ref="N237" si="419">S4</f>
        <v>2031</v>
      </c>
    </row>
    <row r="238" spans="1:19" outlineLevel="1" x14ac:dyDescent="0.15">
      <c r="A238" s="2" t="s">
        <v>15</v>
      </c>
      <c r="D238" s="16"/>
      <c r="E238" s="16">
        <f>I57</f>
        <v>3161</v>
      </c>
      <c r="F238" s="16">
        <f>J57</f>
        <v>7275.439573657115</v>
      </c>
      <c r="G238" s="16">
        <f>K57</f>
        <v>8252.7927221158061</v>
      </c>
      <c r="H238" s="16">
        <f>L57</f>
        <v>9286.4972867018751</v>
      </c>
      <c r="I238" s="16">
        <f>M57</f>
        <v>10678.830720699734</v>
      </c>
      <c r="J238" s="16">
        <f t="shared" ref="J238:L238" si="420">N57</f>
        <v>11818.944160437624</v>
      </c>
      <c r="K238" s="16">
        <f t="shared" si="420"/>
        <v>12884.035178033946</v>
      </c>
      <c r="L238" s="16">
        <f t="shared" si="420"/>
        <v>14084.825999955177</v>
      </c>
      <c r="M238" s="16">
        <f t="shared" ref="M238" si="421">Q57</f>
        <v>15140.056995196344</v>
      </c>
      <c r="N238" s="16">
        <f t="shared" ref="N238" si="422">R57</f>
        <v>15684.880198861232</v>
      </c>
    </row>
    <row r="239" spans="1:19" outlineLevel="1" x14ac:dyDescent="0.15">
      <c r="A239" s="2" t="s">
        <v>132</v>
      </c>
      <c r="D239" s="16"/>
      <c r="E239" s="16">
        <f>E238*$C$228</f>
        <v>632.20000000000005</v>
      </c>
      <c r="F239" s="16">
        <f t="shared" ref="F239:I239" si="423">F238*$C$228</f>
        <v>1455.0879147314231</v>
      </c>
      <c r="G239" s="16">
        <f t="shared" si="423"/>
        <v>1650.5585444231613</v>
      </c>
      <c r="H239" s="16">
        <f t="shared" si="423"/>
        <v>1857.2994573403751</v>
      </c>
      <c r="I239" s="16">
        <f t="shared" si="423"/>
        <v>2135.7661441399468</v>
      </c>
      <c r="J239" s="16">
        <f t="shared" ref="J239:L239" si="424">J238*$C$228</f>
        <v>2363.788832087525</v>
      </c>
      <c r="K239" s="16">
        <f t="shared" si="424"/>
        <v>2576.8070356067892</v>
      </c>
      <c r="L239" s="16">
        <f t="shared" si="424"/>
        <v>2816.9651999910357</v>
      </c>
      <c r="M239" s="16">
        <f t="shared" ref="M239:N239" si="425">M238*$C$228</f>
        <v>3028.0113990392692</v>
      </c>
      <c r="N239" s="16">
        <f t="shared" si="425"/>
        <v>3136.9760397722466</v>
      </c>
      <c r="P239" s="16"/>
    </row>
    <row r="240" spans="1:19" outlineLevel="1" x14ac:dyDescent="0.15">
      <c r="A240" s="8" t="s">
        <v>78</v>
      </c>
      <c r="B240" s="8"/>
      <c r="C240" s="8"/>
      <c r="D240" s="17"/>
      <c r="E240" s="17">
        <f>E238-E239</f>
        <v>2528.8000000000002</v>
      </c>
      <c r="F240" s="17">
        <f t="shared" ref="F240:H240" si="426">F238-F239</f>
        <v>5820.3516589256924</v>
      </c>
      <c r="G240" s="17">
        <f t="shared" si="426"/>
        <v>6602.2341776926451</v>
      </c>
      <c r="H240" s="17">
        <f t="shared" si="426"/>
        <v>7429.1978293615002</v>
      </c>
      <c r="I240" s="17">
        <f>I238-I239</f>
        <v>8543.0645765597874</v>
      </c>
      <c r="J240" s="17">
        <f t="shared" ref="J240:L240" si="427">J238-J239</f>
        <v>9455.1553283500998</v>
      </c>
      <c r="K240" s="17">
        <f t="shared" si="427"/>
        <v>10307.228142427157</v>
      </c>
      <c r="L240" s="17">
        <f t="shared" si="427"/>
        <v>11267.860799964143</v>
      </c>
      <c r="M240" s="17">
        <f t="shared" ref="M240" si="428">M238-M239</f>
        <v>12112.045596157075</v>
      </c>
      <c r="N240" s="17">
        <f t="shared" ref="N240" si="429">N238-N239</f>
        <v>12547.904159088986</v>
      </c>
      <c r="P240" s="16"/>
    </row>
    <row r="241" spans="1:22" outlineLevel="1" x14ac:dyDescent="0.15">
      <c r="A241" s="2" t="s">
        <v>51</v>
      </c>
      <c r="D241" s="16"/>
      <c r="E241" s="16">
        <f>J56</f>
        <v>2726.2763762665109</v>
      </c>
      <c r="F241" s="16">
        <f>K56</f>
        <v>3092.5133263417151</v>
      </c>
      <c r="G241" s="16">
        <f>L56</f>
        <v>3479.8664623190739</v>
      </c>
      <c r="H241" s="16">
        <f>M56</f>
        <v>3911.6730505414662</v>
      </c>
      <c r="I241" s="16">
        <f>N56</f>
        <v>4329.2984566768118</v>
      </c>
      <c r="J241" s="16">
        <f t="shared" ref="J241:L241" si="430">O56</f>
        <v>4719.4430276390067</v>
      </c>
      <c r="K241" s="16">
        <f t="shared" si="430"/>
        <v>5056.1860717005065</v>
      </c>
      <c r="L241" s="16">
        <f t="shared" si="430"/>
        <v>5328.5038024692803</v>
      </c>
      <c r="M241" s="16">
        <f t="shared" ref="M241" si="431">R56</f>
        <v>5520.2529163149511</v>
      </c>
      <c r="N241" s="16">
        <f t="shared" ref="N241" si="432">S56</f>
        <v>5669.306216978528</v>
      </c>
      <c r="P241" s="16"/>
    </row>
    <row r="242" spans="1:22" outlineLevel="1" x14ac:dyDescent="0.15">
      <c r="A242" s="2" t="s">
        <v>79</v>
      </c>
      <c r="D242" s="16"/>
      <c r="E242" s="16">
        <f>-J125</f>
        <v>6829.9154999999992</v>
      </c>
      <c r="F242" s="16">
        <f t="shared" ref="F242:N242" si="433">-K125</f>
        <v>7230.9241619999993</v>
      </c>
      <c r="G242" s="16">
        <f t="shared" si="433"/>
        <v>7749.1756711999988</v>
      </c>
      <c r="H242" s="16">
        <f t="shared" si="433"/>
        <v>7621.9049551260005</v>
      </c>
      <c r="I242" s="16">
        <f t="shared" si="433"/>
        <v>7230.5563957228815</v>
      </c>
      <c r="J242" s="16">
        <f t="shared" si="433"/>
        <v>6568.4620170421458</v>
      </c>
      <c r="K242" s="16">
        <f t="shared" si="433"/>
        <v>5629.7094328399071</v>
      </c>
      <c r="L242" s="16">
        <f t="shared" si="433"/>
        <v>5932.9161732364137</v>
      </c>
      <c r="M242" s="16">
        <f t="shared" si="433"/>
        <v>5531.773856132917</v>
      </c>
      <c r="N242" s="16">
        <f t="shared" si="433"/>
        <v>5681.1382356786844</v>
      </c>
    </row>
    <row r="243" spans="1:22" ht="15" outlineLevel="1" thickBot="1" x14ac:dyDescent="0.2">
      <c r="A243" s="14" t="s">
        <v>80</v>
      </c>
      <c r="B243" s="14"/>
      <c r="C243" s="14"/>
      <c r="D243" s="19"/>
      <c r="E243" s="42">
        <f>J121</f>
        <v>-1575.1439117058962</v>
      </c>
      <c r="F243" s="42">
        <f>K121</f>
        <v>-178.82049324799937</v>
      </c>
      <c r="G243" s="42">
        <f>L121</f>
        <v>-178.68422081308108</v>
      </c>
      <c r="H243" s="42">
        <f>M121</f>
        <v>44.695453591668411</v>
      </c>
      <c r="I243" s="42">
        <f>N121</f>
        <v>-175.5148250700986</v>
      </c>
      <c r="J243" s="42">
        <f t="shared" ref="J243:L243" si="434">O121</f>
        <v>-163.96549424075783</v>
      </c>
      <c r="K243" s="42">
        <f t="shared" si="434"/>
        <v>183.8197827754866</v>
      </c>
      <c r="L243" s="42">
        <f t="shared" si="434"/>
        <v>217.7245298669186</v>
      </c>
      <c r="M243" s="42">
        <f t="shared" ref="M243" si="435">R121</f>
        <v>-56.925144372567956</v>
      </c>
      <c r="N243" s="42">
        <f t="shared" ref="N243" si="436">S121</f>
        <v>305.53353603017058</v>
      </c>
      <c r="O243" s="11"/>
    </row>
    <row r="244" spans="1:22" outlineLevel="1" x14ac:dyDescent="0.15">
      <c r="A244" s="6" t="s">
        <v>81</v>
      </c>
      <c r="D244" s="16"/>
      <c r="E244" s="41">
        <f>E240+E241-E242-E243</f>
        <v>0.30478797240812128</v>
      </c>
      <c r="F244" s="41">
        <f t="shared" ref="F244:N244" si="437">F240+F241-F242-F243</f>
        <v>1860.761316515408</v>
      </c>
      <c r="G244" s="41">
        <f t="shared" si="437"/>
        <v>2511.6091896248008</v>
      </c>
      <c r="H244" s="41">
        <f t="shared" si="437"/>
        <v>3674.2704711852975</v>
      </c>
      <c r="I244" s="41">
        <f t="shared" si="437"/>
        <v>5817.3214625838164</v>
      </c>
      <c r="J244" s="41">
        <f t="shared" si="437"/>
        <v>7770.1018331877185</v>
      </c>
      <c r="K244" s="41">
        <f t="shared" si="437"/>
        <v>9549.8849985122706</v>
      </c>
      <c r="L244" s="41">
        <f t="shared" si="437"/>
        <v>10445.723899330091</v>
      </c>
      <c r="M244" s="41">
        <f t="shared" si="437"/>
        <v>12157.449800711676</v>
      </c>
      <c r="N244" s="41">
        <f t="shared" si="437"/>
        <v>12230.53860435866</v>
      </c>
    </row>
    <row r="245" spans="1:22" outlineLevel="1" x14ac:dyDescent="0.15">
      <c r="D245" s="16"/>
      <c r="E245" s="16"/>
      <c r="F245" s="16"/>
      <c r="G245" s="16"/>
      <c r="H245" s="16"/>
      <c r="L245" s="20"/>
    </row>
    <row r="246" spans="1:22" outlineLevel="1" x14ac:dyDescent="0.15">
      <c r="D246" s="16"/>
      <c r="E246" s="16"/>
      <c r="F246" s="16"/>
      <c r="G246" s="16"/>
      <c r="H246" s="16"/>
      <c r="L246" s="20"/>
    </row>
    <row r="247" spans="1:22" outlineLevel="1" x14ac:dyDescent="0.15">
      <c r="A247" s="72" t="s">
        <v>168</v>
      </c>
      <c r="B247" s="32"/>
      <c r="C247" s="32"/>
      <c r="D247" s="41"/>
      <c r="E247" s="41"/>
      <c r="F247" s="41"/>
      <c r="G247" s="41"/>
      <c r="H247" s="41"/>
      <c r="I247" s="32"/>
      <c r="J247" s="32"/>
      <c r="K247" s="32"/>
      <c r="L247" s="32"/>
      <c r="M247" s="32"/>
      <c r="N247" s="32"/>
    </row>
    <row r="248" spans="1:22" outlineLevel="1" x14ac:dyDescent="0.15">
      <c r="A248" s="32" t="s">
        <v>78</v>
      </c>
      <c r="B248" s="32"/>
      <c r="C248" s="32"/>
      <c r="D248" s="41"/>
      <c r="E248" s="41">
        <f>E240</f>
        <v>2528.8000000000002</v>
      </c>
      <c r="F248" s="41">
        <f t="shared" ref="F248:I248" si="438">F240</f>
        <v>5820.3516589256924</v>
      </c>
      <c r="G248" s="41">
        <f t="shared" si="438"/>
        <v>6602.2341776926451</v>
      </c>
      <c r="H248" s="41">
        <f t="shared" si="438"/>
        <v>7429.1978293615002</v>
      </c>
      <c r="I248" s="41">
        <f t="shared" si="438"/>
        <v>8543.0645765597874</v>
      </c>
      <c r="J248" s="41">
        <f t="shared" ref="J248:N248" si="439">J240</f>
        <v>9455.1553283500998</v>
      </c>
      <c r="K248" s="41">
        <f t="shared" si="439"/>
        <v>10307.228142427157</v>
      </c>
      <c r="L248" s="41">
        <f t="shared" si="439"/>
        <v>11267.860799964143</v>
      </c>
      <c r="M248" s="41">
        <f t="shared" si="439"/>
        <v>12112.045596157075</v>
      </c>
      <c r="N248" s="41">
        <f t="shared" si="439"/>
        <v>12547.904159088986</v>
      </c>
    </row>
    <row r="249" spans="1:22" outlineLevel="1" x14ac:dyDescent="0.15">
      <c r="A249" s="32" t="s">
        <v>65</v>
      </c>
      <c r="B249" s="32"/>
      <c r="C249" s="32"/>
      <c r="D249" s="41"/>
      <c r="E249" s="41">
        <f>-E242</f>
        <v>-6829.9154999999992</v>
      </c>
      <c r="F249" s="41">
        <f t="shared" ref="F249:I249" si="440">-F242</f>
        <v>-7230.9241619999993</v>
      </c>
      <c r="G249" s="41">
        <f t="shared" si="440"/>
        <v>-7749.1756711999988</v>
      </c>
      <c r="H249" s="41">
        <f t="shared" si="440"/>
        <v>-7621.9049551260005</v>
      </c>
      <c r="I249" s="41">
        <f t="shared" si="440"/>
        <v>-7230.5563957228815</v>
      </c>
      <c r="J249" s="41">
        <f t="shared" ref="J249:N249" si="441">-J242</f>
        <v>-6568.4620170421458</v>
      </c>
      <c r="K249" s="41">
        <f t="shared" si="441"/>
        <v>-5629.7094328399071</v>
      </c>
      <c r="L249" s="41">
        <f t="shared" si="441"/>
        <v>-5932.9161732364137</v>
      </c>
      <c r="M249" s="41">
        <f t="shared" si="441"/>
        <v>-5531.773856132917</v>
      </c>
      <c r="N249" s="41">
        <f t="shared" si="441"/>
        <v>-5681.1382356786844</v>
      </c>
      <c r="O249" s="11"/>
    </row>
    <row r="250" spans="1:22" outlineLevel="1" x14ac:dyDescent="0.15">
      <c r="A250" s="32" t="s">
        <v>14</v>
      </c>
      <c r="B250" s="32"/>
      <c r="C250" s="32"/>
      <c r="D250" s="41"/>
      <c r="E250" s="41">
        <f>E241</f>
        <v>2726.2763762665109</v>
      </c>
      <c r="F250" s="41">
        <f t="shared" ref="F250:I250" si="442">F241</f>
        <v>3092.5133263417151</v>
      </c>
      <c r="G250" s="41">
        <f t="shared" si="442"/>
        <v>3479.8664623190739</v>
      </c>
      <c r="H250" s="41">
        <f t="shared" si="442"/>
        <v>3911.6730505414662</v>
      </c>
      <c r="I250" s="41">
        <f t="shared" si="442"/>
        <v>4329.2984566768118</v>
      </c>
      <c r="J250" s="41">
        <f t="shared" ref="J250:N250" si="443">J241</f>
        <v>4719.4430276390067</v>
      </c>
      <c r="K250" s="41">
        <f t="shared" si="443"/>
        <v>5056.1860717005065</v>
      </c>
      <c r="L250" s="41">
        <f t="shared" si="443"/>
        <v>5328.5038024692803</v>
      </c>
      <c r="M250" s="41">
        <f t="shared" si="443"/>
        <v>5520.2529163149511</v>
      </c>
      <c r="N250" s="41">
        <f t="shared" si="443"/>
        <v>5669.306216978528</v>
      </c>
    </row>
    <row r="251" spans="1:22" outlineLevel="1" x14ac:dyDescent="0.15">
      <c r="A251" s="31" t="s">
        <v>169</v>
      </c>
      <c r="B251" s="31"/>
      <c r="C251" s="31"/>
      <c r="D251" s="73"/>
      <c r="E251" s="73">
        <f>E243</f>
        <v>-1575.1439117058962</v>
      </c>
      <c r="F251" s="73">
        <f t="shared" ref="F251:N251" si="444">F243</f>
        <v>-178.82049324799937</v>
      </c>
      <c r="G251" s="73">
        <f t="shared" si="444"/>
        <v>-178.68422081308108</v>
      </c>
      <c r="H251" s="73">
        <f t="shared" si="444"/>
        <v>44.695453591668411</v>
      </c>
      <c r="I251" s="73">
        <f t="shared" si="444"/>
        <v>-175.5148250700986</v>
      </c>
      <c r="J251" s="73">
        <f t="shared" si="444"/>
        <v>-163.96549424075783</v>
      </c>
      <c r="K251" s="73">
        <f t="shared" si="444"/>
        <v>183.8197827754866</v>
      </c>
      <c r="L251" s="73">
        <f t="shared" si="444"/>
        <v>217.7245298669186</v>
      </c>
      <c r="M251" s="73">
        <f t="shared" si="444"/>
        <v>-56.925144372567956</v>
      </c>
      <c r="N251" s="73">
        <f t="shared" si="444"/>
        <v>305.53353603017058</v>
      </c>
    </row>
    <row r="252" spans="1:22" outlineLevel="1" x14ac:dyDescent="0.15">
      <c r="A252" s="32" t="s">
        <v>170</v>
      </c>
      <c r="B252" s="32"/>
      <c r="C252" s="32"/>
      <c r="D252" s="41"/>
      <c r="E252" s="74">
        <f>(E249-E250+E251)/E248</f>
        <v>-4.4018252878726694</v>
      </c>
      <c r="F252" s="74">
        <f t="shared" ref="F252:N252" si="445">(F249-F250+F251)/F248</f>
        <v>-1.8044026541736824</v>
      </c>
      <c r="G252" s="74">
        <f t="shared" si="445"/>
        <v>-1.7278584865826339</v>
      </c>
      <c r="H252" s="74">
        <f t="shared" si="445"/>
        <v>-1.546449941966777</v>
      </c>
      <c r="I252" s="74">
        <f t="shared" si="445"/>
        <v>-1.3736721257695932</v>
      </c>
      <c r="J252" s="74">
        <f t="shared" si="445"/>
        <v>-1.2111774097020818</v>
      </c>
      <c r="K252" s="74">
        <f t="shared" si="445"/>
        <v>-1.018903974632688</v>
      </c>
      <c r="L252" s="74">
        <f t="shared" si="445"/>
        <v>-0.98010577534592191</v>
      </c>
      <c r="M252" s="74">
        <f t="shared" si="445"/>
        <v>-0.91718214141673138</v>
      </c>
      <c r="N252" s="74">
        <f t="shared" si="445"/>
        <v>-0.88021957903039427</v>
      </c>
    </row>
    <row r="253" spans="1:22" outlineLevel="1" x14ac:dyDescent="0.15">
      <c r="D253" s="16"/>
      <c r="E253" s="75"/>
      <c r="F253" s="75"/>
      <c r="G253" s="75"/>
      <c r="H253" s="75"/>
      <c r="I253" s="75"/>
      <c r="L253" s="20"/>
    </row>
    <row r="254" spans="1:22" outlineLevel="1" x14ac:dyDescent="0.15">
      <c r="D254" s="16"/>
      <c r="E254" s="16"/>
      <c r="F254" s="16"/>
      <c r="G254" s="16"/>
      <c r="H254" s="16"/>
      <c r="L254" s="20"/>
    </row>
    <row r="255" spans="1:22" outlineLevel="1" x14ac:dyDescent="0.15">
      <c r="D255" s="16"/>
      <c r="E255" s="16"/>
      <c r="F255" s="16"/>
      <c r="G255" s="16"/>
      <c r="H255" s="16"/>
      <c r="L255" s="20"/>
    </row>
    <row r="256" spans="1:22" ht="16" outlineLevel="1" thickBot="1" x14ac:dyDescent="0.25">
      <c r="A256" s="13" t="s">
        <v>136</v>
      </c>
      <c r="B256" s="14"/>
      <c r="C256" s="14"/>
      <c r="D256" s="19"/>
      <c r="E256" s="21">
        <f>E237</f>
        <v>2022</v>
      </c>
      <c r="F256" s="21">
        <f t="shared" ref="F256:N256" si="446">F237</f>
        <v>2023</v>
      </c>
      <c r="G256" s="21">
        <f t="shared" si="446"/>
        <v>2024</v>
      </c>
      <c r="H256" s="21">
        <f t="shared" si="446"/>
        <v>2025</v>
      </c>
      <c r="I256" s="21">
        <f t="shared" si="446"/>
        <v>2026</v>
      </c>
      <c r="J256" s="21">
        <f t="shared" si="446"/>
        <v>2027</v>
      </c>
      <c r="K256" s="21">
        <f t="shared" si="446"/>
        <v>2028</v>
      </c>
      <c r="L256" s="21">
        <f t="shared" si="446"/>
        <v>2029</v>
      </c>
      <c r="M256" s="21">
        <f t="shared" si="446"/>
        <v>2030</v>
      </c>
      <c r="N256" s="21">
        <f t="shared" si="446"/>
        <v>2031</v>
      </c>
      <c r="V256" s="90" t="s">
        <v>180</v>
      </c>
    </row>
    <row r="257" spans="1:18" outlineLevel="1" x14ac:dyDescent="0.15">
      <c r="A257" s="6" t="s">
        <v>137</v>
      </c>
      <c r="D257" s="16"/>
      <c r="E257" s="16">
        <f>E244</f>
        <v>0.30478797240812128</v>
      </c>
      <c r="F257" s="16">
        <f t="shared" ref="F257:M257" si="447">F244</f>
        <v>1860.761316515408</v>
      </c>
      <c r="G257" s="16">
        <f t="shared" si="447"/>
        <v>2511.6091896248008</v>
      </c>
      <c r="H257" s="16">
        <f t="shared" si="447"/>
        <v>3674.2704711852975</v>
      </c>
      <c r="I257" s="16">
        <f t="shared" si="447"/>
        <v>5817.3214625838164</v>
      </c>
      <c r="J257" s="16">
        <f t="shared" si="447"/>
        <v>7770.1018331877185</v>
      </c>
      <c r="K257" s="16">
        <f t="shared" si="447"/>
        <v>9549.8849985122706</v>
      </c>
      <c r="L257" s="16">
        <f t="shared" si="447"/>
        <v>10445.723899330091</v>
      </c>
      <c r="M257" s="16">
        <f t="shared" si="447"/>
        <v>12157.449800711676</v>
      </c>
      <c r="N257" s="16">
        <f>N244+H229</f>
        <v>222188.11797918234</v>
      </c>
    </row>
    <row r="258" spans="1:18" outlineLevel="1" x14ac:dyDescent="0.15">
      <c r="A258" s="6"/>
      <c r="D258" s="16"/>
      <c r="E258" s="16"/>
      <c r="F258" s="16"/>
      <c r="G258" s="16"/>
      <c r="H258" s="16"/>
      <c r="L258" s="20"/>
    </row>
    <row r="259" spans="1:18" outlineLevel="1" x14ac:dyDescent="0.15">
      <c r="A259" s="6"/>
      <c r="D259" s="16"/>
      <c r="E259" s="16"/>
      <c r="F259" s="16"/>
      <c r="G259" s="16"/>
      <c r="H259" s="16"/>
      <c r="L259" s="20"/>
    </row>
    <row r="260" spans="1:18" outlineLevel="1" x14ac:dyDescent="0.15">
      <c r="A260" s="2" t="s">
        <v>85</v>
      </c>
      <c r="B260" s="16">
        <f>NPV(C229,E257:N257)*(1+C229)^0.5</f>
        <v>129920.73224586797</v>
      </c>
      <c r="D260" s="71" t="s">
        <v>139</v>
      </c>
      <c r="E260" s="92">
        <f>(H229/(1+C229)^(10-0.5))/B260</f>
        <v>0.71269115187944221</v>
      </c>
      <c r="G260" s="2" t="s">
        <v>181</v>
      </c>
    </row>
    <row r="261" spans="1:18" outlineLevel="1" x14ac:dyDescent="0.15">
      <c r="A261" s="2" t="s">
        <v>173</v>
      </c>
      <c r="B261" s="16">
        <f>I75</f>
        <v>673</v>
      </c>
      <c r="D261" s="16"/>
      <c r="E261" s="16"/>
    </row>
    <row r="262" spans="1:18" outlineLevel="1" x14ac:dyDescent="0.15">
      <c r="A262" s="2" t="s">
        <v>174</v>
      </c>
      <c r="B262" s="16">
        <f>I99+I94</f>
        <v>53195</v>
      </c>
      <c r="C262" s="16"/>
      <c r="D262" s="16"/>
      <c r="E262" s="16"/>
      <c r="F262" s="68"/>
      <c r="G262" s="11"/>
      <c r="H262" s="16"/>
    </row>
    <row r="263" spans="1:18" ht="15" outlineLevel="1" x14ac:dyDescent="0.2">
      <c r="A263" s="2" t="s">
        <v>172</v>
      </c>
      <c r="B263" s="17">
        <f>B262-B261</f>
        <v>52522</v>
      </c>
      <c r="C263" s="16"/>
      <c r="D263" s="16"/>
      <c r="E263" s="16"/>
      <c r="F263" s="68"/>
      <c r="G263" s="16"/>
      <c r="H263" s="16"/>
      <c r="R263"/>
    </row>
    <row r="264" spans="1:18" outlineLevel="1" x14ac:dyDescent="0.15">
      <c r="A264" s="6" t="s">
        <v>86</v>
      </c>
      <c r="B264" s="71">
        <f>B260-B263</f>
        <v>77398.73224586797</v>
      </c>
      <c r="D264" s="86"/>
      <c r="E264" s="16"/>
      <c r="F264" s="16"/>
      <c r="G264" s="16"/>
      <c r="H264" s="16"/>
    </row>
    <row r="265" spans="1:18" outlineLevel="1" x14ac:dyDescent="0.15">
      <c r="B265" s="16"/>
      <c r="D265" s="16"/>
      <c r="E265" s="16"/>
      <c r="F265" s="16"/>
      <c r="G265" s="16"/>
      <c r="H265" s="16"/>
    </row>
    <row r="266" spans="1:18" outlineLevel="1" x14ac:dyDescent="0.15">
      <c r="A266" s="6" t="s">
        <v>87</v>
      </c>
      <c r="B266" s="78">
        <f>B264/C233</f>
        <v>78.897790260823612</v>
      </c>
    </row>
    <row r="267" spans="1:18" outlineLevel="1" x14ac:dyDescent="0.15">
      <c r="B267" s="76"/>
      <c r="G267" s="11"/>
    </row>
    <row r="268" spans="1:18" outlineLevel="1" x14ac:dyDescent="0.15">
      <c r="A268" s="2" t="s">
        <v>84</v>
      </c>
      <c r="B268" s="76">
        <f>C232</f>
        <v>66.599999999999994</v>
      </c>
    </row>
    <row r="269" spans="1:18" outlineLevel="1" x14ac:dyDescent="0.15">
      <c r="A269" s="2" t="s">
        <v>88</v>
      </c>
      <c r="B269" s="77">
        <f>B266</f>
        <v>78.897790260823612</v>
      </c>
    </row>
    <row r="270" spans="1:18" outlineLevel="1" x14ac:dyDescent="0.15">
      <c r="A270" s="6" t="s">
        <v>89</v>
      </c>
      <c r="B270" s="48">
        <f>B269/B268-1</f>
        <v>0.18465150541777198</v>
      </c>
      <c r="C270" s="94"/>
    </row>
    <row r="271" spans="1:18" outlineLevel="1" x14ac:dyDescent="0.15">
      <c r="A271" s="6"/>
      <c r="B271" s="48"/>
      <c r="O271" s="11"/>
    </row>
    <row r="272" spans="1:18" outlineLevel="1" x14ac:dyDescent="0.15">
      <c r="A272" s="6"/>
      <c r="B272" s="48"/>
    </row>
    <row r="273" spans="1:14" outlineLevel="1" x14ac:dyDescent="0.15">
      <c r="A273" s="22" t="s">
        <v>138</v>
      </c>
      <c r="B273" s="8"/>
      <c r="C273" s="8"/>
      <c r="D273" s="17"/>
      <c r="E273" s="45">
        <f>E237</f>
        <v>2022</v>
      </c>
      <c r="F273" s="45">
        <f t="shared" ref="F273:N273" si="448">F237</f>
        <v>2023</v>
      </c>
      <c r="G273" s="45">
        <f t="shared" si="448"/>
        <v>2024</v>
      </c>
      <c r="H273" s="45">
        <f t="shared" si="448"/>
        <v>2025</v>
      </c>
      <c r="I273" s="45">
        <f t="shared" si="448"/>
        <v>2026</v>
      </c>
      <c r="J273" s="45">
        <f t="shared" si="448"/>
        <v>2027</v>
      </c>
      <c r="K273" s="45">
        <f t="shared" si="448"/>
        <v>2028</v>
      </c>
      <c r="L273" s="45">
        <f t="shared" si="448"/>
        <v>2029</v>
      </c>
      <c r="M273" s="45">
        <f t="shared" si="448"/>
        <v>2030</v>
      </c>
      <c r="N273" s="45">
        <f t="shared" si="448"/>
        <v>2031</v>
      </c>
    </row>
    <row r="274" spans="1:14" outlineLevel="1" x14ac:dyDescent="0.15">
      <c r="A274" s="6" t="s">
        <v>137</v>
      </c>
      <c r="D274" s="16"/>
      <c r="E274" s="16">
        <f>E244</f>
        <v>0.30478797240812128</v>
      </c>
      <c r="F274" s="16">
        <f>F244</f>
        <v>1860.761316515408</v>
      </c>
      <c r="G274" s="16">
        <f>G244</f>
        <v>2511.6091896248008</v>
      </c>
      <c r="H274" s="16">
        <f>H244</f>
        <v>3674.2704711852975</v>
      </c>
      <c r="I274" s="16">
        <f t="shared" ref="I274:M274" si="449">I244</f>
        <v>5817.3214625838164</v>
      </c>
      <c r="J274" s="16">
        <f t="shared" si="449"/>
        <v>7770.1018331877185</v>
      </c>
      <c r="K274" s="16">
        <f t="shared" si="449"/>
        <v>9549.8849985122706</v>
      </c>
      <c r="L274" s="16">
        <f t="shared" si="449"/>
        <v>10445.723899330091</v>
      </c>
      <c r="M274" s="16">
        <f t="shared" si="449"/>
        <v>12157.449800711676</v>
      </c>
      <c r="N274" s="16">
        <f>N244+H228</f>
        <v>225772.40276275625</v>
      </c>
    </row>
    <row r="275" spans="1:14" outlineLevel="1" x14ac:dyDescent="0.15">
      <c r="A275" s="6"/>
      <c r="D275" s="16"/>
      <c r="E275" s="16"/>
      <c r="F275" s="16"/>
      <c r="G275" s="16"/>
      <c r="H275" s="16"/>
      <c r="L275" s="20"/>
    </row>
    <row r="276" spans="1:14" outlineLevel="1" x14ac:dyDescent="0.15">
      <c r="A276" s="6"/>
      <c r="D276" s="16"/>
      <c r="E276" s="16"/>
      <c r="F276" s="16"/>
      <c r="G276" s="16"/>
      <c r="H276" s="16"/>
      <c r="L276" s="20"/>
    </row>
    <row r="277" spans="1:14" outlineLevel="1" x14ac:dyDescent="0.15">
      <c r="A277" s="2" t="s">
        <v>85</v>
      </c>
      <c r="B277" s="16">
        <f>NPV(C229,E274:N274)*(1+C229)^0.5</f>
        <v>131501.43706774892</v>
      </c>
      <c r="D277" s="71" t="s">
        <v>139</v>
      </c>
      <c r="E277" s="92">
        <f>(H228/(1+C229)^(10-0.5))/B277</f>
        <v>0.7161447299674083</v>
      </c>
      <c r="G277" s="16"/>
      <c r="H277" s="16"/>
    </row>
    <row r="278" spans="1:14" outlineLevel="1" x14ac:dyDescent="0.15">
      <c r="A278" s="2" t="s">
        <v>173</v>
      </c>
      <c r="B278" s="16">
        <f>B261</f>
        <v>673</v>
      </c>
      <c r="D278" s="16"/>
      <c r="E278" s="16"/>
      <c r="F278" s="16"/>
      <c r="G278" s="16"/>
      <c r="H278" s="16"/>
    </row>
    <row r="279" spans="1:14" outlineLevel="1" x14ac:dyDescent="0.15">
      <c r="A279" s="2" t="s">
        <v>174</v>
      </c>
      <c r="B279" s="16">
        <f>B262</f>
        <v>53195</v>
      </c>
      <c r="D279" s="16"/>
      <c r="E279" s="16"/>
      <c r="F279" s="16"/>
      <c r="G279" s="16"/>
      <c r="H279" s="16"/>
    </row>
    <row r="280" spans="1:14" outlineLevel="1" x14ac:dyDescent="0.15">
      <c r="A280" s="2" t="s">
        <v>172</v>
      </c>
      <c r="B280" s="17">
        <f>B279-B278</f>
        <v>52522</v>
      </c>
      <c r="D280" s="16"/>
      <c r="E280" s="16"/>
      <c r="F280" s="16"/>
      <c r="G280" s="16"/>
      <c r="H280" s="16"/>
    </row>
    <row r="281" spans="1:14" outlineLevel="1" x14ac:dyDescent="0.15">
      <c r="A281" s="6" t="s">
        <v>86</v>
      </c>
      <c r="B281" s="71">
        <f>B277-B280</f>
        <v>78979.437067748921</v>
      </c>
      <c r="D281" s="16"/>
      <c r="E281" s="16"/>
      <c r="F281" s="16"/>
      <c r="G281" s="16"/>
      <c r="H281" s="16"/>
    </row>
    <row r="282" spans="1:14" outlineLevel="1" x14ac:dyDescent="0.15">
      <c r="B282" s="46"/>
      <c r="D282" s="86"/>
      <c r="E282" s="16"/>
      <c r="F282" s="16"/>
      <c r="G282" s="16" t="s">
        <v>182</v>
      </c>
      <c r="H282" s="16"/>
    </row>
    <row r="283" spans="1:14" outlineLevel="1" x14ac:dyDescent="0.15">
      <c r="A283" s="6" t="s">
        <v>87</v>
      </c>
      <c r="B283" s="69">
        <f>B281/C233</f>
        <v>80.509110160804198</v>
      </c>
    </row>
    <row r="284" spans="1:14" outlineLevel="1" x14ac:dyDescent="0.15">
      <c r="B284" s="69"/>
    </row>
    <row r="285" spans="1:14" outlineLevel="1" x14ac:dyDescent="0.15">
      <c r="A285" s="2" t="s">
        <v>84</v>
      </c>
      <c r="B285" s="69">
        <f>C232</f>
        <v>66.599999999999994</v>
      </c>
    </row>
    <row r="286" spans="1:14" outlineLevel="1" x14ac:dyDescent="0.15">
      <c r="A286" s="2" t="s">
        <v>88</v>
      </c>
      <c r="B286" s="70">
        <f>B283</f>
        <v>80.509110160804198</v>
      </c>
    </row>
    <row r="287" spans="1:14" outlineLevel="1" x14ac:dyDescent="0.15">
      <c r="A287" s="6" t="s">
        <v>89</v>
      </c>
      <c r="B287" s="48">
        <f>B286/B285-1</f>
        <v>0.20884549790997298</v>
      </c>
      <c r="C287" s="94"/>
    </row>
    <row r="288" spans="1:14" outlineLevel="1" x14ac:dyDescent="0.15">
      <c r="A288" s="6"/>
      <c r="B288" s="48"/>
    </row>
    <row r="289" spans="1:15" outlineLevel="1" x14ac:dyDescent="0.15">
      <c r="A289" s="6"/>
      <c r="B289" s="48"/>
    </row>
    <row r="293" spans="1:15" ht="18.5" customHeight="1" x14ac:dyDescent="0.2">
      <c r="A293" s="1" t="s">
        <v>90</v>
      </c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9"/>
    </row>
    <row r="294" spans="1:15" outlineLevel="1" x14ac:dyDescent="0.15"/>
    <row r="295" spans="1:15" outlineLevel="1" x14ac:dyDescent="0.15"/>
    <row r="296" spans="1:15" outlineLevel="1" x14ac:dyDescent="0.15">
      <c r="A296" s="2" t="s">
        <v>183</v>
      </c>
    </row>
    <row r="297" spans="1:15" outlineLevel="1" x14ac:dyDescent="0.15">
      <c r="A297" s="2" t="s">
        <v>184</v>
      </c>
    </row>
    <row r="298" spans="1:15" outlineLevel="1" x14ac:dyDescent="0.15"/>
    <row r="299" spans="1:15" outlineLevel="1" x14ac:dyDescent="0.15">
      <c r="A299" s="2" t="s">
        <v>185</v>
      </c>
    </row>
    <row r="300" spans="1:15" outlineLevel="1" x14ac:dyDescent="0.15"/>
    <row r="301" spans="1:15" outlineLevel="1" x14ac:dyDescent="0.15">
      <c r="A301" s="2" t="s">
        <v>186</v>
      </c>
    </row>
    <row r="302" spans="1:15" outlineLevel="1" x14ac:dyDescent="0.15"/>
    <row r="303" spans="1:15" outlineLevel="1" x14ac:dyDescent="0.15">
      <c r="A303" s="2" t="s">
        <v>187</v>
      </c>
    </row>
    <row r="304" spans="1:15" outlineLevel="1" x14ac:dyDescent="0.15"/>
    <row r="305" outlineLevel="1" x14ac:dyDescent="0.15"/>
    <row r="306" outlineLevel="1" x14ac:dyDescent="0.15"/>
    <row r="307" outlineLevel="1" x14ac:dyDescent="0.15"/>
    <row r="308" outlineLevel="1" x14ac:dyDescent="0.15"/>
    <row r="309" outlineLevel="1" x14ac:dyDescent="0.15"/>
    <row r="310" outlineLevel="1" x14ac:dyDescent="0.15"/>
    <row r="311" outlineLevel="1" x14ac:dyDescent="0.15"/>
    <row r="312" outlineLevel="1" x14ac:dyDescent="0.15"/>
    <row r="313" outlineLevel="1" x14ac:dyDescent="0.15"/>
    <row r="314" outlineLevel="1" x14ac:dyDescent="0.15"/>
    <row r="315" outlineLevel="1" x14ac:dyDescent="0.15"/>
    <row r="316" outlineLevel="1" x14ac:dyDescent="0.15"/>
    <row r="317" outlineLevel="1" x14ac:dyDescent="0.15"/>
    <row r="318" outlineLevel="1" x14ac:dyDescent="0.15"/>
    <row r="319" outlineLevel="1" x14ac:dyDescent="0.15"/>
    <row r="320" outlineLevel="1" x14ac:dyDescent="0.15"/>
  </sheetData>
  <conditionalFormatting sqref="E5:S5">
    <cfRule type="containsText" dxfId="1" priority="1" operator="containsText" text="ERROR">
      <formula>NOT(ISERROR(SEARCH("ERROR",E5)))</formula>
    </cfRule>
    <cfRule type="containsText" dxfId="0" priority="2" operator="containsText" text="OK">
      <formula>NOT(ISERROR(SEARCH("OK",E5)))</formula>
    </cfRule>
  </conditionalFormatting>
  <hyperlinks>
    <hyperlink ref="V256" r:id="rId1" xr:uid="{966BDBEE-70FF-4E95-9FCC-D8F9AB03C34E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A0E7-E3D2-4736-B27B-8891794D6C75}">
  <dimension ref="A1"/>
  <sheetViews>
    <sheetView workbookViewId="0">
      <selection activeCell="G29" sqref="G2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9F9-538B-45BC-A179-B8E30AF52588}">
  <dimension ref="A1"/>
  <sheetViews>
    <sheetView workbookViewId="0">
      <selection activeCell="N14" sqref="N1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5BDCA-CADF-4217-8D5B-40108B0FF582}">
  <dimension ref="O120:O150"/>
  <sheetViews>
    <sheetView topLeftCell="A181" workbookViewId="0">
      <selection activeCell="O150" sqref="O150:O153"/>
    </sheetView>
  </sheetViews>
  <sheetFormatPr baseColWidth="10" defaultColWidth="8.83203125" defaultRowHeight="15" x14ac:dyDescent="0.2"/>
  <sheetData>
    <row r="120" spans="15:15" x14ac:dyDescent="0.2">
      <c r="O120" s="24"/>
    </row>
    <row r="150" spans="15:15" x14ac:dyDescent="0.2">
      <c r="O150" s="2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C6825-9941-439A-B212-9A8F4AB29941}">
  <dimension ref="A1"/>
  <sheetViews>
    <sheetView workbookViewId="0">
      <selection activeCell="G18" sqref="G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 MODEL</vt:lpstr>
      <vt:lpstr>BBG Multiples</vt:lpstr>
      <vt:lpstr>BBG Profitability Comps</vt:lpstr>
      <vt:lpstr>BBG INFO</vt:lpstr>
      <vt:lpstr>OTHER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advait.varma998@outlook.com</dc:creator>
  <cp:lastModifiedBy>Advait Varma</cp:lastModifiedBy>
  <cp:lastPrinted>2022-02-18T15:13:17Z</cp:lastPrinted>
  <dcterms:created xsi:type="dcterms:W3CDTF">2022-02-13T19:37:26Z</dcterms:created>
  <dcterms:modified xsi:type="dcterms:W3CDTF">2025-01-03T00:28:39Z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{60BA3AD9-1BF7-452F-9A2B-E83FEA63A740}</vt:lpwstr>
  </property>
</Properties>
</file>