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2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vai\Downloads\Acuite\"/>
    </mc:Choice>
  </mc:AlternateContent>
  <xr:revisionPtr revIDLastSave="0" documentId="13_ncr:1_{8370CD3E-D0BD-4287-B1D6-059379245870}" xr6:coauthVersionLast="47" xr6:coauthVersionMax="47" xr10:uidLastSave="{00000000-0000-0000-0000-000000000000}"/>
  <bookViews>
    <workbookView xWindow="-110" yWindow="-110" windowWidth="19420" windowHeight="10300" tabRatio="903" firstSheet="7" activeTab="14" xr2:uid="{00000000-000D-0000-FFFF-FFFF00000000}"/>
  </bookViews>
  <sheets>
    <sheet name="HISTORICAL P&amp;L" sheetId="5" r:id="rId1"/>
    <sheet name="HISTORICAL BS" sheetId="3" r:id="rId2"/>
    <sheet name="HISTORICAL CF" sheetId="24" r:id="rId3"/>
    <sheet name="Final Revenue Build-Up" sheetId="8" r:id="rId4"/>
    <sheet name="Final Cost Build-Up" sheetId="9" r:id="rId5"/>
    <sheet name="Assumption Sheet" sheetId="11" r:id="rId6"/>
    <sheet name="Revenue Build-Up Projected" sheetId="10" r:id="rId7"/>
    <sheet name="Cost Buildup- Projected " sheetId="12" r:id="rId8"/>
    <sheet name="Projected P&amp;L" sheetId="17" r:id="rId9"/>
    <sheet name="Projected BS" sheetId="19" r:id="rId10"/>
    <sheet name="Projected Cashflow" sheetId="20" r:id="rId11"/>
    <sheet name="FCFE" sheetId="23" r:id="rId12"/>
    <sheet name="CCM" sheetId="25" r:id="rId13"/>
    <sheet name="summary" sheetId="26" r:id="rId14"/>
    <sheet name="wacc" sheetId="21" r:id="rId15"/>
    <sheet name="IGNORE Revenue Buildup" sheetId="7" state="hidden" r:id="rId16"/>
    <sheet name="CAPEXSALES Ashwat " sheetId="18" state="hidden" r:id="rId17"/>
    <sheet name="TASKS" sheetId="16" state="hidden" r:id="rId18"/>
    <sheet name="IGNORE Cost build up" sheetId="6" state="hidden" r:id="rId19"/>
  </sheets>
  <externalReferences>
    <externalReference r:id="rId20"/>
    <externalReference r:id="rId21"/>
    <externalReference r:id="rId2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5" l="1"/>
  <c r="E23" i="25"/>
  <c r="I2" i="25"/>
  <c r="E25" i="25"/>
  <c r="E34" i="25" s="1"/>
  <c r="C22" i="25"/>
  <c r="E33" i="25"/>
  <c r="O15" i="25"/>
  <c r="D40" i="25" s="1"/>
  <c r="O14" i="25"/>
  <c r="I14" i="25"/>
  <c r="N14" i="25" s="1"/>
  <c r="O13" i="25"/>
  <c r="I13" i="25"/>
  <c r="N13" i="25" s="1"/>
  <c r="O12" i="25"/>
  <c r="I12" i="25"/>
  <c r="N12" i="25" s="1"/>
  <c r="O11" i="25"/>
  <c r="I11" i="25"/>
  <c r="N11" i="25" s="1"/>
  <c r="O6" i="25"/>
  <c r="I6" i="25"/>
  <c r="N6" i="25" s="1"/>
  <c r="O5" i="25"/>
  <c r="N5" i="25"/>
  <c r="O4" i="25"/>
  <c r="I4" i="25"/>
  <c r="N4" i="25" s="1"/>
  <c r="V3" i="25"/>
  <c r="O3" i="25"/>
  <c r="I3" i="25"/>
  <c r="N3" i="25" s="1"/>
  <c r="O2" i="25"/>
  <c r="O7" i="25" s="1"/>
  <c r="N2" i="25"/>
  <c r="N15" i="25" l="1"/>
  <c r="D31" i="25" s="1"/>
  <c r="N7" i="25"/>
  <c r="M2" i="25"/>
  <c r="M3" i="25"/>
  <c r="M11" i="25"/>
  <c r="M12" i="25"/>
  <c r="M13" i="25"/>
  <c r="M14" i="25"/>
  <c r="M4" i="25"/>
  <c r="M5" i="25"/>
  <c r="M6" i="25"/>
  <c r="M7" i="25" l="1"/>
  <c r="M15" i="25"/>
  <c r="D22" i="25" s="1"/>
  <c r="E22" i="25" s="1"/>
  <c r="E26" i="25" s="1"/>
  <c r="C46" i="25" s="1"/>
  <c r="B11" i="24" l="1"/>
  <c r="C11" i="24"/>
  <c r="B12" i="24"/>
  <c r="C12" i="24"/>
  <c r="B16" i="24"/>
  <c r="C16" i="24"/>
  <c r="B21" i="24"/>
  <c r="C21" i="24"/>
  <c r="B31" i="24"/>
  <c r="C31" i="24"/>
  <c r="B36" i="24"/>
  <c r="C36" i="24"/>
  <c r="C6" i="21"/>
  <c r="E5" i="23"/>
  <c r="E6" i="23" s="1"/>
  <c r="E7" i="23" s="1"/>
  <c r="F5" i="23"/>
  <c r="F6" i="23" s="1"/>
  <c r="F7" i="23" s="1"/>
  <c r="G5" i="23"/>
  <c r="G6" i="23" s="1"/>
  <c r="G7" i="23" s="1"/>
  <c r="B21" i="23"/>
  <c r="C17" i="24" l="1"/>
  <c r="C23" i="24" s="1"/>
  <c r="B17" i="24"/>
  <c r="B23" i="24" s="1"/>
  <c r="C38" i="24"/>
  <c r="B38" i="24"/>
  <c r="C22" i="20"/>
  <c r="D16" i="19"/>
  <c r="D22" i="20" s="1"/>
  <c r="D49" i="3"/>
  <c r="C52" i="11" s="1"/>
  <c r="D52" i="11" s="1"/>
  <c r="E52" i="11" s="1"/>
  <c r="F52" i="11" s="1"/>
  <c r="G52" i="11" s="1"/>
  <c r="C49" i="3"/>
  <c r="B2" i="12"/>
  <c r="D10" i="10"/>
  <c r="D7" i="10"/>
  <c r="D13" i="8"/>
  <c r="B101" i="5"/>
  <c r="H83" i="5"/>
  <c r="D89" i="5"/>
  <c r="E89" i="5"/>
  <c r="F89" i="5"/>
  <c r="C21" i="21"/>
  <c r="C14" i="21"/>
  <c r="C19" i="21" s="1"/>
  <c r="C8" i="21"/>
  <c r="C18" i="21" s="1"/>
  <c r="C25" i="23" s="1"/>
  <c r="C14" i="23" s="1"/>
  <c r="C32" i="20"/>
  <c r="D28" i="20"/>
  <c r="E28" i="20"/>
  <c r="F28" i="20"/>
  <c r="G28" i="20"/>
  <c r="C28" i="20"/>
  <c r="F11" i="3"/>
  <c r="E11" i="3"/>
  <c r="E14" i="23" l="1"/>
  <c r="F14" i="23"/>
  <c r="G14" i="23"/>
  <c r="H14" i="23"/>
  <c r="D14" i="23"/>
  <c r="C23" i="21"/>
  <c r="E16" i="19"/>
  <c r="E5" i="3"/>
  <c r="C101" i="5"/>
  <c r="D61" i="3"/>
  <c r="C61" i="3"/>
  <c r="D58" i="3"/>
  <c r="D48" i="3" s="1"/>
  <c r="C58" i="3"/>
  <c r="C47" i="3" s="1"/>
  <c r="D57" i="3"/>
  <c r="C57" i="3"/>
  <c r="D56" i="3"/>
  <c r="C56" i="3"/>
  <c r="D55" i="3"/>
  <c r="C55" i="3"/>
  <c r="D54" i="3"/>
  <c r="C54" i="3"/>
  <c r="D33" i="3"/>
  <c r="C33" i="3"/>
  <c r="D23" i="3"/>
  <c r="C23" i="3"/>
  <c r="D16" i="3"/>
  <c r="C64" i="3" s="1"/>
  <c r="C16" i="3"/>
  <c r="D13" i="3"/>
  <c r="C13" i="3"/>
  <c r="D6" i="3"/>
  <c r="D60" i="3" s="1"/>
  <c r="C6" i="3"/>
  <c r="C60" i="3" s="1"/>
  <c r="D50" i="3" l="1"/>
  <c r="C62" i="3"/>
  <c r="D62" i="3"/>
  <c r="D39" i="3"/>
  <c r="C40" i="3"/>
  <c r="D47" i="3"/>
  <c r="D51" i="3" s="1"/>
  <c r="C48" i="3"/>
  <c r="C39" i="3"/>
  <c r="C50" i="3"/>
  <c r="C52" i="3" s="1"/>
  <c r="E22" i="20"/>
  <c r="F16" i="19"/>
  <c r="D42" i="3"/>
  <c r="D40" i="3"/>
  <c r="D28" i="3"/>
  <c r="D35" i="3" s="1"/>
  <c r="C58" i="11"/>
  <c r="C44" i="3"/>
  <c r="C43" i="3"/>
  <c r="C42" i="3"/>
  <c r="C17" i="3"/>
  <c r="D43" i="3"/>
  <c r="D44" i="3"/>
  <c r="D41" i="3"/>
  <c r="D17" i="3"/>
  <c r="D37" i="3" s="1"/>
  <c r="C28" i="3"/>
  <c r="C35" i="3" s="1"/>
  <c r="C41" i="3"/>
  <c r="C51" i="3" l="1"/>
  <c r="F22" i="20"/>
  <c r="G16" i="19"/>
  <c r="G22" i="20" s="1"/>
  <c r="C37" i="3"/>
  <c r="C13" i="5"/>
  <c r="B13" i="5"/>
  <c r="C6" i="12" l="1"/>
  <c r="D6" i="12"/>
  <c r="E6" i="12"/>
  <c r="F6" i="12"/>
  <c r="B6" i="12"/>
  <c r="B3" i="18"/>
  <c r="C3" i="18"/>
  <c r="D3" i="18"/>
  <c r="E3" i="18"/>
  <c r="A3" i="18"/>
  <c r="D57" i="11" l="1"/>
  <c r="E57" i="11"/>
  <c r="F57" i="11"/>
  <c r="G57" i="11"/>
  <c r="C57" i="11"/>
  <c r="F18" i="8"/>
  <c r="J6" i="9" l="1"/>
  <c r="J7" i="9" s="1"/>
  <c r="K6" i="9"/>
  <c r="K7" i="9" s="1"/>
  <c r="L6" i="9"/>
  <c r="L7" i="9" s="1"/>
  <c r="M6" i="9"/>
  <c r="M7" i="9" s="1"/>
  <c r="N6" i="9"/>
  <c r="N7" i="9" s="1"/>
  <c r="O2" i="9"/>
  <c r="O3" i="9" s="1"/>
  <c r="E7" i="10"/>
  <c r="F7" i="10" s="1"/>
  <c r="G7" i="10" s="1"/>
  <c r="H7" i="10" s="1"/>
  <c r="C2" i="12" l="1"/>
  <c r="C9" i="17"/>
  <c r="N8" i="9"/>
  <c r="D9" i="10"/>
  <c r="E10" i="10"/>
  <c r="F10" i="10" s="1"/>
  <c r="G10" i="10" s="1"/>
  <c r="H10" i="10" s="1"/>
  <c r="C122" i="5"/>
  <c r="C123" i="5" s="1"/>
  <c r="B122" i="5"/>
  <c r="C121" i="5"/>
  <c r="B121" i="5"/>
  <c r="D11" i="10" l="1"/>
  <c r="C22" i="19"/>
  <c r="C6" i="17"/>
  <c r="C61" i="11" s="1"/>
  <c r="C15" i="19" s="1"/>
  <c r="C18" i="19" s="1"/>
  <c r="D2" i="12"/>
  <c r="D9" i="17"/>
  <c r="E9" i="10"/>
  <c r="D22" i="19" s="1"/>
  <c r="F10" i="9"/>
  <c r="E10" i="9"/>
  <c r="F8" i="9"/>
  <c r="E8" i="9"/>
  <c r="F14" i="9"/>
  <c r="E14" i="9"/>
  <c r="E61" i="8"/>
  <c r="D46" i="10" s="1"/>
  <c r="E46" i="10" s="1"/>
  <c r="F46" i="10" s="1"/>
  <c r="G46" i="10" s="1"/>
  <c r="H46" i="10" s="1"/>
  <c r="E60" i="8"/>
  <c r="D45" i="10" s="1"/>
  <c r="E45" i="10" s="1"/>
  <c r="F45" i="10" s="1"/>
  <c r="G45" i="10" s="1"/>
  <c r="H45" i="10" s="1"/>
  <c r="E54" i="8"/>
  <c r="D44" i="10" s="1"/>
  <c r="E44" i="10" s="1"/>
  <c r="F44" i="10" s="1"/>
  <c r="G44" i="10" s="1"/>
  <c r="H44" i="10" s="1"/>
  <c r="E53" i="8"/>
  <c r="D43" i="10" s="1"/>
  <c r="E43" i="10" s="1"/>
  <c r="F43" i="10" s="1"/>
  <c r="G43" i="10" s="1"/>
  <c r="H43" i="10" s="1"/>
  <c r="E47" i="8"/>
  <c r="D40" i="10" s="1"/>
  <c r="E40" i="10" s="1"/>
  <c r="F40" i="10" s="1"/>
  <c r="G40" i="10" s="1"/>
  <c r="H40" i="10" s="1"/>
  <c r="E48" i="8"/>
  <c r="D41" i="10" s="1"/>
  <c r="E41" i="10" s="1"/>
  <c r="F41" i="10" s="1"/>
  <c r="G41" i="10" s="1"/>
  <c r="H41" i="10" s="1"/>
  <c r="E46" i="8"/>
  <c r="D39" i="10" s="1"/>
  <c r="E39" i="10" s="1"/>
  <c r="F39" i="10" s="1"/>
  <c r="G39" i="10" s="1"/>
  <c r="H39" i="10" s="1"/>
  <c r="E39" i="8"/>
  <c r="E40" i="8"/>
  <c r="E41" i="8"/>
  <c r="E42" i="8"/>
  <c r="E38" i="8"/>
  <c r="C21" i="11"/>
  <c r="C22" i="11"/>
  <c r="C23" i="11"/>
  <c r="C24" i="11"/>
  <c r="C20" i="11"/>
  <c r="D7" i="8"/>
  <c r="E7" i="8"/>
  <c r="F7" i="8"/>
  <c r="G7" i="8"/>
  <c r="H7" i="8"/>
  <c r="I7" i="8"/>
  <c r="C7" i="8"/>
  <c r="C60" i="11" l="1"/>
  <c r="C59" i="11" s="1"/>
  <c r="D9" i="23" s="1"/>
  <c r="D35" i="10"/>
  <c r="E35" i="10" s="1"/>
  <c r="F35" i="10" s="1"/>
  <c r="G35" i="10" s="1"/>
  <c r="H35" i="10" s="1"/>
  <c r="E2" i="12"/>
  <c r="E9" i="17"/>
  <c r="F9" i="10"/>
  <c r="E22" i="19" s="1"/>
  <c r="D6" i="17"/>
  <c r="D58" i="11"/>
  <c r="E11" i="10"/>
  <c r="D38" i="10"/>
  <c r="E38" i="10" s="1"/>
  <c r="F38" i="10" s="1"/>
  <c r="G38" i="10" s="1"/>
  <c r="H38" i="10" s="1"/>
  <c r="D34" i="10"/>
  <c r="E34" i="10" s="1"/>
  <c r="F34" i="10" s="1"/>
  <c r="G34" i="10" s="1"/>
  <c r="H34" i="10" s="1"/>
  <c r="D37" i="10"/>
  <c r="E37" i="10" s="1"/>
  <c r="F37" i="10" s="1"/>
  <c r="G37" i="10" s="1"/>
  <c r="H37" i="10" s="1"/>
  <c r="D36" i="10"/>
  <c r="E36" i="10" s="1"/>
  <c r="F36" i="10" s="1"/>
  <c r="G36" i="10" s="1"/>
  <c r="H36" i="10" s="1"/>
  <c r="E4" i="9"/>
  <c r="F4" i="9"/>
  <c r="C76" i="10"/>
  <c r="C77" i="10" s="1"/>
  <c r="F15" i="9"/>
  <c r="F9" i="9"/>
  <c r="F11" i="9"/>
  <c r="F125" i="5"/>
  <c r="E125" i="5"/>
  <c r="D125" i="5"/>
  <c r="F124" i="5"/>
  <c r="E124" i="5"/>
  <c r="D124" i="5"/>
  <c r="D31" i="10"/>
  <c r="E31" i="10" s="1"/>
  <c r="F31" i="10" s="1"/>
  <c r="D32" i="10"/>
  <c r="E32" i="10" s="1"/>
  <c r="F32" i="10" s="1"/>
  <c r="G32" i="10" s="1"/>
  <c r="D33" i="10"/>
  <c r="E33" i="10" s="1"/>
  <c r="F33" i="10" s="1"/>
  <c r="G33" i="10" s="1"/>
  <c r="D30" i="10"/>
  <c r="E30" i="10" s="1"/>
  <c r="F30" i="10" s="1"/>
  <c r="G30" i="10" s="1"/>
  <c r="G9" i="10" l="1"/>
  <c r="F2" i="12"/>
  <c r="G9" i="17" s="1"/>
  <c r="F9" i="17"/>
  <c r="F11" i="10"/>
  <c r="E6" i="17"/>
  <c r="E61" i="11" s="1"/>
  <c r="E15" i="19" s="1"/>
  <c r="E18" i="19" s="1"/>
  <c r="C21" i="20"/>
  <c r="C23" i="20" s="1"/>
  <c r="C15" i="17"/>
  <c r="D61" i="11"/>
  <c r="D15" i="19" s="1"/>
  <c r="D18" i="19" s="1"/>
  <c r="D7" i="17"/>
  <c r="F5" i="9"/>
  <c r="C75" i="10"/>
  <c r="H30" i="10"/>
  <c r="G31" i="10"/>
  <c r="H31" i="10" s="1"/>
  <c r="H33" i="10"/>
  <c r="H32" i="10"/>
  <c r="F12" i="9"/>
  <c r="E12" i="9"/>
  <c r="D12" i="9"/>
  <c r="C12" i="9"/>
  <c r="B12" i="9"/>
  <c r="F7" i="9"/>
  <c r="E7" i="9"/>
  <c r="D7" i="9"/>
  <c r="C7" i="9"/>
  <c r="F3" i="9"/>
  <c r="E3" i="9"/>
  <c r="D3" i="9"/>
  <c r="C3" i="9"/>
  <c r="N3" i="9"/>
  <c r="M3" i="9"/>
  <c r="L3" i="9"/>
  <c r="K3" i="9"/>
  <c r="E34" i="8"/>
  <c r="E33" i="8"/>
  <c r="E32" i="8"/>
  <c r="E31" i="8"/>
  <c r="F13" i="8"/>
  <c r="E13" i="8"/>
  <c r="H9" i="10" l="1"/>
  <c r="G22" i="19" s="1"/>
  <c r="F22" i="19"/>
  <c r="C6" i="20"/>
  <c r="D8" i="23"/>
  <c r="F6" i="17"/>
  <c r="F61" i="11" s="1"/>
  <c r="F15" i="19" s="1"/>
  <c r="F18" i="19" s="1"/>
  <c r="G11" i="10"/>
  <c r="E7" i="17"/>
  <c r="D60" i="11"/>
  <c r="E58" i="11"/>
  <c r="H11" i="10"/>
  <c r="G6" i="17"/>
  <c r="F58" i="11"/>
  <c r="E60" i="11"/>
  <c r="E15" i="17" s="1"/>
  <c r="E8" i="10"/>
  <c r="C13" i="9"/>
  <c r="D13" i="9"/>
  <c r="E13" i="9"/>
  <c r="F13" i="9"/>
  <c r="D32" i="7"/>
  <c r="D33" i="7"/>
  <c r="D34" i="7"/>
  <c r="D31" i="7"/>
  <c r="D56" i="7"/>
  <c r="D55" i="7"/>
  <c r="D54" i="7"/>
  <c r="F12" i="6"/>
  <c r="E12" i="6"/>
  <c r="D12" i="6"/>
  <c r="C12" i="6"/>
  <c r="E96" i="5"/>
  <c r="F96" i="5"/>
  <c r="D92" i="5"/>
  <c r="D96" i="5"/>
  <c r="E92" i="5"/>
  <c r="F92" i="5"/>
  <c r="G7" i="17" l="1"/>
  <c r="F7" i="17"/>
  <c r="E6" i="20"/>
  <c r="F8" i="23"/>
  <c r="E59" i="11"/>
  <c r="D59" i="11"/>
  <c r="D15" i="17"/>
  <c r="F60" i="11"/>
  <c r="F15" i="17" s="1"/>
  <c r="G58" i="11"/>
  <c r="G61" i="11"/>
  <c r="G15" i="19" s="1"/>
  <c r="G18" i="19" s="1"/>
  <c r="G8" i="17"/>
  <c r="F8" i="10"/>
  <c r="H91" i="5"/>
  <c r="H92" i="5" s="1"/>
  <c r="G91" i="5"/>
  <c r="E82" i="5"/>
  <c r="H82" i="5"/>
  <c r="D82" i="5"/>
  <c r="G82" i="5"/>
  <c r="F97" i="5"/>
  <c r="F93" i="5"/>
  <c r="F82" i="5"/>
  <c r="E97" i="5"/>
  <c r="E93" i="5"/>
  <c r="C89" i="5"/>
  <c r="C86" i="5"/>
  <c r="D86" i="5"/>
  <c r="C82" i="5"/>
  <c r="B69" i="5"/>
  <c r="E86" i="5"/>
  <c r="F86" i="5"/>
  <c r="C69" i="5"/>
  <c r="C56" i="5"/>
  <c r="C105" i="5" s="1"/>
  <c r="B56" i="5"/>
  <c r="C48" i="5"/>
  <c r="C104" i="5" s="1"/>
  <c r="B48" i="5"/>
  <c r="C34" i="5"/>
  <c r="C103" i="5" s="1"/>
  <c r="B34" i="5"/>
  <c r="C29" i="5"/>
  <c r="B29" i="5"/>
  <c r="B102" i="5" s="1"/>
  <c r="C15" i="5"/>
  <c r="B15" i="5"/>
  <c r="F6" i="20" l="1"/>
  <c r="G8" i="23"/>
  <c r="D21" i="20"/>
  <c r="D23" i="20" s="1"/>
  <c r="E9" i="23"/>
  <c r="D6" i="20"/>
  <c r="E8" i="23"/>
  <c r="E21" i="20"/>
  <c r="E23" i="20" s="1"/>
  <c r="F9" i="23"/>
  <c r="B49" i="5"/>
  <c r="B104" i="5"/>
  <c r="C42" i="11"/>
  <c r="B103" i="5"/>
  <c r="C44" i="11"/>
  <c r="B105" i="5"/>
  <c r="H95" i="5"/>
  <c r="H96" i="5" s="1"/>
  <c r="C102" i="5"/>
  <c r="F59" i="11"/>
  <c r="G60" i="11"/>
  <c r="G15" i="17" s="1"/>
  <c r="C49" i="5"/>
  <c r="B4" i="12"/>
  <c r="C40" i="11"/>
  <c r="H8" i="10"/>
  <c r="G8" i="10"/>
  <c r="G95" i="5"/>
  <c r="G97" i="5" s="1"/>
  <c r="G93" i="5"/>
  <c r="G92" i="5"/>
  <c r="H93" i="5"/>
  <c r="C58" i="5"/>
  <c r="B58" i="5"/>
  <c r="C60" i="5"/>
  <c r="G6" i="20" l="1"/>
  <c r="H8" i="23"/>
  <c r="F21" i="20"/>
  <c r="F23" i="20" s="1"/>
  <c r="G9" i="23"/>
  <c r="G96" i="5"/>
  <c r="C4" i="12"/>
  <c r="C10" i="17"/>
  <c r="C12" i="17" s="1"/>
  <c r="G59" i="11"/>
  <c r="H97" i="5"/>
  <c r="D51" i="11"/>
  <c r="E51" i="11"/>
  <c r="F51" i="11"/>
  <c r="G51" i="11"/>
  <c r="C51" i="11"/>
  <c r="D53" i="11"/>
  <c r="E53" i="11"/>
  <c r="F53" i="11"/>
  <c r="G53" i="11"/>
  <c r="C53" i="11"/>
  <c r="B61" i="5"/>
  <c r="B62" i="5" s="1"/>
  <c r="G88" i="5"/>
  <c r="G89" i="5" s="1"/>
  <c r="C61" i="5"/>
  <c r="H88" i="5"/>
  <c r="H89" i="5" s="1"/>
  <c r="C62" i="5" l="1"/>
  <c r="C31" i="25"/>
  <c r="E31" i="25" s="1"/>
  <c r="E32" i="25" s="1"/>
  <c r="E35" i="25" s="1"/>
  <c r="C47" i="25" s="1"/>
  <c r="C21" i="19"/>
  <c r="C54" i="11"/>
  <c r="D21" i="19"/>
  <c r="D54" i="11"/>
  <c r="G21" i="19"/>
  <c r="G54" i="11"/>
  <c r="F21" i="19"/>
  <c r="F54" i="11"/>
  <c r="E21" i="19"/>
  <c r="E54" i="11"/>
  <c r="G21" i="20"/>
  <c r="G23" i="20" s="1"/>
  <c r="H9" i="23"/>
  <c r="E11" i="19"/>
  <c r="C10" i="20"/>
  <c r="C11" i="19"/>
  <c r="C14" i="20" s="1"/>
  <c r="D10" i="20"/>
  <c r="D11" i="19"/>
  <c r="F11" i="19"/>
  <c r="G11" i="19"/>
  <c r="C13" i="17"/>
  <c r="C16" i="17"/>
  <c r="D5" i="23" s="1"/>
  <c r="D6" i="23" s="1"/>
  <c r="D7" i="23" s="1"/>
  <c r="D4" i="12"/>
  <c r="D10" i="17"/>
  <c r="D12" i="17" s="1"/>
  <c r="C64" i="5"/>
  <c r="B64" i="5"/>
  <c r="C49" i="25" l="1"/>
  <c r="E7" i="26" s="1"/>
  <c r="G7" i="26" s="1"/>
  <c r="F10" i="20"/>
  <c r="E32" i="19"/>
  <c r="F32" i="19"/>
  <c r="F33" i="19" s="1"/>
  <c r="G10" i="23" s="1"/>
  <c r="G12" i="23" s="1"/>
  <c r="G15" i="23" s="1"/>
  <c r="G32" i="19"/>
  <c r="D32" i="19"/>
  <c r="C32" i="19"/>
  <c r="C33" i="19" s="1"/>
  <c r="D10" i="23" s="1"/>
  <c r="F14" i="20"/>
  <c r="G14" i="20"/>
  <c r="D14" i="20"/>
  <c r="E14" i="20"/>
  <c r="G10" i="20"/>
  <c r="E10" i="20"/>
  <c r="D13" i="17"/>
  <c r="D16" i="17"/>
  <c r="D19" i="17" s="1"/>
  <c r="E4" i="12"/>
  <c r="E10" i="17"/>
  <c r="E12" i="17" s="1"/>
  <c r="C19" i="17"/>
  <c r="C65" i="5"/>
  <c r="C70" i="5"/>
  <c r="C74" i="5" s="1"/>
  <c r="C40" i="25" s="1"/>
  <c r="E40" i="25" s="1"/>
  <c r="E41" i="25" s="1"/>
  <c r="C48" i="25" s="1"/>
  <c r="B70" i="5"/>
  <c r="B65" i="5"/>
  <c r="E33" i="19" l="1"/>
  <c r="F10" i="23" s="1"/>
  <c r="F12" i="23" s="1"/>
  <c r="F15" i="23" s="1"/>
  <c r="G33" i="19"/>
  <c r="H10" i="23" s="1"/>
  <c r="D12" i="23"/>
  <c r="D15" i="23" s="1"/>
  <c r="D33" i="19"/>
  <c r="E10" i="23" s="1"/>
  <c r="E12" i="23" s="1"/>
  <c r="E15" i="23" s="1"/>
  <c r="D20" i="17"/>
  <c r="D17" i="20"/>
  <c r="C20" i="17"/>
  <c r="C21" i="17" s="1"/>
  <c r="C17" i="20"/>
  <c r="E13" i="17"/>
  <c r="E16" i="17"/>
  <c r="E19" i="17" s="1"/>
  <c r="F4" i="12"/>
  <c r="G10" i="17" s="1"/>
  <c r="G12" i="17" s="1"/>
  <c r="F10" i="17"/>
  <c r="F12" i="17" s="1"/>
  <c r="C71" i="5"/>
  <c r="C76" i="5"/>
  <c r="B74" i="5"/>
  <c r="B76" i="5"/>
  <c r="B71" i="5"/>
  <c r="C75" i="5"/>
  <c r="H85" i="5"/>
  <c r="D21" i="17" l="1"/>
  <c r="D4" i="20"/>
  <c r="D8" i="20" s="1"/>
  <c r="D16" i="20" s="1"/>
  <c r="D18" i="20" s="1"/>
  <c r="D30" i="20" s="1"/>
  <c r="E20" i="17"/>
  <c r="E17" i="20"/>
  <c r="C5" i="19"/>
  <c r="C6" i="19" s="1"/>
  <c r="C13" i="19" s="1"/>
  <c r="C4" i="20"/>
  <c r="C8" i="20" s="1"/>
  <c r="C16" i="20" s="1"/>
  <c r="C18" i="20" s="1"/>
  <c r="F13" i="17"/>
  <c r="F16" i="17"/>
  <c r="G13" i="17"/>
  <c r="G16" i="17"/>
  <c r="G85" i="5"/>
  <c r="G86" i="5" s="1"/>
  <c r="B75" i="5"/>
  <c r="G19" i="17" l="1"/>
  <c r="G20" i="17" s="1"/>
  <c r="H5" i="23"/>
  <c r="H6" i="23" s="1"/>
  <c r="H7" i="23" s="1"/>
  <c r="H12" i="23" s="1"/>
  <c r="C30" i="20"/>
  <c r="C34" i="20" s="1"/>
  <c r="G17" i="20"/>
  <c r="D5" i="19"/>
  <c r="E5" i="19" s="1"/>
  <c r="E21" i="17"/>
  <c r="E4" i="20"/>
  <c r="E8" i="20" s="1"/>
  <c r="E16" i="20" s="1"/>
  <c r="E18" i="20" s="1"/>
  <c r="E30" i="20" s="1"/>
  <c r="F19" i="17"/>
  <c r="H86" i="5"/>
  <c r="H13" i="23" l="1"/>
  <c r="H15" i="23" s="1"/>
  <c r="C23" i="19"/>
  <c r="C24" i="19" s="1"/>
  <c r="C26" i="19" s="1"/>
  <c r="C28" i="19" s="1"/>
  <c r="D32" i="20"/>
  <c r="D34" i="20" s="1"/>
  <c r="E32" i="20" s="1"/>
  <c r="E34" i="20" s="1"/>
  <c r="D6" i="19"/>
  <c r="D13" i="19" s="1"/>
  <c r="G21" i="17"/>
  <c r="G4" i="20"/>
  <c r="G8" i="20" s="1"/>
  <c r="G16" i="20" s="1"/>
  <c r="G18" i="20" s="1"/>
  <c r="G30" i="20" s="1"/>
  <c r="F20" i="17"/>
  <c r="F5" i="19" s="1"/>
  <c r="F17" i="20"/>
  <c r="E6" i="19"/>
  <c r="E13" i="19" s="1"/>
  <c r="C20" i="23" l="1"/>
  <c r="C22" i="23" s="1"/>
  <c r="E6" i="26" s="1"/>
  <c r="G6" i="26" s="1"/>
  <c r="G8" i="26" s="1"/>
  <c r="D23" i="19"/>
  <c r="D24" i="19" s="1"/>
  <c r="D26" i="19" s="1"/>
  <c r="D28" i="19" s="1"/>
  <c r="F21" i="17"/>
  <c r="F4" i="20"/>
  <c r="F8" i="20" s="1"/>
  <c r="F16" i="20" s="1"/>
  <c r="F18" i="20" s="1"/>
  <c r="F30" i="20" s="1"/>
  <c r="F32" i="20"/>
  <c r="E23" i="19"/>
  <c r="E24" i="19" s="1"/>
  <c r="G5" i="19"/>
  <c r="G6" i="19" s="1"/>
  <c r="G13" i="19" s="1"/>
  <c r="F6" i="19"/>
  <c r="F13" i="19" s="1"/>
  <c r="E26" i="19" l="1"/>
  <c r="E28" i="19" s="1"/>
  <c r="F34" i="20"/>
  <c r="G32" i="20" s="1"/>
  <c r="G34" i="20" s="1"/>
  <c r="G23" i="19" s="1"/>
  <c r="G24" i="19" s="1"/>
  <c r="F23" i="19" l="1"/>
  <c r="F24" i="19" s="1"/>
  <c r="F26" i="19" s="1"/>
  <c r="F28" i="19" s="1"/>
  <c r="G26" i="19"/>
  <c r="G28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Tiasa P</author>
    <author>advai</author>
  </authors>
  <commentList>
    <comment ref="B8" authorId="0" shapeId="0" xr:uid="{A35F3793-2525-4AFB-BC23-51D29B484489}">
      <text>
        <r>
          <rPr>
            <b/>
            <sz val="9"/>
            <color indexed="81"/>
            <rFont val="Tahoma"/>
            <family val="2"/>
          </rPr>
          <t>Tiasa P:</t>
        </r>
        <r>
          <rPr>
            <sz val="9"/>
            <color indexed="81"/>
            <rFont val="Tahoma"/>
            <family val="2"/>
          </rPr>
          <t xml:space="preserve">
invested in boson motors.
</t>
        </r>
      </text>
    </comment>
    <comment ref="C8" authorId="0" shapeId="0" xr:uid="{06D083EA-450B-4A4D-B460-E57D1007100D}">
      <text>
        <r>
          <rPr>
            <b/>
            <sz val="9"/>
            <color indexed="81"/>
            <rFont val="Tahoma"/>
            <family val="2"/>
          </rPr>
          <t>Tiasa P:</t>
        </r>
        <r>
          <rPr>
            <sz val="9"/>
            <color indexed="81"/>
            <rFont val="Tahoma"/>
            <family val="2"/>
          </rPr>
          <t xml:space="preserve">
Invested 1.1 billion in Ultraviolet Automotive and a lead investor 330M in Voxelgrids. (2021)</t>
        </r>
      </text>
    </comment>
    <comment ref="A12" authorId="1" shapeId="0" xr:uid="{DBB7C4B9-3F5E-4427-A7A2-8217D9A98028}">
      <text>
        <r>
          <rPr>
            <b/>
            <sz val="9"/>
            <color indexed="81"/>
            <rFont val="Tahoma"/>
            <family val="2"/>
          </rPr>
          <t>advai:</t>
        </r>
        <r>
          <rPr>
            <sz val="9"/>
            <color indexed="81"/>
            <rFont val="Tahoma"/>
            <family val="2"/>
          </rPr>
          <t xml:space="preserve">
Rental income zoho collects from its IT parks has seen a decline of 39%</t>
        </r>
      </text>
    </comment>
    <comment ref="A41" authorId="1" shapeId="0" xr:uid="{4A896655-D197-4E29-A74D-A0FFBEBF2AAD}">
      <text>
        <r>
          <rPr>
            <b/>
            <sz val="9"/>
            <color indexed="81"/>
            <rFont val="Tahoma"/>
            <family val="2"/>
          </rPr>
          <t>advai:</t>
        </r>
        <r>
          <rPr>
            <sz val="9"/>
            <color indexed="81"/>
            <rFont val="Tahoma"/>
            <family val="2"/>
          </rPr>
          <t xml:space="preserve">
can be for patents </t>
        </r>
      </text>
    </comment>
    <comment ref="A42" authorId="1" shapeId="0" xr:uid="{9BACC574-9806-4C7F-97E2-2F959A4DF549}">
      <text>
        <r>
          <rPr>
            <b/>
            <sz val="9"/>
            <color indexed="81"/>
            <rFont val="Tahoma"/>
            <family val="2"/>
          </rPr>
          <t>advai:</t>
        </r>
        <r>
          <rPr>
            <sz val="9"/>
            <color indexed="81"/>
            <rFont val="Tahoma"/>
            <family val="2"/>
          </rPr>
          <t xml:space="preserve">
IT Expenses
ASP= Application service provided, communication lines, etc
</t>
        </r>
      </text>
    </comment>
    <comment ref="A55" authorId="1" shapeId="0" xr:uid="{1D775BD0-FC9F-4055-A46F-81E60203DF82}">
      <text>
        <r>
          <rPr>
            <b/>
            <sz val="9"/>
            <color indexed="81"/>
            <rFont val="Tahoma"/>
            <family val="2"/>
          </rPr>
          <t>advai:</t>
        </r>
        <r>
          <rPr>
            <sz val="9"/>
            <color indexed="81"/>
            <rFont val="Tahoma"/>
            <family val="2"/>
          </rPr>
          <t xml:space="preserve">
zoho schools</t>
        </r>
      </text>
    </comment>
    <comment ref="F86" authorId="0" shapeId="0" xr:uid="{C0EB03CC-86E7-4831-8D06-3F0E9E3700DC}">
      <text>
        <r>
          <rPr>
            <sz val="9"/>
            <color indexed="81"/>
            <rFont val="Tahoma"/>
            <family val="2"/>
          </rPr>
          <t>Zoho acquired ePoise on Mar 7, 2019.</t>
        </r>
      </text>
    </comment>
    <comment ref="C89" authorId="0" shapeId="0" xr:uid="{20385FCA-BA9E-48F5-9042-B259848E911A}">
      <text>
        <r>
          <rPr>
            <b/>
            <sz val="9"/>
            <color indexed="81"/>
            <rFont val="Tahoma"/>
            <family val="2"/>
          </rPr>
          <t>Tiasa P:</t>
        </r>
        <r>
          <rPr>
            <sz val="9"/>
            <color indexed="81"/>
            <rFont val="Tahoma"/>
            <family val="2"/>
          </rPr>
          <t xml:space="preserve">
Employee benefits expense became the area of highest expense for the company with expenditure worth Rs 586.6 crore, a 30.59 per cent jump from Rs 449.17 crore in FY16. Advertisement expense was the second highest expense for the year with the close figure of Rs 509.56 crore.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advai</author>
  </authors>
  <commentList>
    <comment ref="C6" authorId="0" shapeId="0" xr:uid="{146EE410-14D8-44BE-9C76-CCCE7D376D0A}">
      <text>
        <r>
          <rPr>
            <b/>
            <sz val="9"/>
            <color indexed="81"/>
            <rFont val="Tahoma"/>
            <family val="2"/>
          </rPr>
          <t>advai:</t>
        </r>
        <r>
          <rPr>
            <sz val="9"/>
            <color indexed="81"/>
            <rFont val="Tahoma"/>
            <family val="2"/>
          </rPr>
          <t xml:space="preserve">
acquired epoise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advai</author>
  </authors>
  <commentList>
    <comment ref="B41" authorId="0" shapeId="0" xr:uid="{0426EF2F-6CAA-4F18-A62F-E2ED38D41234}">
      <text>
        <r>
          <rPr>
            <b/>
            <sz val="9"/>
            <color indexed="81"/>
            <rFont val="Tahoma"/>
            <family val="2"/>
          </rPr>
          <t>advai:</t>
        </r>
        <r>
          <rPr>
            <sz val="9"/>
            <color indexed="81"/>
            <rFont val="Tahoma"/>
            <family val="2"/>
          </rPr>
          <t xml:space="preserve">
since the past % of employee costs as a % of revenue was in the range of 25-33% , we took an average for projected </t>
        </r>
      </text>
    </comment>
    <comment ref="B43" authorId="0" shapeId="0" xr:uid="{16BDC0FE-EEB3-41F1-9120-27C1E96025C5}">
      <text>
        <r>
          <rPr>
            <b/>
            <sz val="9"/>
            <color indexed="81"/>
            <rFont val="Tahoma"/>
            <family val="2"/>
          </rPr>
          <t>advai:</t>
        </r>
        <r>
          <rPr>
            <sz val="9"/>
            <color indexed="81"/>
            <rFont val="Tahoma"/>
            <family val="2"/>
          </rPr>
          <t xml:space="preserve">
Legal
IT/Communication
Advertisement
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advai</author>
  </authors>
  <commentList>
    <comment ref="B11" authorId="0" shapeId="0" xr:uid="{504F24B3-E4F2-4A0B-A87F-9A8889BD71D8}">
      <text>
        <r>
          <rPr>
            <b/>
            <sz val="9"/>
            <color indexed="81"/>
            <rFont val="Tahoma"/>
            <family val="2"/>
          </rPr>
          <t>advai:</t>
        </r>
        <r>
          <rPr>
            <sz val="9"/>
            <color indexed="81"/>
            <rFont val="Tahoma"/>
            <family val="2"/>
          </rPr>
          <t xml:space="preserve">
considering all their revenue comes from Subscriptions</t>
        </r>
      </text>
    </comment>
    <comment ref="H11" authorId="0" shapeId="0" xr:uid="{76804331-2340-4D4B-9B78-8F6FC242D8E8}">
      <text>
        <r>
          <rPr>
            <b/>
            <sz val="9"/>
            <color indexed="81"/>
            <rFont val="Tahoma"/>
            <family val="2"/>
          </rPr>
          <t>advai:</t>
        </r>
        <r>
          <rPr>
            <sz val="9"/>
            <color indexed="81"/>
            <rFont val="Tahoma"/>
            <family val="2"/>
          </rPr>
          <t xml:space="preserve">
revenue is increasing more in proportion/comparison to our increase in products bc our revenue is increasing due to the increase in number of users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advai</author>
  </authors>
  <commentList>
    <comment ref="C4" authorId="0" shapeId="0" xr:uid="{6734C56F-1E91-449B-967A-CD60DEFE9B63}">
      <text>
        <r>
          <rPr>
            <b/>
            <sz val="9"/>
            <color indexed="81"/>
            <rFont val="Tahoma"/>
            <family val="2"/>
          </rPr>
          <t>advai:</t>
        </r>
        <r>
          <rPr>
            <sz val="9"/>
            <color indexed="81"/>
            <rFont val="Tahoma"/>
            <family val="2"/>
          </rPr>
          <t xml:space="preserve">
acquired epoise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advai</author>
  </authors>
  <commentList>
    <comment ref="O2" authorId="0" shapeId="0" xr:uid="{F51A5A27-8035-4156-8EB0-8EB387544A1C}">
      <text>
        <r>
          <rPr>
            <b/>
            <sz val="9"/>
            <color indexed="81"/>
            <rFont val="Tahoma"/>
            <family val="2"/>
          </rPr>
          <t>advai:</t>
        </r>
        <r>
          <rPr>
            <sz val="9"/>
            <color indexed="81"/>
            <rFont val="Tahoma"/>
            <family val="2"/>
          </rPr>
          <t xml:space="preserve">
MARKET VALUING THIS COMPANY AT A HIGHER LEVEL. 
Monopoly on shares. 
Barriers to entry in auto 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advai</author>
  </authors>
  <commentList>
    <comment ref="D4" authorId="0" shapeId="0" xr:uid="{E2073B13-46B1-4DCD-83E4-3E290F539832}">
      <text>
        <r>
          <rPr>
            <b/>
            <sz val="9"/>
            <color indexed="81"/>
            <rFont val="Tahoma"/>
            <family val="2"/>
          </rPr>
          <t>advai:</t>
        </r>
        <r>
          <rPr>
            <sz val="9"/>
            <color indexed="81"/>
            <rFont val="Tahoma"/>
            <family val="2"/>
          </rPr>
          <t xml:space="preserve">
capm= rf-beta*(rm-rf)</t>
        </r>
      </text>
    </comment>
    <comment ref="E4" authorId="0" shapeId="0" xr:uid="{4A87BFF2-F8E8-4F83-8018-488800BA2FE7}">
      <text>
        <r>
          <rPr>
            <b/>
            <sz val="9"/>
            <color indexed="81"/>
            <rFont val="Tahoma"/>
            <family val="2"/>
          </rPr>
          <t>advai:</t>
        </r>
        <r>
          <rPr>
            <sz val="9"/>
            <color indexed="81"/>
            <rFont val="Tahoma"/>
            <family val="2"/>
          </rPr>
          <t xml:space="preserve">
interest costs and debt</t>
        </r>
      </text>
    </comment>
    <comment ref="F4" authorId="0" shapeId="0" xr:uid="{B7C47EDA-ABE4-47E8-B987-0076B74AA488}">
      <text>
        <r>
          <rPr>
            <b/>
            <sz val="9"/>
            <color indexed="81"/>
            <rFont val="Tahoma"/>
            <family val="2"/>
          </rPr>
          <t>advai:</t>
        </r>
        <r>
          <rPr>
            <sz val="9"/>
            <color indexed="81"/>
            <rFont val="Tahoma"/>
            <family val="2"/>
          </rPr>
          <t xml:space="preserve">
govenrment secutities FIIMBDA
10 YEAR GOVT SECS RATE, WACC SHEET BY SIR FCFF ANF FCFE
</t>
        </r>
      </text>
    </comment>
    <comment ref="G4" authorId="0" shapeId="0" xr:uid="{B2CFED53-164B-4270-992A-DE80A66BA840}">
      <text>
        <r>
          <rPr>
            <b/>
            <sz val="9"/>
            <color indexed="81"/>
            <rFont val="Tahoma"/>
            <family val="2"/>
          </rPr>
          <t>advai:</t>
        </r>
        <r>
          <rPr>
            <sz val="9"/>
            <color indexed="81"/>
            <rFont val="Tahoma"/>
            <family val="2"/>
          </rPr>
          <t xml:space="preserve">
NIFTY CAGR OF PAST 10 YEARS SAME AS GOVT SECS </t>
        </r>
      </text>
    </comment>
  </commentList>
</comments>
</file>

<file path=xl/sharedStrings.xml><?xml version="1.0" encoding="utf-8"?>
<sst xmlns="http://schemas.openxmlformats.org/spreadsheetml/2006/main" count="692" uniqueCount="488">
  <si>
    <t>Year</t>
  </si>
  <si>
    <t>INCOME :</t>
  </si>
  <si>
    <t xml:space="preserve"> Operating Income </t>
  </si>
  <si>
    <t>Dividend Income</t>
  </si>
  <si>
    <t>Interest Income</t>
  </si>
  <si>
    <t>Profit on sale of Fixed Assets</t>
  </si>
  <si>
    <t>Profit on sale of investments</t>
  </si>
  <si>
    <t>Gain on Cancell. of Forward Contr/forex trans</t>
  </si>
  <si>
    <t>Miscellaneous Income</t>
  </si>
  <si>
    <t>EXPENDITURE :</t>
  </si>
  <si>
    <t>Repairs</t>
  </si>
  <si>
    <t>Salaries,Wages &amp; Bonus</t>
  </si>
  <si>
    <t>Contribution to funds</t>
  </si>
  <si>
    <t>Staff Welfare Expenses</t>
  </si>
  <si>
    <t>Gratuity Paid</t>
  </si>
  <si>
    <t>Power, Oil &amp; Fuel Consumed</t>
  </si>
  <si>
    <t>Donations</t>
  </si>
  <si>
    <t>Other provisions and write offs</t>
  </si>
  <si>
    <t>Other Miscellaneous Expenses</t>
  </si>
  <si>
    <t>CSR Expenses</t>
  </si>
  <si>
    <t xml:space="preserve"> Interest </t>
  </si>
  <si>
    <t>Other Interest</t>
  </si>
  <si>
    <t>Financial Charges</t>
  </si>
  <si>
    <t xml:space="preserve"> Depreciation </t>
  </si>
  <si>
    <t xml:space="preserve"> Tax </t>
  </si>
  <si>
    <t xml:space="preserve"> Deferred Tax </t>
  </si>
  <si>
    <t>SOURCES OF FUNDS :</t>
  </si>
  <si>
    <t xml:space="preserve"> Share Capital </t>
  </si>
  <si>
    <t xml:space="preserve"> Reserves Total </t>
  </si>
  <si>
    <t>Total Shareholders Funds</t>
  </si>
  <si>
    <t xml:space="preserve"> Secured Loans </t>
  </si>
  <si>
    <t xml:space="preserve"> Unsecured Loans </t>
  </si>
  <si>
    <t> Other Liabilities (non current liabilities)</t>
  </si>
  <si>
    <t>TOTAL LIABILITIES AND EQUITY</t>
  </si>
  <si>
    <t>APPLICATION OF FUNDS :</t>
  </si>
  <si>
    <t xml:space="preserve"> Less : Accumulated Depreciation </t>
  </si>
  <si>
    <t>Less:Impairment of Assets</t>
  </si>
  <si>
    <t xml:space="preserve"> Net Block </t>
  </si>
  <si>
    <t xml:space="preserve"> Capital Work in Progress </t>
  </si>
  <si>
    <t>Net Deferred Tax</t>
  </si>
  <si>
    <t xml:space="preserve"> Investments </t>
  </si>
  <si>
    <t>TOTAL NON-CURRENT ASSETS</t>
  </si>
  <si>
    <t xml:space="preserve"> Inventories </t>
  </si>
  <si>
    <t xml:space="preserve"> Sundry Debtors </t>
  </si>
  <si>
    <t xml:space="preserve"> Cash and Bank </t>
  </si>
  <si>
    <t xml:space="preserve"> Loans and Advances </t>
  </si>
  <si>
    <t>TOTAL CURRENT ASSETS</t>
  </si>
  <si>
    <t>TOTAL ASSETS</t>
  </si>
  <si>
    <t>check</t>
  </si>
  <si>
    <t>CURRENT LIABILITIES</t>
  </si>
  <si>
    <t>NON-CURRENT LIABILITIES</t>
  </si>
  <si>
    <t>Provisions</t>
  </si>
  <si>
    <t>Minority Interest</t>
  </si>
  <si>
    <t>Total fixed assets</t>
  </si>
  <si>
    <t>Other Assets</t>
  </si>
  <si>
    <t>PAT</t>
  </si>
  <si>
    <t>EBIT</t>
  </si>
  <si>
    <t>WORKING CAPITAL CYCLE :</t>
  </si>
  <si>
    <t>Debtors Collection Period</t>
  </si>
  <si>
    <t>Inventory Holding Period</t>
  </si>
  <si>
    <t>Creditors Repayment Period</t>
  </si>
  <si>
    <t>Working Capital Cycle</t>
  </si>
  <si>
    <t>OTHER INCOME</t>
  </si>
  <si>
    <t>TOTAL OTHER INCOME</t>
  </si>
  <si>
    <t>TOTAL INCOME</t>
  </si>
  <si>
    <t>Rent Rates and Taxes</t>
  </si>
  <si>
    <t>Insurance</t>
  </si>
  <si>
    <t>Advertisemnt Cost</t>
  </si>
  <si>
    <t>Distribution Expenses</t>
  </si>
  <si>
    <t>Legal Expenses</t>
  </si>
  <si>
    <t>Travel Expenses</t>
  </si>
  <si>
    <t>Printing and Stationary</t>
  </si>
  <si>
    <t>Audit Expenses</t>
  </si>
  <si>
    <t>Other Fee Expenses</t>
  </si>
  <si>
    <t>Other Administrative Expnes</t>
  </si>
  <si>
    <t xml:space="preserve">(-) Depreciation </t>
  </si>
  <si>
    <t>EBT</t>
  </si>
  <si>
    <t>Revenue ( operating inc)</t>
  </si>
  <si>
    <t>FATOR</t>
  </si>
  <si>
    <t>Debt/Equity</t>
  </si>
  <si>
    <t>Interest Coverage Ratio</t>
  </si>
  <si>
    <t>DSCR</t>
  </si>
  <si>
    <t>ROCE</t>
  </si>
  <si>
    <t>ROE</t>
  </si>
  <si>
    <t>PE Ratio</t>
  </si>
  <si>
    <t>Finance &gt;&gt;Profit &amp; Loss (Consolidated)&gt;&gt;Zoho Corporation Pvt Ltd(Curr. in )</t>
  </si>
  <si>
    <t xml:space="preserve">COST OF TRADED SOFTWARE AND PACKAGES </t>
  </si>
  <si>
    <t>OPERATING EXPENSES</t>
  </si>
  <si>
    <t>TOTAL OPERATING EXPENSES</t>
  </si>
  <si>
    <t>EMPLOYEE COST</t>
  </si>
  <si>
    <t>TOTAL EMPLOYEE COST</t>
  </si>
  <si>
    <t>POWER AND ELECTRICITY CHARGES</t>
  </si>
  <si>
    <t>TOTAL POWER AND ELECTRICITY CHARGES</t>
  </si>
  <si>
    <t>SELLING AND ADMINISTRATION EXPENSES</t>
  </si>
  <si>
    <t>TOTAL SELLING AND ADMINISTRARTION EXPENSES</t>
  </si>
  <si>
    <t>MISCELLANEOUS EXPENSES</t>
  </si>
  <si>
    <t>TOTAL MISCELLANEOUS EXPENSES</t>
  </si>
  <si>
    <t xml:space="preserve">TOTAL EXPENDITURE </t>
  </si>
  <si>
    <t>YOY GROWTH</t>
  </si>
  <si>
    <t>EBITDA</t>
  </si>
  <si>
    <t>EBITDA MARGINS</t>
  </si>
  <si>
    <t>EBIT MARGINS</t>
  </si>
  <si>
    <t>INTEREST COSTS</t>
  </si>
  <si>
    <t>TOTAL INTEREST CHARGES</t>
  </si>
  <si>
    <t>EBT MARGINS</t>
  </si>
  <si>
    <t>PAT MARGINS</t>
  </si>
  <si>
    <t>tax %</t>
  </si>
  <si>
    <t>correl</t>
  </si>
  <si>
    <t xml:space="preserve">Revenue </t>
  </si>
  <si>
    <t>Expenses</t>
  </si>
  <si>
    <t>Advertisement exp.</t>
  </si>
  <si>
    <t>CAGR</t>
  </si>
  <si>
    <t>as a % of revenue</t>
  </si>
  <si>
    <t>Growth</t>
  </si>
  <si>
    <t>as a % of Revenue</t>
  </si>
  <si>
    <t>Employee cost</t>
  </si>
  <si>
    <t xml:space="preserve">Number of employees and major expenses </t>
  </si>
  <si>
    <t xml:space="preserve">for inflation, emploee expenses </t>
  </si>
  <si>
    <t>Cost drivers is employee cost and advertisement costs</t>
  </si>
  <si>
    <t>they say their employees are 12,000+</t>
  </si>
  <si>
    <t>Employees Over the Years</t>
  </si>
  <si>
    <t>1) Company is more reliant on their clients</t>
  </si>
  <si>
    <t>2) Product pricing too</t>
  </si>
  <si>
    <t xml:space="preserve">3) have a separate one for current and projected </t>
  </si>
  <si>
    <t>from website</t>
  </si>
  <si>
    <t>All current customers, whether on monthly or annual contracts, will see a 15% increase in their invoices starting January 17, 2022. </t>
  </si>
  <si>
    <t>find industry-linked inflation pertaining to prices of the products</t>
  </si>
  <si>
    <t>The price change applies to all global geographies and regions with the exceptions of Africa, South America, Latin America, China, and Japan. Exempted regions and countries will not see a price increase at this time.</t>
  </si>
  <si>
    <t xml:space="preserve">in 2023 the revnue will increase from price perspective. </t>
  </si>
  <si>
    <t xml:space="preserve">when price increases by 15%, even the yoy-growth will increase, we have to show that </t>
  </si>
  <si>
    <t>YoY growth</t>
  </si>
  <si>
    <t>&gt; Price will inc by 15% from Jan 2022</t>
  </si>
  <si>
    <t>Price in</t>
  </si>
  <si>
    <t>revenue driver = products business+enterprise</t>
  </si>
  <si>
    <t xml:space="preserve">Previous years revenue </t>
  </si>
  <si>
    <t>Profit After Tax</t>
  </si>
  <si>
    <t>CRM</t>
  </si>
  <si>
    <t xml:space="preserve">Business Application </t>
  </si>
  <si>
    <t>and Enterprise</t>
  </si>
  <si>
    <t>Trusted by 250,000 businesses worldwide</t>
  </si>
  <si>
    <t>Monthly</t>
  </si>
  <si>
    <t>Std</t>
  </si>
  <si>
    <t>Professional</t>
  </si>
  <si>
    <t>Enterprise</t>
  </si>
  <si>
    <t>Untimate</t>
  </si>
  <si>
    <t>Yearly</t>
  </si>
  <si>
    <t>Zoho Books</t>
  </si>
  <si>
    <t>monthly billed annually</t>
  </si>
  <si>
    <t xml:space="preserve">Premium </t>
  </si>
  <si>
    <t>Elite</t>
  </si>
  <si>
    <t>Ultimate</t>
  </si>
  <si>
    <t>Zoho Mail</t>
  </si>
  <si>
    <t>Mail Lite</t>
  </si>
  <si>
    <t>Premium</t>
  </si>
  <si>
    <t>Workplace</t>
  </si>
  <si>
    <t xml:space="preserve">Zoho Project </t>
  </si>
  <si>
    <t>Business</t>
  </si>
  <si>
    <t>Upto 3 users</t>
  </si>
  <si>
    <t>free</t>
  </si>
  <si>
    <t>Zoho Invoices</t>
  </si>
  <si>
    <t xml:space="preserve">zero </t>
  </si>
  <si>
    <t>freemium model</t>
  </si>
  <si>
    <t xml:space="preserve">will reflect in 2023 p&amp;l </t>
  </si>
  <si>
    <r>
      <t>India's start-up ecosystem is not only the world's third largest but also the fastest growing</t>
    </r>
    <r>
      <rPr>
        <sz val="8"/>
        <color rgb="FF202124"/>
        <rFont val="Arial"/>
        <family val="2"/>
      </rPr>
      <t>. </t>
    </r>
  </si>
  <si>
    <t>As per fortune India, report by BCG, Indian SaaS growth of 20%-25% pa, over next 5 years</t>
  </si>
  <si>
    <t xml:space="preserve">and reach close to 35 billion dollars in ARR. </t>
  </si>
  <si>
    <t>from P&amp;L</t>
  </si>
  <si>
    <t>R and D expenses</t>
  </si>
  <si>
    <t>3 times of its marketing expenses into R&amp;D</t>
  </si>
  <si>
    <t xml:space="preserve">Patents will come under R&amp;D. Article from "yourstory" says that acquired 25 patents. </t>
  </si>
  <si>
    <t xml:space="preserve">for revenue projections </t>
  </si>
  <si>
    <t xml:space="preserve">IT Parks </t>
  </si>
  <si>
    <t>Source of Revenue</t>
  </si>
  <si>
    <t>1) Subscriptions</t>
  </si>
  <si>
    <t>2) Purchasing software</t>
  </si>
  <si>
    <t xml:space="preserve">Source of Revenue depends on </t>
  </si>
  <si>
    <t>Number of Clients</t>
  </si>
  <si>
    <t>Clients/users</t>
  </si>
  <si>
    <t>1 CLIENT CAN BUY MORE THAN 1 PRODUCT</t>
  </si>
  <si>
    <t>Prices of Products</t>
  </si>
  <si>
    <t>ZOHO CRM</t>
  </si>
  <si>
    <t xml:space="preserve">Their most popular product </t>
  </si>
  <si>
    <t>Users</t>
  </si>
  <si>
    <t>as of 2022</t>
  </si>
  <si>
    <t xml:space="preserve">Note: </t>
  </si>
  <si>
    <t>All current customers, whether on monthly or annual contracts, will see a 15% increase in their invoices starting January 17, 2022. - Zoho Website</t>
  </si>
  <si>
    <t>Enterprise Software</t>
  </si>
  <si>
    <t>Business Software</t>
  </si>
  <si>
    <t>Number of Employees</t>
  </si>
  <si>
    <t>Y-o-Y g</t>
  </si>
  <si>
    <t>Employee Costs</t>
  </si>
  <si>
    <t xml:space="preserve">Marketing and Advertising </t>
  </si>
  <si>
    <t xml:space="preserve"> </t>
  </si>
  <si>
    <t>R&amp;D</t>
  </si>
  <si>
    <t>Not shown, mentioned in Articles 3 times of marketing</t>
  </si>
  <si>
    <t>General and Admin</t>
  </si>
  <si>
    <t>Operating exp</t>
  </si>
  <si>
    <t>notes</t>
  </si>
  <si>
    <t>3) Tech Parks</t>
  </si>
  <si>
    <t xml:space="preserve">Prices have increased in 2023. Estimating that they won't increase prices till 2027 because 15% is a large percentage </t>
  </si>
  <si>
    <t>Price of Subscription</t>
  </si>
  <si>
    <t>ZOHO BOOKS</t>
  </si>
  <si>
    <t>ZOHO MAIL</t>
  </si>
  <si>
    <t>ZOHO PROJECTS</t>
  </si>
  <si>
    <t>Statement of P&amp;L Assumptions</t>
  </si>
  <si>
    <t>Active Subsciptions</t>
  </si>
  <si>
    <t>Zoho CRM</t>
  </si>
  <si>
    <t>Zoho One</t>
  </si>
  <si>
    <t>Per User</t>
  </si>
  <si>
    <t>Per Employee</t>
  </si>
  <si>
    <t>Total Clients</t>
  </si>
  <si>
    <t>USA Clients</t>
  </si>
  <si>
    <t>INDIA Clients</t>
  </si>
  <si>
    <t>CANADA Clients</t>
  </si>
  <si>
    <t xml:space="preserve">Total Revenue </t>
  </si>
  <si>
    <t>Other</t>
  </si>
  <si>
    <t>Product</t>
  </si>
  <si>
    <t xml:space="preserve">Zoho CRM </t>
  </si>
  <si>
    <t>User</t>
  </si>
  <si>
    <t>Employee</t>
  </si>
  <si>
    <t>All in one sales suite</t>
  </si>
  <si>
    <t>Revenue Growth</t>
  </si>
  <si>
    <t>Zoho Project</t>
  </si>
  <si>
    <t xml:space="preserve">Zoho One </t>
  </si>
  <si>
    <t>Depreciation</t>
  </si>
  <si>
    <t>Legal and Professional Charges</t>
  </si>
  <si>
    <t>IT Expenses/ Communication Expenses</t>
  </si>
  <si>
    <t>Communication Expenses (IT Expenses)</t>
  </si>
  <si>
    <t>Y-o-Y-g</t>
  </si>
  <si>
    <t>NA</t>
  </si>
  <si>
    <t xml:space="preserve">As a % of revenue </t>
  </si>
  <si>
    <t>HIGHLIGHT INDICATED ADDITIONAL RESEARCH</t>
  </si>
  <si>
    <t xml:space="preserve">average price per user </t>
  </si>
  <si>
    <t xml:space="preserve">FIND PRICES FOR USA AND CANADA  </t>
  </si>
  <si>
    <t xml:space="preserve">average price for each software </t>
  </si>
  <si>
    <t xml:space="preserve">Average Price per product, globally, </t>
  </si>
  <si>
    <t>In crores</t>
  </si>
  <si>
    <t>projected for 2023</t>
  </si>
  <si>
    <t>Products</t>
  </si>
  <si>
    <t>Revenue Projected</t>
  </si>
  <si>
    <t>Finance &gt;&gt;Cash Flow (Consolidated)&gt;&gt;Zoho Corporation Pvt Ltd(Curr. Rs in )</t>
  </si>
  <si>
    <t>Cash Flow Summary</t>
  </si>
  <si>
    <t>Cash and Cash Equivalents at Beginning of the year</t>
  </si>
  <si>
    <t xml:space="preserve"> Net Cash from Operating Activities </t>
  </si>
  <si>
    <t>Net Profit before Tax &amp; Extraordinary Items</t>
  </si>
  <si>
    <t>Interest (Net)</t>
  </si>
  <si>
    <t>Dividend Received</t>
  </si>
  <si>
    <t>Others</t>
  </si>
  <si>
    <t>Total Adjustments (PBT &amp; Extraordinary Items)</t>
  </si>
  <si>
    <t>Op. Profit before Working Capital Changes</t>
  </si>
  <si>
    <t>Trade &amp; 0th receivables</t>
  </si>
  <si>
    <t>Trade Payables</t>
  </si>
  <si>
    <t>Total (OP before Working Capital Changes)</t>
  </si>
  <si>
    <t>Cash Generated from/(used in) Operations</t>
  </si>
  <si>
    <t>Interest Paid(Net)</t>
  </si>
  <si>
    <t>Direct Taxes Paid</t>
  </si>
  <si>
    <t>Total-others</t>
  </si>
  <si>
    <t xml:space="preserve"> Net Cash Used in Investing Activities </t>
  </si>
  <si>
    <t>Purchased of Fixed Assets</t>
  </si>
  <si>
    <t>Sale of Fixed Assets</t>
  </si>
  <si>
    <t>Purchase of Investments</t>
  </si>
  <si>
    <t>Interest Received</t>
  </si>
  <si>
    <t>Of financial Liabilities</t>
  </si>
  <si>
    <t>Dividend Paid</t>
  </si>
  <si>
    <t>Cash and Cash Equivalents at End of the year</t>
  </si>
  <si>
    <t>Selling and Admininstration</t>
  </si>
  <si>
    <t>Selling Administration</t>
  </si>
  <si>
    <t>MAJOR HEADS AS A % OF REVENUE</t>
  </si>
  <si>
    <t>Working Capital Assumptions:</t>
  </si>
  <si>
    <t>Capital Expenditure &amp; Depreciation Assumptions:</t>
  </si>
  <si>
    <t>Fixed Assets Net Block - Opening</t>
  </si>
  <si>
    <t>Add: Additions</t>
  </si>
  <si>
    <t>Less: Depreciation</t>
  </si>
  <si>
    <t>Fixed Assets Net Block - Closing</t>
  </si>
  <si>
    <t>FA Turnover Ratio</t>
  </si>
  <si>
    <t>Depreciation as % of Closing Net Block</t>
  </si>
  <si>
    <t>Creditor Payment period</t>
  </si>
  <si>
    <t>Tax Schedule</t>
  </si>
  <si>
    <t>ADDITIONAL INFORMATION</t>
  </si>
  <si>
    <t>Particulars</t>
  </si>
  <si>
    <t>in service entity WCC should be in negative, you pay money first to render services</t>
  </si>
  <si>
    <t>Information</t>
  </si>
  <si>
    <t>The price change applies to all global geographies and regions with the exceptions of Africa, South America, Latin America, China, and Japan.</t>
  </si>
  <si>
    <t xml:space="preserve">PRICES AS OF </t>
  </si>
  <si>
    <t>Exempted regions and countries will not see a price increase at this time.</t>
  </si>
  <si>
    <t>Column1</t>
  </si>
  <si>
    <t>2018</t>
  </si>
  <si>
    <t>2019</t>
  </si>
  <si>
    <t>2020</t>
  </si>
  <si>
    <t>2021</t>
  </si>
  <si>
    <t>2022</t>
  </si>
  <si>
    <t>is this needed?</t>
  </si>
  <si>
    <t>In Crores</t>
  </si>
  <si>
    <t>Growth per product</t>
  </si>
  <si>
    <t xml:space="preserve">In crores </t>
  </si>
  <si>
    <t>Average revenue per product, Globally</t>
  </si>
  <si>
    <t>2023</t>
  </si>
  <si>
    <t>2024</t>
  </si>
  <si>
    <t>2025</t>
  </si>
  <si>
    <t>2026</t>
  </si>
  <si>
    <t>2027</t>
  </si>
  <si>
    <t xml:space="preserve">Reference </t>
  </si>
  <si>
    <t>Absolute terms</t>
  </si>
  <si>
    <t>Projected Balance Sheet</t>
  </si>
  <si>
    <t xml:space="preserve">Projected Cashflow </t>
  </si>
  <si>
    <t>FCFF/FCFE</t>
  </si>
  <si>
    <t>CTM/CCM</t>
  </si>
  <si>
    <t xml:space="preserve">Projected Profit and Loss </t>
  </si>
  <si>
    <t>YEARS</t>
  </si>
  <si>
    <t>%</t>
  </si>
  <si>
    <t>All In One Sales Suite</t>
  </si>
  <si>
    <t>Business+Enterprise Software</t>
  </si>
  <si>
    <t>Products Per Year</t>
  </si>
  <si>
    <t>Growth in Units</t>
  </si>
  <si>
    <t>PROJECTED %</t>
  </si>
  <si>
    <t>Statement of Balance Sheet Assumptions</t>
  </si>
  <si>
    <t>EXPENSES</t>
  </si>
  <si>
    <t xml:space="preserve">Particulars </t>
  </si>
  <si>
    <t>WE NEED</t>
  </si>
  <si>
    <t>KE</t>
  </si>
  <si>
    <t>KD</t>
  </si>
  <si>
    <t>RF</t>
  </si>
  <si>
    <t>RM</t>
  </si>
  <si>
    <t>PEERS</t>
  </si>
  <si>
    <t>BETA</t>
  </si>
  <si>
    <t>MULTIPLES</t>
  </si>
  <si>
    <t xml:space="preserve">Zoho Projected </t>
  </si>
  <si>
    <t>Particulars (INR in Crores)</t>
  </si>
  <si>
    <t>Revenue from Operations</t>
  </si>
  <si>
    <t>Y-o-Y Growth</t>
  </si>
  <si>
    <t xml:space="preserve">Employee Costs </t>
  </si>
  <si>
    <t>Selling &amp; Distribution Expenses</t>
  </si>
  <si>
    <t>EBITDA Margins (%)</t>
  </si>
  <si>
    <t>EBIT / PBT</t>
  </si>
  <si>
    <t>Less: Tax</t>
  </si>
  <si>
    <t>PAT Margins</t>
  </si>
  <si>
    <t>netcapex/sales</t>
  </si>
  <si>
    <t xml:space="preserve">ashwat </t>
  </si>
  <si>
    <t xml:space="preserve">TAKE FOR FEW YEARS </t>
  </si>
  <si>
    <t xml:space="preserve">IT IS FATOR INVERSE, YOU TAKE 1/ THE VALUE </t>
  </si>
  <si>
    <t>IF IT MATCHES, TAKE AN EDUCATED GUESS</t>
  </si>
  <si>
    <t xml:space="preserve">IF IT DOESN'T MATCH </t>
  </si>
  <si>
    <t xml:space="preserve">2 YEARS THAT WHY NO AVERAGE </t>
  </si>
  <si>
    <t>NETCAPEX/SALES</t>
  </si>
  <si>
    <t>2 REASONS FOR FATR TO FALL, REVENUE IS LOW, OR CAPEX IS HIGH</t>
  </si>
  <si>
    <t>WHAT TO ASSUME? FIRST YEAR FATOR MAY RISE A LITTLE ANS THEN STAY THE SAME</t>
  </si>
  <si>
    <t xml:space="preserve">FATOR SHOULD BE HIGHER </t>
  </si>
  <si>
    <t xml:space="preserve">IF CAP INCREASE, FATOR REDUCE </t>
  </si>
  <si>
    <t>buying new tech to make your new tech</t>
  </si>
  <si>
    <t xml:space="preserve">selling current office properties </t>
  </si>
  <si>
    <t>Dep as a %</t>
  </si>
  <si>
    <t>Balance Sheet</t>
  </si>
  <si>
    <t>FY2023P</t>
  </si>
  <si>
    <t>FY2024P</t>
  </si>
  <si>
    <t>FY2025P</t>
  </si>
  <si>
    <t>FY2026P</t>
  </si>
  <si>
    <t>FY2027P</t>
  </si>
  <si>
    <t>Equity &amp; Liabilities</t>
  </si>
  <si>
    <t>Share Capital</t>
  </si>
  <si>
    <t>Reserves &amp; Surplus</t>
  </si>
  <si>
    <t xml:space="preserve">Total </t>
  </si>
  <si>
    <t>Non-Current Liabilities</t>
  </si>
  <si>
    <t>Current Liabilities</t>
  </si>
  <si>
    <t>Accounts Payable</t>
  </si>
  <si>
    <t>Total</t>
  </si>
  <si>
    <t>Assets</t>
  </si>
  <si>
    <t>Fixed Assets</t>
  </si>
  <si>
    <t>Current Assets</t>
  </si>
  <si>
    <t>Accounts Receivables</t>
  </si>
  <si>
    <t>Cash &amp; Cash Equivalents</t>
  </si>
  <si>
    <t>Check</t>
  </si>
  <si>
    <t>Projected</t>
  </si>
  <si>
    <t>Sundry Creditors</t>
  </si>
  <si>
    <t xml:space="preserve">% of revenue </t>
  </si>
  <si>
    <t>corp tax rate is 25. Why this rate?</t>
  </si>
  <si>
    <t>Particulars (INR Crores)</t>
  </si>
  <si>
    <t>Cash Flows from Operating Activities</t>
  </si>
  <si>
    <t>Net profit before Taxation, and Extraordinary Item</t>
  </si>
  <si>
    <t xml:space="preserve">Adjustments for: </t>
  </si>
  <si>
    <t>Add: Depreciation</t>
  </si>
  <si>
    <t>Operating profit before Working Capital changes</t>
  </si>
  <si>
    <t>Cash generated from Operations</t>
  </si>
  <si>
    <t>Income Taxes Paid</t>
  </si>
  <si>
    <t>Net cash from Operating Activities</t>
  </si>
  <si>
    <t>Cash Flows from Investing Activities</t>
  </si>
  <si>
    <t>Less: Capital Expenditure</t>
  </si>
  <si>
    <t>Net cash from Investing Activities</t>
  </si>
  <si>
    <t>Cash Flows from Financing Activities</t>
  </si>
  <si>
    <t>Less: Repayment of Short-Term Borrowings</t>
  </si>
  <si>
    <t>Less: Interest Paid</t>
  </si>
  <si>
    <t>Net cash used in Financing Activities</t>
  </si>
  <si>
    <t>Net increase in Cash and Cash Equivalents</t>
  </si>
  <si>
    <t>Cash and Cash Equivalents at beginning of period</t>
  </si>
  <si>
    <t>Cash and Cash Equivalents at end of period</t>
  </si>
  <si>
    <t>Increase Accounts Receivables</t>
  </si>
  <si>
    <t>Changes in Inventory</t>
  </si>
  <si>
    <t>Changes in Other Current Assets</t>
  </si>
  <si>
    <t>Increase in Accounts Payables</t>
  </si>
  <si>
    <t>Changes in Other Current Liabilities</t>
  </si>
  <si>
    <t>Cost of Equity</t>
  </si>
  <si>
    <t>Risk Free Rate (Rfr)</t>
  </si>
  <si>
    <t>Market Return (Rm)</t>
  </si>
  <si>
    <t>Market Risk Premium (Rm-Rf)</t>
  </si>
  <si>
    <t>Beta</t>
  </si>
  <si>
    <t>Cost of Debt</t>
  </si>
  <si>
    <t>Pre-Tax - Cost of Debt</t>
  </si>
  <si>
    <t>Tax Rate</t>
  </si>
  <si>
    <t>Post Tax - Cost of Debt</t>
  </si>
  <si>
    <t>Weighted Average Cost of Capital (WACC)</t>
  </si>
  <si>
    <t>Debt / Equity Ratio</t>
  </si>
  <si>
    <t>weight of debt</t>
  </si>
  <si>
    <t>weight of equity</t>
  </si>
  <si>
    <t>WACC</t>
  </si>
  <si>
    <t>YOY growth</t>
  </si>
  <si>
    <t>Investments</t>
  </si>
  <si>
    <t>Loans and Advances</t>
  </si>
  <si>
    <t>Less: Investments</t>
  </si>
  <si>
    <t>Other Non Current Assets</t>
  </si>
  <si>
    <t>FCFE</t>
  </si>
  <si>
    <t xml:space="preserve">PBT </t>
  </si>
  <si>
    <t>Less- Tax</t>
  </si>
  <si>
    <t xml:space="preserve">PAT </t>
  </si>
  <si>
    <t xml:space="preserve">Add- Depreciation </t>
  </si>
  <si>
    <t>Less - Capital Expenditure</t>
  </si>
  <si>
    <t xml:space="preserve">Add/Less- Changes in working capital </t>
  </si>
  <si>
    <t xml:space="preserve">Add/Less- Changes in debt </t>
  </si>
  <si>
    <t>Net Cashflows</t>
  </si>
  <si>
    <t>Terminal Value</t>
  </si>
  <si>
    <t>stable year's cashflow*(1+g)/ (CAPM-growth)</t>
  </si>
  <si>
    <t>Discounting Factor</t>
  </si>
  <si>
    <t>Discounted Cashflows</t>
  </si>
  <si>
    <t xml:space="preserve">Equity Value </t>
  </si>
  <si>
    <t>Total Equity Value</t>
  </si>
  <si>
    <t>(Cost of Equity) [CAPM]</t>
  </si>
  <si>
    <t>Net Cash Used in Financing Activities</t>
  </si>
  <si>
    <t>Working capital</t>
  </si>
  <si>
    <t>Changes in working cap</t>
  </si>
  <si>
    <t>working cap</t>
  </si>
  <si>
    <t>year 2022</t>
  </si>
  <si>
    <t>Sr No</t>
  </si>
  <si>
    <t>Comparables</t>
  </si>
  <si>
    <t>6 months average price</t>
  </si>
  <si>
    <t xml:space="preserve">O/s Shares </t>
  </si>
  <si>
    <t>Market Capital
(INR Crores)</t>
  </si>
  <si>
    <t>Debt
(INR Crores)</t>
  </si>
  <si>
    <t>Minority Interest
(INR Crores)</t>
  </si>
  <si>
    <t>Cash &amp; Cash Equivalents
(INR Crores)</t>
  </si>
  <si>
    <t>Enterprise Value
(INR Crores)</t>
  </si>
  <si>
    <t>Revenue
(INR Crores)</t>
  </si>
  <si>
    <t>EBITDA
(INR Crores)</t>
  </si>
  <si>
    <t>PAT
(INR Crores)</t>
  </si>
  <si>
    <t>EV/Sales</t>
  </si>
  <si>
    <t>EV/EBITDA</t>
  </si>
  <si>
    <t>P/E</t>
  </si>
  <si>
    <t>Persistent</t>
  </si>
  <si>
    <t>Sonata</t>
  </si>
  <si>
    <t>Cyient</t>
  </si>
  <si>
    <t>TechMahindra</t>
  </si>
  <si>
    <t>Mplasis</t>
  </si>
  <si>
    <t>Median</t>
  </si>
  <si>
    <t>Relative Valuation on the basis of Sales Multiple</t>
  </si>
  <si>
    <t>All Figures in INR Crores</t>
  </si>
  <si>
    <t>Sales</t>
  </si>
  <si>
    <t>Multiple</t>
  </si>
  <si>
    <t>Value</t>
  </si>
  <si>
    <t>FY2022</t>
  </si>
  <si>
    <t>Enterprise Value</t>
  </si>
  <si>
    <t>Less: Debt</t>
  </si>
  <si>
    <t>Add: Cash &amp; Cash Equivalents</t>
  </si>
  <si>
    <t>Equity Value</t>
  </si>
  <si>
    <t>Relative Valuation on the basis of EBITDA Multiple</t>
  </si>
  <si>
    <t>Relative Valuation on the basis of P/E Multiple</t>
  </si>
  <si>
    <t>Summary</t>
  </si>
  <si>
    <t>EV/Sales Multiple</t>
  </si>
  <si>
    <t>EV/EBITDA Multiple</t>
  </si>
  <si>
    <t>P/E Multiple</t>
  </si>
  <si>
    <t>Average</t>
  </si>
  <si>
    <t>Valuation Summary</t>
  </si>
  <si>
    <t>Sr.No.</t>
  </si>
  <si>
    <t>Approach</t>
  </si>
  <si>
    <t>Weights</t>
  </si>
  <si>
    <t>Weighted Average Value</t>
  </si>
  <si>
    <t>I</t>
  </si>
  <si>
    <t>Income</t>
  </si>
  <si>
    <t>II</t>
  </si>
  <si>
    <t>Market</t>
  </si>
  <si>
    <t>RF+BETA*(RM-RF)</t>
  </si>
  <si>
    <t>Hence FCFF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</si>
</sst>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0.00000"/>
    <numFmt numFmtId="165" formatCode="_ * #,##0_ ;_ * \-#,##0_ ;_ * &quot;-&quot;??_ ;_ @_ "/>
    <numFmt numFmtId="166" formatCode="0.000%"/>
    <numFmt numFmtId="167" formatCode="_ * #,##0.000000_ ;_ * \-#,##0.000000_ ;_ * &quot;-&quot;??_ ;_ @_ "/>
    <numFmt numFmtId="168" formatCode="&quot;₹&quot;\ #,##0.00"/>
    <numFmt numFmtId="169" formatCode="0.0%"/>
    <numFmt numFmtId="170" formatCode="0.00\x"/>
    <numFmt numFmtId="171" formatCode="0.0000"/>
  </numFmts>
  <fonts count="56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"/>
      <name val="Calibri"/>
      <family val="2"/>
      <scheme val="minor"/>
    </font>
    <font>
      <b/>
      <sz val="8"/>
      <color rgb="FF202124"/>
      <name val="Arial"/>
      <family val="2"/>
    </font>
    <font>
      <sz val="8"/>
      <color rgb="FF202124"/>
      <name val="Arial"/>
      <family val="2"/>
    </font>
    <font>
      <sz val="10"/>
      <name val="Verdana"/>
      <family val="2"/>
    </font>
    <font>
      <sz val="11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0"/>
      <name val="Times New Roman"/>
      <family val="1"/>
    </font>
    <font>
      <sz val="12"/>
      <color theme="0" tint="-0.499984740745262"/>
      <name val="Times New Roman"/>
      <family val="1"/>
    </font>
    <font>
      <b/>
      <sz val="12"/>
      <color theme="0"/>
      <name val="Times New Roman"/>
      <family val="1"/>
    </font>
    <font>
      <sz val="10"/>
      <color theme="1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color theme="3"/>
      <name val="Times New Roman"/>
      <family val="1"/>
    </font>
    <font>
      <sz val="12"/>
      <color theme="3"/>
      <name val="Times New Roman"/>
      <family val="1"/>
    </font>
    <font>
      <i/>
      <sz val="12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0"/>
      <name val="Times New Roman"/>
      <family val="1"/>
    </font>
    <font>
      <u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0"/>
      <name val="Times New Roman"/>
      <family val="1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DDDDDD"/>
      </top>
      <bottom style="medium">
        <color rgb="FFECECEC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97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4" applyNumberFormat="0" applyAlignment="0" applyProtection="0"/>
    <xf numFmtId="0" fontId="14" fillId="6" borderId="5" applyNumberFormat="0" applyAlignment="0" applyProtection="0"/>
    <xf numFmtId="0" fontId="15" fillId="6" borderId="4" applyNumberFormat="0" applyAlignment="0" applyProtection="0"/>
    <xf numFmtId="0" fontId="16" fillId="0" borderId="6" applyNumberFormat="0" applyFill="0" applyAlignment="0" applyProtection="0"/>
    <xf numFmtId="0" fontId="17" fillId="7" borderId="7" applyNumberFormat="0" applyAlignment="0" applyProtection="0"/>
    <xf numFmtId="0" fontId="18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5" fillId="0" borderId="0"/>
    <xf numFmtId="0" fontId="26" fillId="0" borderId="0"/>
    <xf numFmtId="9" fontId="4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1" fontId="36" fillId="0" borderId="0" applyFont="0" applyFill="0" applyBorder="0" applyAlignment="0" applyProtection="0"/>
    <xf numFmtId="0" fontId="26" fillId="0" borderId="0"/>
  </cellStyleXfs>
  <cellXfs count="432">
    <xf numFmtId="0" fontId="0" fillId="0" borderId="0" xfId="0"/>
    <xf numFmtId="0" fontId="0" fillId="0" borderId="14" xfId="0" applyBorder="1"/>
    <xf numFmtId="0" fontId="0" fillId="0" borderId="15" xfId="0" applyBorder="1"/>
    <xf numFmtId="0" fontId="0" fillId="36" borderId="0" xfId="0" applyFill="1"/>
    <xf numFmtId="3" fontId="0" fillId="36" borderId="0" xfId="0" applyNumberFormat="1" applyFill="1"/>
    <xf numFmtId="9" fontId="0" fillId="36" borderId="0" xfId="52" applyFont="1" applyFill="1"/>
    <xf numFmtId="9" fontId="0" fillId="36" borderId="0" xfId="0" applyNumberFormat="1" applyFill="1"/>
    <xf numFmtId="0" fontId="23" fillId="36" borderId="0" xfId="0" applyFont="1" applyFill="1"/>
    <xf numFmtId="0" fontId="23" fillId="36" borderId="0" xfId="0" applyFont="1" applyFill="1" applyAlignment="1">
      <alignment horizontal="center"/>
    </xf>
    <xf numFmtId="9" fontId="23" fillId="36" borderId="0" xfId="0" applyNumberFormat="1" applyFont="1" applyFill="1" applyAlignment="1">
      <alignment horizontal="center"/>
    </xf>
    <xf numFmtId="10" fontId="23" fillId="36" borderId="0" xfId="0" applyNumberFormat="1" applyFont="1" applyFill="1" applyAlignment="1">
      <alignment horizontal="center"/>
    </xf>
    <xf numFmtId="0" fontId="32" fillId="36" borderId="0" xfId="0" applyFont="1" applyFill="1"/>
    <xf numFmtId="9" fontId="23" fillId="36" borderId="0" xfId="52" applyFont="1" applyFill="1" applyBorder="1"/>
    <xf numFmtId="165" fontId="23" fillId="36" borderId="0" xfId="53" applyNumberFormat="1" applyFont="1" applyFill="1" applyBorder="1"/>
    <xf numFmtId="43" fontId="23" fillId="36" borderId="0" xfId="53" applyFont="1" applyFill="1" applyBorder="1"/>
    <xf numFmtId="0" fontId="24" fillId="36" borderId="0" xfId="0" applyFont="1" applyFill="1"/>
    <xf numFmtId="0" fontId="33" fillId="0" borderId="0" xfId="0" applyFont="1"/>
    <xf numFmtId="0" fontId="27" fillId="0" borderId="10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7" fillId="35" borderId="10" xfId="0" applyFont="1" applyFill="1" applyBorder="1" applyAlignment="1">
      <alignment horizontal="left" wrapText="1"/>
    </xf>
    <xf numFmtId="0" fontId="27" fillId="39" borderId="10" xfId="0" applyFont="1" applyFill="1" applyBorder="1" applyAlignment="1">
      <alignment horizontal="left" wrapText="1"/>
    </xf>
    <xf numFmtId="0" fontId="28" fillId="41" borderId="10" xfId="0" applyFont="1" applyFill="1" applyBorder="1" applyAlignment="1">
      <alignment horizontal="left" wrapText="1"/>
    </xf>
    <xf numFmtId="0" fontId="29" fillId="40" borderId="10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21" fillId="42" borderId="11" xfId="0" applyFont="1" applyFill="1" applyBorder="1" applyAlignment="1">
      <alignment horizontal="left"/>
    </xf>
    <xf numFmtId="0" fontId="28" fillId="0" borderId="0" xfId="0" applyFont="1" applyAlignment="1">
      <alignment horizontal="left"/>
    </xf>
    <xf numFmtId="0" fontId="27" fillId="0" borderId="0" xfId="0" applyFont="1" applyAlignment="1">
      <alignment horizontal="left" vertical="center" wrapText="1"/>
    </xf>
    <xf numFmtId="3" fontId="28" fillId="0" borderId="10" xfId="0" applyNumberFormat="1" applyFont="1" applyBorder="1" applyAlignment="1">
      <alignment horizontal="left" wrapText="1"/>
    </xf>
    <xf numFmtId="3" fontId="27" fillId="35" borderId="10" xfId="0" applyNumberFormat="1" applyFont="1" applyFill="1" applyBorder="1" applyAlignment="1">
      <alignment horizontal="left" wrapText="1"/>
    </xf>
    <xf numFmtId="0" fontId="27" fillId="0" borderId="0" xfId="0" applyFont="1" applyAlignment="1">
      <alignment horizontal="left"/>
    </xf>
    <xf numFmtId="3" fontId="27" fillId="39" borderId="10" xfId="0" applyNumberFormat="1" applyFont="1" applyFill="1" applyBorder="1" applyAlignment="1">
      <alignment horizontal="left" wrapText="1"/>
    </xf>
    <xf numFmtId="9" fontId="27" fillId="0" borderId="0" xfId="52" applyFont="1" applyAlignment="1">
      <alignment horizontal="left"/>
    </xf>
    <xf numFmtId="9" fontId="28" fillId="0" borderId="10" xfId="52" applyFont="1" applyBorder="1" applyAlignment="1">
      <alignment horizontal="left" wrapText="1"/>
    </xf>
    <xf numFmtId="3" fontId="27" fillId="35" borderId="10" xfId="0" applyNumberFormat="1" applyFont="1" applyFill="1" applyBorder="1" applyAlignment="1">
      <alignment horizontal="left"/>
    </xf>
    <xf numFmtId="3" fontId="27" fillId="39" borderId="10" xfId="0" applyNumberFormat="1" applyFont="1" applyFill="1" applyBorder="1" applyAlignment="1">
      <alignment horizontal="left"/>
    </xf>
    <xf numFmtId="4" fontId="27" fillId="0" borderId="0" xfId="0" applyNumberFormat="1" applyFont="1" applyAlignment="1">
      <alignment horizontal="left" wrapText="1"/>
    </xf>
    <xf numFmtId="3" fontId="28" fillId="0" borderId="10" xfId="0" applyNumberFormat="1" applyFont="1" applyBorder="1" applyAlignment="1">
      <alignment horizontal="left"/>
    </xf>
    <xf numFmtId="3" fontId="27" fillId="0" borderId="10" xfId="0" applyNumberFormat="1" applyFont="1" applyBorder="1" applyAlignment="1">
      <alignment horizontal="left"/>
    </xf>
    <xf numFmtId="10" fontId="27" fillId="0" borderId="10" xfId="0" applyNumberFormat="1" applyFont="1" applyBorder="1" applyAlignment="1">
      <alignment horizontal="left"/>
    </xf>
    <xf numFmtId="9" fontId="27" fillId="0" borderId="10" xfId="52" applyFont="1" applyBorder="1" applyAlignment="1">
      <alignment horizontal="left"/>
    </xf>
    <xf numFmtId="3" fontId="27" fillId="0" borderId="10" xfId="0" applyNumberFormat="1" applyFont="1" applyBorder="1" applyAlignment="1">
      <alignment horizontal="left" wrapText="1"/>
    </xf>
    <xf numFmtId="9" fontId="27" fillId="0" borderId="10" xfId="52" applyFont="1" applyBorder="1" applyAlignment="1">
      <alignment horizontal="left" wrapText="1"/>
    </xf>
    <xf numFmtId="3" fontId="29" fillId="40" borderId="10" xfId="0" applyNumberFormat="1" applyFont="1" applyFill="1" applyBorder="1" applyAlignment="1">
      <alignment horizontal="left"/>
    </xf>
    <xf numFmtId="9" fontId="0" fillId="0" borderId="0" xfId="52" applyFont="1" applyAlignment="1">
      <alignment horizontal="left"/>
    </xf>
    <xf numFmtId="0" fontId="21" fillId="42" borderId="12" xfId="0" applyFont="1" applyFill="1" applyBorder="1" applyAlignment="1">
      <alignment horizontal="left"/>
    </xf>
    <xf numFmtId="0" fontId="21" fillId="42" borderId="13" xfId="0" applyFont="1" applyFill="1" applyBorder="1" applyAlignment="1">
      <alignment horizontal="left"/>
    </xf>
    <xf numFmtId="9" fontId="0" fillId="0" borderId="0" xfId="0" applyNumberFormat="1" applyAlignment="1">
      <alignment horizontal="left"/>
    </xf>
    <xf numFmtId="10" fontId="28" fillId="0" borderId="0" xfId="52" applyNumberFormat="1" applyFont="1" applyAlignment="1">
      <alignment horizontal="left"/>
    </xf>
    <xf numFmtId="0" fontId="28" fillId="0" borderId="0" xfId="0" applyFont="1" applyAlignment="1">
      <alignment horizontal="left" wrapText="1"/>
    </xf>
    <xf numFmtId="1" fontId="28" fillId="0" borderId="0" xfId="0" applyNumberFormat="1" applyFont="1" applyAlignment="1">
      <alignment horizontal="left"/>
    </xf>
    <xf numFmtId="9" fontId="0" fillId="0" borderId="0" xfId="52" applyFont="1" applyBorder="1"/>
    <xf numFmtId="10" fontId="0" fillId="45" borderId="10" xfId="52" applyNumberFormat="1" applyFont="1" applyFill="1" applyBorder="1" applyAlignment="1">
      <alignment horizontal="center"/>
    </xf>
    <xf numFmtId="10" fontId="35" fillId="45" borderId="25" xfId="0" applyNumberFormat="1" applyFont="1" applyFill="1" applyBorder="1" applyAlignment="1">
      <alignment horizontal="center"/>
    </xf>
    <xf numFmtId="10" fontId="35" fillId="45" borderId="10" xfId="0" applyNumberFormat="1" applyFont="1" applyFill="1" applyBorder="1" applyAlignment="1">
      <alignment horizontal="center"/>
    </xf>
    <xf numFmtId="9" fontId="0" fillId="0" borderId="0" xfId="0" applyNumberFormat="1"/>
    <xf numFmtId="0" fontId="27" fillId="0" borderId="10" xfId="0" applyFont="1" applyBorder="1" applyAlignment="1">
      <alignment vertical="center" wrapText="1"/>
    </xf>
    <xf numFmtId="10" fontId="0" fillId="0" borderId="0" xfId="0" applyNumberFormat="1"/>
    <xf numFmtId="0" fontId="23" fillId="0" borderId="0" xfId="0" applyFont="1" applyAlignment="1">
      <alignment wrapText="1"/>
    </xf>
    <xf numFmtId="9" fontId="28" fillId="0" borderId="0" xfId="52" applyFont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9" fontId="0" fillId="0" borderId="15" xfId="52" applyFont="1" applyBorder="1"/>
    <xf numFmtId="0" fontId="0" fillId="0" borderId="17" xfId="0" applyBorder="1"/>
    <xf numFmtId="9" fontId="0" fillId="0" borderId="58" xfId="52" applyFont="1" applyBorder="1"/>
    <xf numFmtId="9" fontId="0" fillId="0" borderId="16" xfId="52" applyFont="1" applyBorder="1"/>
    <xf numFmtId="0" fontId="3" fillId="10" borderId="14" xfId="55" applyBorder="1"/>
    <xf numFmtId="9" fontId="3" fillId="10" borderId="0" xfId="55" applyNumberFormat="1" applyBorder="1"/>
    <xf numFmtId="9" fontId="3" fillId="10" borderId="15" xfId="55" applyNumberFormat="1" applyBorder="1"/>
    <xf numFmtId="0" fontId="3" fillId="11" borderId="14" xfId="56" applyBorder="1"/>
    <xf numFmtId="0" fontId="3" fillId="10" borderId="0" xfId="55" applyBorder="1"/>
    <xf numFmtId="0" fontId="3" fillId="11" borderId="0" xfId="56" applyBorder="1"/>
    <xf numFmtId="9" fontId="3" fillId="11" borderId="0" xfId="56" applyNumberFormat="1" applyBorder="1"/>
    <xf numFmtId="9" fontId="3" fillId="11" borderId="15" xfId="56" applyNumberFormat="1" applyBorder="1"/>
    <xf numFmtId="0" fontId="3" fillId="11" borderId="58" xfId="56" applyBorder="1"/>
    <xf numFmtId="9" fontId="3" fillId="11" borderId="58" xfId="56" applyNumberFormat="1" applyBorder="1"/>
    <xf numFmtId="9" fontId="3" fillId="11" borderId="16" xfId="56" applyNumberFormat="1" applyBorder="1"/>
    <xf numFmtId="0" fontId="3" fillId="11" borderId="17" xfId="56" applyBorder="1"/>
    <xf numFmtId="9" fontId="3" fillId="10" borderId="14" xfId="55" applyNumberFormat="1" applyBorder="1"/>
    <xf numFmtId="9" fontId="0" fillId="0" borderId="17" xfId="52" applyFont="1" applyBorder="1"/>
    <xf numFmtId="9" fontId="3" fillId="11" borderId="14" xfId="56" applyNumberFormat="1" applyBorder="1" applyAlignment="1">
      <alignment horizontal="right"/>
    </xf>
    <xf numFmtId="9" fontId="3" fillId="11" borderId="0" xfId="56" applyNumberFormat="1" applyBorder="1" applyAlignment="1">
      <alignment horizontal="right"/>
    </xf>
    <xf numFmtId="9" fontId="0" fillId="0" borderId="14" xfId="52" applyFont="1" applyBorder="1"/>
    <xf numFmtId="9" fontId="3" fillId="11" borderId="14" xfId="56" applyNumberFormat="1" applyBorder="1"/>
    <xf numFmtId="0" fontId="3" fillId="11" borderId="0" xfId="56" applyAlignment="1">
      <alignment horizontal="left"/>
    </xf>
    <xf numFmtId="9" fontId="3" fillId="11" borderId="48" xfId="56" applyNumberFormat="1" applyBorder="1" applyAlignment="1">
      <alignment horizontal="right"/>
    </xf>
    <xf numFmtId="165" fontId="23" fillId="36" borderId="0" xfId="53" applyNumberFormat="1" applyFont="1" applyFill="1" applyBorder="1" applyAlignment="1">
      <alignment horizontal="center" vertical="center" wrapText="1"/>
    </xf>
    <xf numFmtId="0" fontId="37" fillId="47" borderId="10" xfId="42" applyFont="1" applyFill="1" applyBorder="1" applyAlignment="1">
      <alignment horizontal="center" vertical="center" wrapText="1"/>
    </xf>
    <xf numFmtId="0" fontId="38" fillId="0" borderId="0" xfId="0" applyFont="1"/>
    <xf numFmtId="0" fontId="39" fillId="0" borderId="10" xfId="42" applyFont="1" applyBorder="1" applyAlignment="1">
      <alignment wrapText="1"/>
    </xf>
    <xf numFmtId="0" fontId="40" fillId="0" borderId="10" xfId="42" applyFont="1" applyBorder="1" applyAlignment="1">
      <alignment wrapText="1"/>
    </xf>
    <xf numFmtId="0" fontId="40" fillId="0" borderId="10" xfId="0" applyFont="1" applyBorder="1" applyAlignment="1">
      <alignment wrapText="1"/>
    </xf>
    <xf numFmtId="4" fontId="38" fillId="33" borderId="10" xfId="0" applyNumberFormat="1" applyFont="1" applyFill="1" applyBorder="1" applyAlignment="1">
      <alignment horizontal="right" vertical="center" wrapText="1"/>
    </xf>
    <xf numFmtId="9" fontId="38" fillId="0" borderId="0" xfId="52" applyFont="1"/>
    <xf numFmtId="0" fontId="40" fillId="34" borderId="10" xfId="42" applyFont="1" applyFill="1" applyBorder="1" applyAlignment="1">
      <alignment wrapText="1"/>
    </xf>
    <xf numFmtId="4" fontId="40" fillId="34" borderId="10" xfId="42" applyNumberFormat="1" applyFont="1" applyFill="1" applyBorder="1" applyAlignment="1">
      <alignment wrapText="1"/>
    </xf>
    <xf numFmtId="0" fontId="38" fillId="33" borderId="10" xfId="0" applyFont="1" applyFill="1" applyBorder="1" applyAlignment="1">
      <alignment horizontal="right" vertical="center" wrapText="1"/>
    </xf>
    <xf numFmtId="0" fontId="40" fillId="0" borderId="10" xfId="42" applyFont="1" applyBorder="1"/>
    <xf numFmtId="0" fontId="38" fillId="33" borderId="10" xfId="0" applyFont="1" applyFill="1" applyBorder="1" applyAlignment="1">
      <alignment horizontal="right" vertical="top" wrapText="1"/>
    </xf>
    <xf numFmtId="4" fontId="40" fillId="0" borderId="10" xfId="42" applyNumberFormat="1" applyFont="1" applyBorder="1" applyAlignment="1">
      <alignment wrapText="1"/>
    </xf>
    <xf numFmtId="0" fontId="37" fillId="35" borderId="10" xfId="42" applyFont="1" applyFill="1" applyBorder="1" applyAlignment="1">
      <alignment wrapText="1"/>
    </xf>
    <xf numFmtId="4" fontId="40" fillId="35" borderId="10" xfId="42" applyNumberFormat="1" applyFont="1" applyFill="1" applyBorder="1" applyAlignment="1">
      <alignment wrapText="1"/>
    </xf>
    <xf numFmtId="0" fontId="37" fillId="36" borderId="10" xfId="42" applyFont="1" applyFill="1" applyBorder="1" applyAlignment="1">
      <alignment wrapText="1"/>
    </xf>
    <xf numFmtId="4" fontId="40" fillId="36" borderId="10" xfId="42" applyNumberFormat="1" applyFont="1" applyFill="1" applyBorder="1" applyAlignment="1">
      <alignment wrapText="1"/>
    </xf>
    <xf numFmtId="4" fontId="38" fillId="0" borderId="0" xfId="0" applyNumberFormat="1" applyFont="1"/>
    <xf numFmtId="0" fontId="40" fillId="0" borderId="0" xfId="42" applyFont="1"/>
    <xf numFmtId="0" fontId="37" fillId="0" borderId="18" xfId="42" applyFont="1" applyBorder="1"/>
    <xf numFmtId="4" fontId="37" fillId="0" borderId="20" xfId="42" applyNumberFormat="1" applyFont="1" applyBorder="1"/>
    <xf numFmtId="4" fontId="37" fillId="0" borderId="19" xfId="42" applyNumberFormat="1" applyFont="1" applyBorder="1"/>
    <xf numFmtId="0" fontId="37" fillId="0" borderId="11" xfId="0" applyFont="1" applyBorder="1" applyAlignment="1">
      <alignment wrapText="1"/>
    </xf>
    <xf numFmtId="2" fontId="41" fillId="0" borderId="13" xfId="0" applyNumberFormat="1" applyFont="1" applyBorder="1"/>
    <xf numFmtId="0" fontId="37" fillId="0" borderId="14" xfId="0" applyFont="1" applyBorder="1"/>
    <xf numFmtId="2" fontId="41" fillId="0" borderId="15" xfId="0" applyNumberFormat="1" applyFont="1" applyBorder="1"/>
    <xf numFmtId="0" fontId="37" fillId="0" borderId="14" xfId="0" applyFont="1" applyBorder="1" applyAlignment="1">
      <alignment wrapText="1"/>
    </xf>
    <xf numFmtId="9" fontId="41" fillId="0" borderId="15" xfId="52" applyFont="1" applyBorder="1"/>
    <xf numFmtId="0" fontId="37" fillId="0" borderId="17" xfId="0" applyFont="1" applyBorder="1"/>
    <xf numFmtId="10" fontId="41" fillId="0" borderId="16" xfId="52" applyNumberFormat="1" applyFont="1" applyBorder="1"/>
    <xf numFmtId="0" fontId="37" fillId="38" borderId="10" xfId="0" applyFont="1" applyFill="1" applyBorder="1" applyAlignment="1">
      <alignment wrapText="1"/>
    </xf>
    <xf numFmtId="4" fontId="40" fillId="38" borderId="10" xfId="0" applyNumberFormat="1" applyFont="1" applyFill="1" applyBorder="1" applyAlignment="1">
      <alignment wrapText="1"/>
    </xf>
    <xf numFmtId="0" fontId="38" fillId="37" borderId="10" xfId="0" applyFont="1" applyFill="1" applyBorder="1"/>
    <xf numFmtId="2" fontId="40" fillId="37" borderId="10" xfId="0" applyNumberFormat="1" applyFont="1" applyFill="1" applyBorder="1" applyAlignment="1">
      <alignment wrapText="1"/>
    </xf>
    <xf numFmtId="0" fontId="40" fillId="37" borderId="10" xfId="0" applyFont="1" applyFill="1" applyBorder="1" applyAlignment="1">
      <alignment wrapText="1"/>
    </xf>
    <xf numFmtId="2" fontId="38" fillId="37" borderId="10" xfId="0" applyNumberFormat="1" applyFont="1" applyFill="1" applyBorder="1"/>
    <xf numFmtId="0" fontId="37" fillId="37" borderId="10" xfId="0" applyFont="1" applyFill="1" applyBorder="1" applyAlignment="1">
      <alignment wrapText="1"/>
    </xf>
    <xf numFmtId="2" fontId="37" fillId="37" borderId="10" xfId="0" applyNumberFormat="1" applyFont="1" applyFill="1" applyBorder="1"/>
    <xf numFmtId="0" fontId="41" fillId="0" borderId="0" xfId="0" applyFont="1"/>
    <xf numFmtId="164" fontId="38" fillId="0" borderId="0" xfId="0" applyNumberFormat="1" applyFont="1"/>
    <xf numFmtId="0" fontId="37" fillId="0" borderId="0" xfId="0" applyFont="1"/>
    <xf numFmtId="3" fontId="38" fillId="0" borderId="10" xfId="0" applyNumberFormat="1" applyFont="1" applyBorder="1"/>
    <xf numFmtId="0" fontId="40" fillId="36" borderId="10" xfId="0" applyFont="1" applyFill="1" applyBorder="1" applyAlignment="1">
      <alignment wrapText="1"/>
    </xf>
    <xf numFmtId="0" fontId="37" fillId="0" borderId="0" xfId="0" applyFont="1" applyAlignment="1">
      <alignment wrapText="1"/>
    </xf>
    <xf numFmtId="3" fontId="38" fillId="0" borderId="0" xfId="0" applyNumberFormat="1" applyFont="1"/>
    <xf numFmtId="10" fontId="38" fillId="0" borderId="0" xfId="52" applyNumberFormat="1" applyFont="1"/>
    <xf numFmtId="0" fontId="40" fillId="0" borderId="0" xfId="85" applyFont="1"/>
    <xf numFmtId="0" fontId="40" fillId="0" borderId="0" xfId="85" applyFont="1" applyAlignment="1">
      <alignment horizontal="left"/>
    </xf>
    <xf numFmtId="0" fontId="37" fillId="0" borderId="61" xfId="85" applyFont="1" applyBorder="1" applyAlignment="1">
      <alignment horizontal="left" vertical="center" wrapText="1"/>
    </xf>
    <xf numFmtId="0" fontId="37" fillId="0" borderId="10" xfId="85" applyFont="1" applyBorder="1" applyAlignment="1">
      <alignment horizontal="left" vertical="center" wrapText="1"/>
    </xf>
    <xf numFmtId="0" fontId="40" fillId="0" borderId="10" xfId="85" applyFont="1" applyBorder="1" applyAlignment="1">
      <alignment horizontal="left" wrapText="1"/>
    </xf>
    <xf numFmtId="0" fontId="37" fillId="12" borderId="10" xfId="87" applyFont="1" applyBorder="1" applyAlignment="1">
      <alignment horizontal="left" wrapText="1"/>
    </xf>
    <xf numFmtId="0" fontId="40" fillId="0" borderId="10" xfId="85" applyFont="1" applyBorder="1" applyAlignment="1">
      <alignment horizontal="left"/>
    </xf>
    <xf numFmtId="0" fontId="40" fillId="10" borderId="10" xfId="88" applyFont="1" applyBorder="1" applyAlignment="1">
      <alignment horizontal="left" wrapText="1"/>
    </xf>
    <xf numFmtId="0" fontId="40" fillId="10" borderId="10" xfId="88" applyFont="1" applyBorder="1" applyAlignment="1">
      <alignment horizontal="left"/>
    </xf>
    <xf numFmtId="0" fontId="37" fillId="12" borderId="10" xfId="87" applyFont="1" applyBorder="1" applyAlignment="1">
      <alignment horizontal="left"/>
    </xf>
    <xf numFmtId="0" fontId="37" fillId="49" borderId="10" xfId="85" applyFont="1" applyFill="1" applyBorder="1" applyAlignment="1">
      <alignment horizontal="left" wrapText="1"/>
    </xf>
    <xf numFmtId="4" fontId="37" fillId="49" borderId="10" xfId="85" applyNumberFormat="1" applyFont="1" applyFill="1" applyBorder="1" applyAlignment="1">
      <alignment horizontal="left" wrapText="1"/>
    </xf>
    <xf numFmtId="0" fontId="37" fillId="11" borderId="10" xfId="86" applyFont="1" applyBorder="1" applyAlignment="1">
      <alignment horizontal="left" wrapText="1"/>
    </xf>
    <xf numFmtId="0" fontId="37" fillId="11" borderId="10" xfId="86" applyFont="1" applyBorder="1" applyAlignment="1">
      <alignment horizontal="left"/>
    </xf>
    <xf numFmtId="0" fontId="42" fillId="9" borderId="10" xfId="18" applyFont="1" applyBorder="1" applyAlignment="1">
      <alignment horizontal="left" wrapText="1"/>
    </xf>
    <xf numFmtId="4" fontId="42" fillId="42" borderId="10" xfId="85" applyNumberFormat="1" applyFont="1" applyFill="1" applyBorder="1" applyAlignment="1">
      <alignment horizontal="left"/>
    </xf>
    <xf numFmtId="0" fontId="37" fillId="0" borderId="60" xfId="85" applyFont="1" applyBorder="1" applyAlignment="1">
      <alignment vertical="center"/>
    </xf>
    <xf numFmtId="0" fontId="38" fillId="0" borderId="10" xfId="0" applyFont="1" applyBorder="1"/>
    <xf numFmtId="0" fontId="41" fillId="0" borderId="10" xfId="0" applyFont="1" applyBorder="1"/>
    <xf numFmtId="0" fontId="43" fillId="0" borderId="0" xfId="0" applyFont="1"/>
    <xf numFmtId="1" fontId="43" fillId="0" borderId="0" xfId="0" applyNumberFormat="1" applyFont="1"/>
    <xf numFmtId="10" fontId="38" fillId="0" borderId="10" xfId="52" applyNumberFormat="1" applyFont="1" applyBorder="1"/>
    <xf numFmtId="1" fontId="38" fillId="0" borderId="0" xfId="52" applyNumberFormat="1" applyFont="1"/>
    <xf numFmtId="1" fontId="38" fillId="0" borderId="0" xfId="0" applyNumberFormat="1" applyFont="1"/>
    <xf numFmtId="0" fontId="38" fillId="0" borderId="36" xfId="0" applyFont="1" applyBorder="1"/>
    <xf numFmtId="0" fontId="41" fillId="0" borderId="33" xfId="0" applyFont="1" applyBorder="1" applyAlignment="1">
      <alignment horizontal="center"/>
    </xf>
    <xf numFmtId="17" fontId="37" fillId="0" borderId="33" xfId="0" applyNumberFormat="1" applyFont="1" applyBorder="1"/>
    <xf numFmtId="17" fontId="37" fillId="0" borderId="34" xfId="0" applyNumberFormat="1" applyFont="1" applyBorder="1"/>
    <xf numFmtId="0" fontId="37" fillId="0" borderId="37" xfId="0" applyFont="1" applyBorder="1" applyAlignment="1">
      <alignment horizontal="center" vertical="center"/>
    </xf>
    <xf numFmtId="1" fontId="38" fillId="0" borderId="10" xfId="0" applyNumberFormat="1" applyFont="1" applyBorder="1"/>
    <xf numFmtId="0" fontId="38" fillId="0" borderId="35" xfId="0" applyFont="1" applyBorder="1"/>
    <xf numFmtId="3" fontId="38" fillId="0" borderId="0" xfId="0" applyNumberFormat="1" applyFont="1" applyAlignment="1">
      <alignment horizontal="center" vertical="center"/>
    </xf>
    <xf numFmtId="0" fontId="38" fillId="0" borderId="14" xfId="0" applyFont="1" applyBorder="1"/>
    <xf numFmtId="0" fontId="38" fillId="0" borderId="15" xfId="0" applyFont="1" applyBorder="1"/>
    <xf numFmtId="0" fontId="38" fillId="0" borderId="37" xfId="0" applyFont="1" applyBorder="1"/>
    <xf numFmtId="0" fontId="41" fillId="0" borderId="10" xfId="0" applyFont="1" applyBorder="1" applyAlignment="1">
      <alignment horizontal="center"/>
    </xf>
    <xf numFmtId="0" fontId="41" fillId="0" borderId="37" xfId="0" applyFont="1" applyBorder="1" applyAlignment="1">
      <alignment horizontal="center" vertical="center"/>
    </xf>
    <xf numFmtId="0" fontId="41" fillId="0" borderId="37" xfId="0" applyFont="1" applyBorder="1"/>
    <xf numFmtId="0" fontId="41" fillId="0" borderId="38" xfId="0" applyFont="1" applyBorder="1" applyAlignment="1">
      <alignment horizontal="center" vertical="center"/>
    </xf>
    <xf numFmtId="0" fontId="38" fillId="0" borderId="39" xfId="0" applyFont="1" applyBorder="1"/>
    <xf numFmtId="1" fontId="38" fillId="0" borderId="39" xfId="0" applyNumberFormat="1" applyFont="1" applyBorder="1"/>
    <xf numFmtId="0" fontId="38" fillId="0" borderId="40" xfId="0" applyFont="1" applyBorder="1"/>
    <xf numFmtId="0" fontId="38" fillId="0" borderId="25" xfId="0" applyFont="1" applyBorder="1"/>
    <xf numFmtId="0" fontId="38" fillId="0" borderId="30" xfId="0" applyFont="1" applyBorder="1"/>
    <xf numFmtId="0" fontId="38" fillId="0" borderId="32" xfId="0" applyFont="1" applyBorder="1"/>
    <xf numFmtId="0" fontId="41" fillId="0" borderId="27" xfId="0" applyFont="1" applyBorder="1"/>
    <xf numFmtId="1" fontId="38" fillId="0" borderId="41" xfId="0" applyNumberFormat="1" applyFont="1" applyBorder="1"/>
    <xf numFmtId="0" fontId="38" fillId="36" borderId="10" xfId="0" applyFont="1" applyFill="1" applyBorder="1"/>
    <xf numFmtId="3" fontId="38" fillId="36" borderId="10" xfId="0" applyNumberFormat="1" applyFont="1" applyFill="1" applyBorder="1"/>
    <xf numFmtId="9" fontId="38" fillId="0" borderId="27" xfId="52" applyFont="1" applyBorder="1"/>
    <xf numFmtId="9" fontId="38" fillId="0" borderId="10" xfId="52" applyFont="1" applyBorder="1"/>
    <xf numFmtId="9" fontId="38" fillId="0" borderId="41" xfId="52" applyFont="1" applyBorder="1"/>
    <xf numFmtId="9" fontId="38" fillId="0" borderId="23" xfId="52" applyFont="1" applyFill="1" applyBorder="1"/>
    <xf numFmtId="1" fontId="38" fillId="0" borderId="10" xfId="52" applyNumberFormat="1" applyFont="1" applyBorder="1"/>
    <xf numFmtId="1" fontId="38" fillId="0" borderId="41" xfId="52" applyNumberFormat="1" applyFont="1" applyBorder="1"/>
    <xf numFmtId="9" fontId="38" fillId="0" borderId="0" xfId="52" applyFont="1" applyFill="1" applyBorder="1"/>
    <xf numFmtId="9" fontId="38" fillId="41" borderId="0" xfId="52" applyFont="1" applyFill="1"/>
    <xf numFmtId="165" fontId="38" fillId="41" borderId="0" xfId="53" applyNumberFormat="1" applyFont="1" applyFill="1"/>
    <xf numFmtId="165" fontId="38" fillId="41" borderId="0" xfId="0" applyNumberFormat="1" applyFont="1" applyFill="1"/>
    <xf numFmtId="166" fontId="38" fillId="41" borderId="0" xfId="52" applyNumberFormat="1" applyFont="1" applyFill="1"/>
    <xf numFmtId="0" fontId="41" fillId="0" borderId="27" xfId="0" applyFont="1" applyBorder="1" applyAlignment="1">
      <alignment wrapText="1"/>
    </xf>
    <xf numFmtId="9" fontId="38" fillId="0" borderId="22" xfId="52" applyFont="1" applyBorder="1"/>
    <xf numFmtId="9" fontId="38" fillId="0" borderId="28" xfId="52" applyFont="1" applyBorder="1"/>
    <xf numFmtId="9" fontId="38" fillId="0" borderId="31" xfId="52" applyFont="1" applyBorder="1"/>
    <xf numFmtId="1" fontId="38" fillId="0" borderId="28" xfId="52" applyNumberFormat="1" applyFont="1" applyBorder="1"/>
    <xf numFmtId="1" fontId="38" fillId="0" borderId="31" xfId="52" applyNumberFormat="1" applyFont="1" applyBorder="1"/>
    <xf numFmtId="0" fontId="38" fillId="36" borderId="0" xfId="0" applyFont="1" applyFill="1"/>
    <xf numFmtId="0" fontId="41" fillId="42" borderId="42" xfId="0" applyFont="1" applyFill="1" applyBorder="1" applyAlignment="1">
      <alignment horizontal="center" vertical="center"/>
    </xf>
    <xf numFmtId="0" fontId="41" fillId="42" borderId="43" xfId="0" applyFont="1" applyFill="1" applyBorder="1" applyAlignment="1">
      <alignment horizontal="center" vertical="center"/>
    </xf>
    <xf numFmtId="0" fontId="41" fillId="42" borderId="44" xfId="0" applyFont="1" applyFill="1" applyBorder="1" applyAlignment="1">
      <alignment horizontal="center" vertical="center"/>
    </xf>
    <xf numFmtId="0" fontId="41" fillId="0" borderId="37" xfId="0" applyFont="1" applyBorder="1" applyAlignment="1">
      <alignment horizontal="center" vertical="center"/>
    </xf>
    <xf numFmtId="0" fontId="41" fillId="0" borderId="18" xfId="0" applyFont="1" applyBorder="1" applyAlignment="1">
      <alignment horizontal="center"/>
    </xf>
    <xf numFmtId="0" fontId="41" fillId="0" borderId="19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4" fillId="42" borderId="42" xfId="0" applyFont="1" applyFill="1" applyBorder="1" applyAlignment="1">
      <alignment horizontal="center" vertical="center" wrapText="1"/>
    </xf>
    <xf numFmtId="0" fontId="44" fillId="43" borderId="10" xfId="0" applyFont="1" applyFill="1" applyBorder="1" applyAlignment="1">
      <alignment horizontal="center" vertical="center" wrapText="1"/>
    </xf>
    <xf numFmtId="0" fontId="44" fillId="43" borderId="10" xfId="0" applyFont="1" applyFill="1" applyBorder="1"/>
    <xf numFmtId="0" fontId="44" fillId="43" borderId="35" xfId="0" applyFont="1" applyFill="1" applyBorder="1"/>
    <xf numFmtId="0" fontId="44" fillId="42" borderId="44" xfId="0" applyFont="1" applyFill="1" applyBorder="1" applyAlignment="1">
      <alignment horizontal="center" vertical="center" wrapText="1"/>
    </xf>
    <xf numFmtId="10" fontId="38" fillId="0" borderId="35" xfId="52" applyNumberFormat="1" applyFont="1" applyBorder="1"/>
    <xf numFmtId="0" fontId="44" fillId="42" borderId="37" xfId="0" applyFont="1" applyFill="1" applyBorder="1" applyAlignment="1">
      <alignment horizontal="center" wrapText="1"/>
    </xf>
    <xf numFmtId="0" fontId="44" fillId="43" borderId="39" xfId="0" applyFont="1" applyFill="1" applyBorder="1" applyAlignment="1">
      <alignment horizontal="center" wrapText="1"/>
    </xf>
    <xf numFmtId="10" fontId="38" fillId="0" borderId="39" xfId="52" applyNumberFormat="1" applyFont="1" applyBorder="1"/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42" fillId="42" borderId="36" xfId="0" applyFont="1" applyFill="1" applyBorder="1"/>
    <xf numFmtId="0" fontId="44" fillId="42" borderId="33" xfId="0" applyFont="1" applyFill="1" applyBorder="1"/>
    <xf numFmtId="0" fontId="44" fillId="42" borderId="34" xfId="0" applyFont="1" applyFill="1" applyBorder="1"/>
    <xf numFmtId="0" fontId="42" fillId="43" borderId="45" xfId="0" applyFont="1" applyFill="1" applyBorder="1" applyAlignment="1">
      <alignment horizontal="center" vertical="center"/>
    </xf>
    <xf numFmtId="0" fontId="42" fillId="43" borderId="26" xfId="0" applyFont="1" applyFill="1" applyBorder="1" applyAlignment="1">
      <alignment horizontal="center" vertical="center"/>
    </xf>
    <xf numFmtId="0" fontId="42" fillId="43" borderId="46" xfId="0" applyFont="1" applyFill="1" applyBorder="1" applyAlignment="1">
      <alignment horizontal="center" vertical="center"/>
    </xf>
    <xf numFmtId="9" fontId="38" fillId="0" borderId="10" xfId="0" applyNumberFormat="1" applyFont="1" applyBorder="1"/>
    <xf numFmtId="9" fontId="38" fillId="0" borderId="35" xfId="0" applyNumberFormat="1" applyFont="1" applyBorder="1"/>
    <xf numFmtId="0" fontId="38" fillId="0" borderId="26" xfId="0" applyFont="1" applyBorder="1"/>
    <xf numFmtId="9" fontId="38" fillId="0" borderId="26" xfId="0" applyNumberFormat="1" applyFont="1" applyBorder="1"/>
    <xf numFmtId="9" fontId="38" fillId="0" borderId="46" xfId="0" applyNumberFormat="1" applyFont="1" applyBorder="1"/>
    <xf numFmtId="0" fontId="42" fillId="43" borderId="45" xfId="0" applyFont="1" applyFill="1" applyBorder="1" applyAlignment="1">
      <alignment horizontal="center"/>
    </xf>
    <xf numFmtId="0" fontId="42" fillId="43" borderId="26" xfId="0" applyFont="1" applyFill="1" applyBorder="1" applyAlignment="1">
      <alignment horizontal="center"/>
    </xf>
    <xf numFmtId="0" fontId="42" fillId="43" borderId="46" xfId="0" applyFont="1" applyFill="1" applyBorder="1" applyAlignment="1">
      <alignment horizontal="center"/>
    </xf>
    <xf numFmtId="0" fontId="37" fillId="42" borderId="42" xfId="0" applyFont="1" applyFill="1" applyBorder="1" applyAlignment="1">
      <alignment horizontal="center" vertical="center"/>
    </xf>
    <xf numFmtId="0" fontId="37" fillId="42" borderId="44" xfId="0" applyFont="1" applyFill="1" applyBorder="1" applyAlignment="1">
      <alignment horizontal="center" vertical="center"/>
    </xf>
    <xf numFmtId="9" fontId="38" fillId="0" borderId="35" xfId="52" applyFont="1" applyBorder="1"/>
    <xf numFmtId="0" fontId="41" fillId="42" borderId="22" xfId="0" applyFont="1" applyFill="1" applyBorder="1" applyAlignment="1">
      <alignment horizontal="center" vertical="center"/>
    </xf>
    <xf numFmtId="0" fontId="41" fillId="42" borderId="23" xfId="0" applyFont="1" applyFill="1" applyBorder="1" applyAlignment="1">
      <alignment horizontal="center" vertical="center"/>
    </xf>
    <xf numFmtId="0" fontId="41" fillId="42" borderId="25" xfId="0" applyFont="1" applyFill="1" applyBorder="1" applyAlignment="1">
      <alignment horizontal="center" vertical="center"/>
    </xf>
    <xf numFmtId="0" fontId="44" fillId="43" borderId="45" xfId="0" applyFont="1" applyFill="1" applyBorder="1" applyAlignment="1">
      <alignment horizontal="center"/>
    </xf>
    <xf numFmtId="0" fontId="44" fillId="43" borderId="26" xfId="0" applyFont="1" applyFill="1" applyBorder="1" applyAlignment="1">
      <alignment horizontal="center"/>
    </xf>
    <xf numFmtId="0" fontId="44" fillId="43" borderId="46" xfId="0" applyFont="1" applyFill="1" applyBorder="1" applyAlignment="1">
      <alignment horizontal="center"/>
    </xf>
    <xf numFmtId="0" fontId="41" fillId="42" borderId="38" xfId="0" applyFont="1" applyFill="1" applyBorder="1" applyAlignment="1">
      <alignment horizontal="center" vertical="center"/>
    </xf>
    <xf numFmtId="2" fontId="38" fillId="0" borderId="39" xfId="0" applyNumberFormat="1" applyFont="1" applyBorder="1"/>
    <xf numFmtId="2" fontId="38" fillId="0" borderId="40" xfId="0" applyNumberFormat="1" applyFont="1" applyBorder="1"/>
    <xf numFmtId="0" fontId="44" fillId="42" borderId="0" xfId="0" applyFont="1" applyFill="1" applyAlignment="1">
      <alignment horizontal="center" vertical="center"/>
    </xf>
    <xf numFmtId="0" fontId="44" fillId="42" borderId="27" xfId="0" applyFont="1" applyFill="1" applyBorder="1"/>
    <xf numFmtId="0" fontId="42" fillId="42" borderId="10" xfId="0" applyFont="1" applyFill="1" applyBorder="1"/>
    <xf numFmtId="0" fontId="38" fillId="41" borderId="0" xfId="0" applyFont="1" applyFill="1"/>
    <xf numFmtId="10" fontId="38" fillId="0" borderId="10" xfId="0" applyNumberFormat="1" applyFont="1" applyBorder="1"/>
    <xf numFmtId="0" fontId="41" fillId="0" borderId="0" xfId="0" applyFont="1" applyAlignment="1">
      <alignment horizontal="center"/>
    </xf>
    <xf numFmtId="0" fontId="44" fillId="42" borderId="0" xfId="0" applyFont="1" applyFill="1"/>
    <xf numFmtId="0" fontId="40" fillId="0" borderId="0" xfId="0" applyFont="1"/>
    <xf numFmtId="9" fontId="38" fillId="0" borderId="0" xfId="0" applyNumberFormat="1" applyFont="1"/>
    <xf numFmtId="0" fontId="46" fillId="0" borderId="0" xfId="0" applyFont="1"/>
    <xf numFmtId="0" fontId="41" fillId="0" borderId="25" xfId="0" applyFont="1" applyBorder="1"/>
    <xf numFmtId="0" fontId="41" fillId="0" borderId="30" xfId="0" applyFont="1" applyBorder="1"/>
    <xf numFmtId="0" fontId="41" fillId="0" borderId="32" xfId="0" applyFont="1" applyBorder="1"/>
    <xf numFmtId="0" fontId="38" fillId="0" borderId="27" xfId="0" applyFont="1" applyBorder="1"/>
    <xf numFmtId="165" fontId="38" fillId="0" borderId="10" xfId="53" applyNumberFormat="1" applyFont="1" applyBorder="1"/>
    <xf numFmtId="165" fontId="38" fillId="0" borderId="41" xfId="53" applyNumberFormat="1" applyFont="1" applyBorder="1"/>
    <xf numFmtId="1" fontId="38" fillId="0" borderId="10" xfId="53" applyNumberFormat="1" applyFont="1" applyBorder="1"/>
    <xf numFmtId="0" fontId="38" fillId="0" borderId="10" xfId="0" applyFont="1" applyBorder="1" applyAlignment="1">
      <alignment wrapText="1"/>
    </xf>
    <xf numFmtId="0" fontId="38" fillId="0" borderId="22" xfId="0" applyFont="1" applyBorder="1" applyAlignment="1">
      <alignment wrapText="1"/>
    </xf>
    <xf numFmtId="0" fontId="38" fillId="0" borderId="28" xfId="0" applyFont="1" applyBorder="1"/>
    <xf numFmtId="1" fontId="38" fillId="0" borderId="28" xfId="0" applyNumberFormat="1" applyFont="1" applyBorder="1"/>
    <xf numFmtId="1" fontId="38" fillId="0" borderId="31" xfId="0" applyNumberFormat="1" applyFont="1" applyBorder="1"/>
    <xf numFmtId="0" fontId="41" fillId="0" borderId="10" xfId="0" applyFont="1" applyBorder="1" applyAlignment="1">
      <alignment wrapText="1"/>
    </xf>
    <xf numFmtId="0" fontId="41" fillId="0" borderId="26" xfId="0" applyFont="1" applyBorder="1"/>
    <xf numFmtId="0" fontId="41" fillId="0" borderId="28" xfId="0" applyFont="1" applyBorder="1" applyAlignment="1">
      <alignment horizontal="center" vertical="center"/>
    </xf>
    <xf numFmtId="0" fontId="38" fillId="0" borderId="21" xfId="0" applyFont="1" applyBorder="1"/>
    <xf numFmtId="0" fontId="38" fillId="0" borderId="22" xfId="0" applyFont="1" applyBorder="1"/>
    <xf numFmtId="0" fontId="41" fillId="0" borderId="29" xfId="0" applyFont="1" applyBorder="1" applyAlignment="1">
      <alignment horizontal="center" vertical="center"/>
    </xf>
    <xf numFmtId="0" fontId="38" fillId="0" borderId="23" xfId="0" applyFont="1" applyBorder="1"/>
    <xf numFmtId="0" fontId="41" fillId="0" borderId="30" xfId="0" applyFont="1" applyBorder="1" applyAlignment="1">
      <alignment horizontal="center" vertical="center"/>
    </xf>
    <xf numFmtId="0" fontId="38" fillId="0" borderId="24" xfId="0" applyFont="1" applyBorder="1"/>
    <xf numFmtId="0" fontId="41" fillId="0" borderId="28" xfId="0" applyFont="1" applyBorder="1" applyAlignment="1">
      <alignment horizontal="center" vertical="center" wrapText="1"/>
    </xf>
    <xf numFmtId="1" fontId="38" fillId="0" borderId="21" xfId="0" applyNumberFormat="1" applyFont="1" applyBorder="1"/>
    <xf numFmtId="1" fontId="38" fillId="0" borderId="22" xfId="0" applyNumberFormat="1" applyFont="1" applyBorder="1"/>
    <xf numFmtId="0" fontId="41" fillId="0" borderId="29" xfId="0" applyFont="1" applyBorder="1" applyAlignment="1">
      <alignment horizontal="center" vertical="center" wrapText="1"/>
    </xf>
    <xf numFmtId="1" fontId="38" fillId="0" borderId="23" xfId="0" applyNumberFormat="1" applyFont="1" applyBorder="1"/>
    <xf numFmtId="0" fontId="41" fillId="0" borderId="30" xfId="0" applyFont="1" applyBorder="1" applyAlignment="1">
      <alignment horizontal="center" vertical="center" wrapText="1"/>
    </xf>
    <xf numFmtId="1" fontId="38" fillId="0" borderId="24" xfId="0" applyNumberFormat="1" applyFont="1" applyBorder="1"/>
    <xf numFmtId="1" fontId="38" fillId="0" borderId="25" xfId="0" applyNumberFormat="1" applyFont="1" applyBorder="1"/>
    <xf numFmtId="0" fontId="38" fillId="0" borderId="0" xfId="0" applyFont="1" applyAlignment="1">
      <alignment wrapText="1"/>
    </xf>
    <xf numFmtId="2" fontId="38" fillId="0" borderId="0" xfId="0" applyNumberFormat="1" applyFont="1"/>
    <xf numFmtId="0" fontId="47" fillId="0" borderId="2" xfId="3" applyFont="1"/>
    <xf numFmtId="0" fontId="42" fillId="52" borderId="31" xfId="0" applyFont="1" applyFill="1" applyBorder="1"/>
    <xf numFmtId="0" fontId="40" fillId="0" borderId="47" xfId="0" applyFont="1" applyBorder="1"/>
    <xf numFmtId="0" fontId="48" fillId="0" borderId="47" xfId="0" applyFont="1" applyBorder="1"/>
    <xf numFmtId="0" fontId="38" fillId="0" borderId="47" xfId="0" applyFont="1" applyBorder="1"/>
    <xf numFmtId="0" fontId="49" fillId="0" borderId="47" xfId="0" applyFont="1" applyBorder="1"/>
    <xf numFmtId="1" fontId="38" fillId="0" borderId="29" xfId="0" applyNumberFormat="1" applyFont="1" applyBorder="1"/>
    <xf numFmtId="169" fontId="38" fillId="0" borderId="0" xfId="52" applyNumberFormat="1" applyFont="1"/>
    <xf numFmtId="169" fontId="42" fillId="0" borderId="0" xfId="52" applyNumberFormat="1" applyFont="1"/>
    <xf numFmtId="0" fontId="42" fillId="52" borderId="10" xfId="0" applyFont="1" applyFill="1" applyBorder="1"/>
    <xf numFmtId="0" fontId="52" fillId="0" borderId="31" xfId="0" applyFont="1" applyBorder="1"/>
    <xf numFmtId="0" fontId="52" fillId="0" borderId="21" xfId="0" applyFont="1" applyBorder="1"/>
    <xf numFmtId="0" fontId="40" fillId="0" borderId="21" xfId="0" applyFont="1" applyBorder="1"/>
    <xf numFmtId="0" fontId="40" fillId="0" borderId="22" xfId="0" applyFont="1" applyBorder="1"/>
    <xf numFmtId="0" fontId="42" fillId="52" borderId="41" xfId="0" applyFont="1" applyFill="1" applyBorder="1" applyAlignment="1">
      <alignment horizontal="center"/>
    </xf>
    <xf numFmtId="0" fontId="42" fillId="52" borderId="26" xfId="0" applyFont="1" applyFill="1" applyBorder="1" applyAlignment="1">
      <alignment horizontal="center"/>
    </xf>
    <xf numFmtId="0" fontId="42" fillId="52" borderId="27" xfId="0" applyFont="1" applyFill="1" applyBorder="1" applyAlignment="1">
      <alignment horizontal="center"/>
    </xf>
    <xf numFmtId="0" fontId="39" fillId="0" borderId="47" xfId="0" applyFont="1" applyBorder="1"/>
    <xf numFmtId="0" fontId="40" fillId="0" borderId="23" xfId="0" applyFont="1" applyBorder="1"/>
    <xf numFmtId="43" fontId="40" fillId="0" borderId="0" xfId="81" applyFont="1" applyFill="1" applyBorder="1"/>
    <xf numFmtId="43" fontId="40" fillId="0" borderId="23" xfId="81" applyFont="1" applyFill="1" applyBorder="1"/>
    <xf numFmtId="165" fontId="40" fillId="0" borderId="0" xfId="81" applyNumberFormat="1" applyFont="1" applyFill="1" applyBorder="1"/>
    <xf numFmtId="165" fontId="40" fillId="0" borderId="23" xfId="81" applyNumberFormat="1" applyFont="1" applyFill="1" applyBorder="1"/>
    <xf numFmtId="0" fontId="52" fillId="0" borderId="47" xfId="0" applyFont="1" applyBorder="1"/>
    <xf numFmtId="0" fontId="42" fillId="52" borderId="41" xfId="0" applyFont="1" applyFill="1" applyBorder="1" applyAlignment="1">
      <alignment horizontal="left"/>
    </xf>
    <xf numFmtId="43" fontId="42" fillId="52" borderId="26" xfId="81" applyFont="1" applyFill="1" applyBorder="1" applyAlignment="1">
      <alignment horizontal="center"/>
    </xf>
    <xf numFmtId="43" fontId="42" fillId="52" borderId="27" xfId="81" applyFont="1" applyFill="1" applyBorder="1" applyAlignment="1">
      <alignment horizontal="center"/>
    </xf>
    <xf numFmtId="0" fontId="40" fillId="0" borderId="32" xfId="0" applyFont="1" applyBorder="1"/>
    <xf numFmtId="43" fontId="40" fillId="0" borderId="24" xfId="81" applyFont="1" applyFill="1" applyBorder="1"/>
    <xf numFmtId="43" fontId="40" fillId="0" borderId="25" xfId="81" applyFont="1" applyFill="1" applyBorder="1"/>
    <xf numFmtId="165" fontId="40" fillId="0" borderId="0" xfId="81" applyNumberFormat="1" applyFont="1" applyBorder="1"/>
    <xf numFmtId="165" fontId="40" fillId="0" borderId="23" xfId="81" applyNumberFormat="1" applyFont="1" applyBorder="1"/>
    <xf numFmtId="0" fontId="42" fillId="52" borderId="47" xfId="0" applyFont="1" applyFill="1" applyBorder="1"/>
    <xf numFmtId="165" fontId="38" fillId="0" borderId="0" xfId="0" applyNumberFormat="1" applyFont="1"/>
    <xf numFmtId="165" fontId="38" fillId="0" borderId="23" xfId="0" applyNumberFormat="1" applyFont="1" applyBorder="1"/>
    <xf numFmtId="43" fontId="38" fillId="0" borderId="24" xfId="0" applyNumberFormat="1" applyFont="1" applyBorder="1"/>
    <xf numFmtId="165" fontId="38" fillId="0" borderId="24" xfId="0" applyNumberFormat="1" applyFont="1" applyBorder="1"/>
    <xf numFmtId="165" fontId="38" fillId="0" borderId="25" xfId="0" applyNumberFormat="1" applyFont="1" applyBorder="1"/>
    <xf numFmtId="43" fontId="38" fillId="0" borderId="0" xfId="0" applyNumberFormat="1" applyFont="1"/>
    <xf numFmtId="0" fontId="42" fillId="52" borderId="11" xfId="0" applyFont="1" applyFill="1" applyBorder="1"/>
    <xf numFmtId="0" fontId="42" fillId="52" borderId="49" xfId="0" applyFont="1" applyFill="1" applyBorder="1" applyAlignment="1">
      <alignment horizontal="center"/>
    </xf>
    <xf numFmtId="0" fontId="42" fillId="52" borderId="50" xfId="0" applyFont="1" applyFill="1" applyBorder="1" applyAlignment="1">
      <alignment horizontal="center"/>
    </xf>
    <xf numFmtId="0" fontId="53" fillId="0" borderId="51" xfId="0" applyFont="1" applyBorder="1"/>
    <xf numFmtId="165" fontId="40" fillId="0" borderId="21" xfId="53" applyNumberFormat="1" applyFont="1" applyBorder="1"/>
    <xf numFmtId="0" fontId="40" fillId="0" borderId="52" xfId="0" applyFont="1" applyBorder="1"/>
    <xf numFmtId="0" fontId="40" fillId="0" borderId="14" xfId="0" applyFont="1" applyBorder="1"/>
    <xf numFmtId="165" fontId="40" fillId="0" borderId="0" xfId="53" applyNumberFormat="1" applyFont="1" applyBorder="1"/>
    <xf numFmtId="165" fontId="40" fillId="0" borderId="15" xfId="53" applyNumberFormat="1" applyFont="1" applyBorder="1"/>
    <xf numFmtId="0" fontId="40" fillId="0" borderId="15" xfId="0" applyFont="1" applyBorder="1"/>
    <xf numFmtId="0" fontId="40" fillId="48" borderId="14" xfId="0" applyFont="1" applyFill="1" applyBorder="1"/>
    <xf numFmtId="165" fontId="40" fillId="48" borderId="0" xfId="53" applyNumberFormat="1" applyFont="1" applyFill="1" applyBorder="1"/>
    <xf numFmtId="165" fontId="40" fillId="48" borderId="15" xfId="53" applyNumberFormat="1" applyFont="1" applyFill="1" applyBorder="1"/>
    <xf numFmtId="0" fontId="37" fillId="44" borderId="14" xfId="0" applyFont="1" applyFill="1" applyBorder="1"/>
    <xf numFmtId="165" fontId="37" fillId="44" borderId="0" xfId="53" applyNumberFormat="1" applyFont="1" applyFill="1" applyBorder="1"/>
    <xf numFmtId="165" fontId="37" fillId="44" borderId="15" xfId="53" applyNumberFormat="1" applyFont="1" applyFill="1" applyBorder="1"/>
    <xf numFmtId="0" fontId="53" fillId="0" borderId="14" xfId="0" applyFont="1" applyBorder="1"/>
    <xf numFmtId="165" fontId="40" fillId="44" borderId="0" xfId="53" applyNumberFormat="1" applyFont="1" applyFill="1" applyBorder="1"/>
    <xf numFmtId="165" fontId="40" fillId="44" borderId="15" xfId="53" applyNumberFormat="1" applyFont="1" applyFill="1" applyBorder="1"/>
    <xf numFmtId="0" fontId="40" fillId="0" borderId="53" xfId="0" applyFont="1" applyBorder="1"/>
    <xf numFmtId="165" fontId="40" fillId="0" borderId="24" xfId="53" applyNumberFormat="1" applyFont="1" applyBorder="1"/>
    <xf numFmtId="0" fontId="40" fillId="0" borderId="24" xfId="0" applyFont="1" applyBorder="1"/>
    <xf numFmtId="0" fontId="40" fillId="0" borderId="54" xfId="0" applyFont="1" applyBorder="1"/>
    <xf numFmtId="0" fontId="44" fillId="52" borderId="55" xfId="0" applyFont="1" applyFill="1" applyBorder="1"/>
    <xf numFmtId="165" fontId="44" fillId="52" borderId="56" xfId="53" applyNumberFormat="1" applyFont="1" applyFill="1" applyBorder="1"/>
    <xf numFmtId="165" fontId="44" fillId="52" borderId="57" xfId="53" applyNumberFormat="1" applyFont="1" applyFill="1" applyBorder="1"/>
    <xf numFmtId="0" fontId="38" fillId="50" borderId="10" xfId="0" applyFont="1" applyFill="1" applyBorder="1"/>
    <xf numFmtId="0" fontId="38" fillId="0" borderId="31" xfId="0" applyFont="1" applyBorder="1"/>
    <xf numFmtId="0" fontId="38" fillId="0" borderId="41" xfId="0" applyFont="1" applyBorder="1"/>
    <xf numFmtId="0" fontId="38" fillId="50" borderId="30" xfId="0" applyFont="1" applyFill="1" applyBorder="1"/>
    <xf numFmtId="0" fontId="38" fillId="50" borderId="25" xfId="0" applyFont="1" applyFill="1" applyBorder="1"/>
    <xf numFmtId="0" fontId="38" fillId="0" borderId="29" xfId="0" applyFont="1" applyBorder="1"/>
    <xf numFmtId="165" fontId="38" fillId="0" borderId="29" xfId="0" applyNumberFormat="1" applyFont="1" applyBorder="1"/>
    <xf numFmtId="3" fontId="38" fillId="0" borderId="29" xfId="0" applyNumberFormat="1" applyFont="1" applyBorder="1"/>
    <xf numFmtId="43" fontId="38" fillId="0" borderId="29" xfId="0" applyNumberFormat="1" applyFont="1" applyBorder="1"/>
    <xf numFmtId="0" fontId="38" fillId="0" borderId="0" xfId="0" applyFont="1" applyAlignment="1">
      <alignment horizontal="center"/>
    </xf>
    <xf numFmtId="10" fontId="38" fillId="0" borderId="0" xfId="0" applyNumberFormat="1" applyFont="1"/>
    <xf numFmtId="2" fontId="38" fillId="0" borderId="29" xfId="0" applyNumberFormat="1" applyFont="1" applyBorder="1"/>
    <xf numFmtId="9" fontId="38" fillId="0" borderId="0" xfId="52" applyFont="1" applyFill="1"/>
    <xf numFmtId="165" fontId="38" fillId="0" borderId="22" xfId="0" applyNumberFormat="1" applyFont="1" applyBorder="1"/>
    <xf numFmtId="167" fontId="38" fillId="0" borderId="0" xfId="0" applyNumberFormat="1" applyFont="1"/>
    <xf numFmtId="168" fontId="38" fillId="0" borderId="0" xfId="0" applyNumberFormat="1" applyFont="1"/>
    <xf numFmtId="0" fontId="42" fillId="52" borderId="36" xfId="0" applyFont="1" applyFill="1" applyBorder="1" applyAlignment="1">
      <alignment horizontal="center" wrapText="1"/>
    </xf>
    <xf numFmtId="0" fontId="42" fillId="52" borderId="33" xfId="0" applyFont="1" applyFill="1" applyBorder="1" applyAlignment="1">
      <alignment horizontal="center" wrapText="1"/>
    </xf>
    <xf numFmtId="0" fontId="42" fillId="52" borderId="34" xfId="0" applyFont="1" applyFill="1" applyBorder="1" applyAlignment="1">
      <alignment horizontal="center" wrapText="1"/>
    </xf>
    <xf numFmtId="0" fontId="40" fillId="0" borderId="37" xfId="0" applyFont="1" applyBorder="1" applyAlignment="1">
      <alignment horizontal="center"/>
    </xf>
    <xf numFmtId="0" fontId="40" fillId="0" borderId="10" xfId="0" applyFont="1" applyBorder="1"/>
    <xf numFmtId="165" fontId="40" fillId="0" borderId="10" xfId="53" applyNumberFormat="1" applyFont="1" applyBorder="1"/>
    <xf numFmtId="43" fontId="40" fillId="0" borderId="10" xfId="53" applyFont="1" applyFill="1" applyBorder="1"/>
    <xf numFmtId="43" fontId="40" fillId="0" borderId="35" xfId="53" applyFont="1" applyFill="1" applyBorder="1"/>
    <xf numFmtId="4" fontId="38" fillId="0" borderId="10" xfId="0" applyNumberFormat="1" applyFont="1" applyBorder="1"/>
    <xf numFmtId="165" fontId="40" fillId="0" borderId="10" xfId="0" applyNumberFormat="1" applyFont="1" applyBorder="1"/>
    <xf numFmtId="43" fontId="40" fillId="0" borderId="10" xfId="53" applyFont="1" applyBorder="1"/>
    <xf numFmtId="0" fontId="38" fillId="33" borderId="59" xfId="0" applyFont="1" applyFill="1" applyBorder="1" applyAlignment="1">
      <alignment horizontal="right" vertical="center" wrapText="1"/>
    </xf>
    <xf numFmtId="0" fontId="38" fillId="33" borderId="59" xfId="0" applyFont="1" applyFill="1" applyBorder="1" applyAlignment="1">
      <alignment horizontal="right" vertical="top" wrapText="1"/>
    </xf>
    <xf numFmtId="4" fontId="40" fillId="0" borderId="10" xfId="0" applyNumberFormat="1" applyFont="1" applyBorder="1" applyAlignment="1">
      <alignment wrapText="1"/>
    </xf>
    <xf numFmtId="0" fontId="54" fillId="33" borderId="10" xfId="0" applyFont="1" applyFill="1" applyBorder="1" applyAlignment="1">
      <alignment horizontal="right" vertical="center" wrapText="1"/>
    </xf>
    <xf numFmtId="4" fontId="38" fillId="33" borderId="59" xfId="0" applyNumberFormat="1" applyFont="1" applyFill="1" applyBorder="1" applyAlignment="1">
      <alignment horizontal="right" vertical="center" wrapText="1"/>
    </xf>
    <xf numFmtId="4" fontId="38" fillId="33" borderId="59" xfId="0" applyNumberFormat="1" applyFont="1" applyFill="1" applyBorder="1" applyAlignment="1">
      <alignment horizontal="right" vertical="top" wrapText="1"/>
    </xf>
    <xf numFmtId="0" fontId="42" fillId="52" borderId="38" xfId="0" applyFont="1" applyFill="1" applyBorder="1" applyAlignment="1">
      <alignment horizontal="center"/>
    </xf>
    <xf numFmtId="0" fontId="42" fillId="52" borderId="39" xfId="0" applyFont="1" applyFill="1" applyBorder="1"/>
    <xf numFmtId="43" fontId="42" fillId="52" borderId="39" xfId="0" applyNumberFormat="1" applyFont="1" applyFill="1" applyBorder="1"/>
    <xf numFmtId="43" fontId="42" fillId="52" borderId="40" xfId="0" applyNumberFormat="1" applyFont="1" applyFill="1" applyBorder="1"/>
    <xf numFmtId="0" fontId="38" fillId="52" borderId="36" xfId="0" applyFont="1" applyFill="1" applyBorder="1"/>
    <xf numFmtId="0" fontId="38" fillId="52" borderId="38" xfId="0" applyFont="1" applyFill="1" applyBorder="1"/>
    <xf numFmtId="0" fontId="40" fillId="0" borderId="36" xfId="0" applyFont="1" applyBorder="1"/>
    <xf numFmtId="0" fontId="38" fillId="0" borderId="33" xfId="0" applyFont="1" applyBorder="1"/>
    <xf numFmtId="0" fontId="38" fillId="0" borderId="34" xfId="0" applyFont="1" applyBorder="1"/>
    <xf numFmtId="0" fontId="40" fillId="0" borderId="37" xfId="0" applyFont="1" applyBorder="1"/>
    <xf numFmtId="0" fontId="42" fillId="52" borderId="37" xfId="0" applyFont="1" applyFill="1" applyBorder="1"/>
    <xf numFmtId="0" fontId="42" fillId="52" borderId="10" xfId="0" applyFont="1" applyFill="1" applyBorder="1" applyAlignment="1">
      <alignment horizontal="center"/>
    </xf>
    <xf numFmtId="0" fontId="42" fillId="52" borderId="35" xfId="0" applyFont="1" applyFill="1" applyBorder="1" applyAlignment="1">
      <alignment horizontal="center"/>
    </xf>
    <xf numFmtId="165" fontId="40" fillId="0" borderId="10" xfId="89" applyNumberFormat="1" applyFont="1" applyBorder="1"/>
    <xf numFmtId="170" fontId="40" fillId="0" borderId="10" xfId="0" applyNumberFormat="1" applyFont="1" applyBorder="1"/>
    <xf numFmtId="165" fontId="40" fillId="0" borderId="35" xfId="89" applyNumberFormat="1" applyFont="1" applyBorder="1"/>
    <xf numFmtId="165" fontId="42" fillId="52" borderId="35" xfId="53" applyNumberFormat="1" applyFont="1" applyFill="1" applyBorder="1" applyAlignment="1">
      <alignment horizontal="center"/>
    </xf>
    <xf numFmtId="0" fontId="42" fillId="52" borderId="38" xfId="0" applyFont="1" applyFill="1" applyBorder="1"/>
    <xf numFmtId="165" fontId="42" fillId="52" borderId="39" xfId="0" applyNumberFormat="1" applyFont="1" applyFill="1" applyBorder="1" applyAlignment="1">
      <alignment horizontal="center"/>
    </xf>
    <xf numFmtId="0" fontId="42" fillId="51" borderId="41" xfId="85" applyFont="1" applyFill="1" applyBorder="1" applyAlignment="1">
      <alignment horizontal="center"/>
    </xf>
    <xf numFmtId="0" fontId="42" fillId="51" borderId="26" xfId="85" applyFont="1" applyFill="1" applyBorder="1" applyAlignment="1">
      <alignment horizontal="center"/>
    </xf>
    <xf numFmtId="0" fontId="42" fillId="51" borderId="27" xfId="85" applyFont="1" applyFill="1" applyBorder="1" applyAlignment="1">
      <alignment horizontal="center"/>
    </xf>
    <xf numFmtId="0" fontId="40" fillId="0" borderId="47" xfId="85" applyFont="1" applyBorder="1" applyAlignment="1">
      <alignment horizontal="center"/>
    </xf>
    <xf numFmtId="165" fontId="40" fillId="0" borderId="0" xfId="91" applyNumberFormat="1" applyFont="1" applyBorder="1"/>
    <xf numFmtId="9" fontId="40" fillId="0" borderId="0" xfId="92" applyFont="1" applyBorder="1"/>
    <xf numFmtId="165" fontId="40" fillId="0" borderId="23" xfId="91" applyNumberFormat="1" applyFont="1" applyBorder="1"/>
    <xf numFmtId="0" fontId="42" fillId="51" borderId="32" xfId="85" applyFont="1" applyFill="1" applyBorder="1"/>
    <xf numFmtId="0" fontId="42" fillId="51" borderId="24" xfId="85" applyFont="1" applyFill="1" applyBorder="1"/>
    <xf numFmtId="165" fontId="42" fillId="51" borderId="25" xfId="91" applyNumberFormat="1" applyFont="1" applyFill="1" applyBorder="1"/>
    <xf numFmtId="0" fontId="50" fillId="0" borderId="0" xfId="82" applyFont="1"/>
    <xf numFmtId="0" fontId="26" fillId="0" borderId="0" xfId="82" applyFont="1"/>
    <xf numFmtId="0" fontId="51" fillId="46" borderId="41" xfId="82" applyFont="1" applyFill="1" applyBorder="1"/>
    <xf numFmtId="0" fontId="51" fillId="46" borderId="27" xfId="82" applyFont="1" applyFill="1" applyBorder="1"/>
    <xf numFmtId="0" fontId="45" fillId="0" borderId="31" xfId="82" applyFont="1" applyBorder="1"/>
    <xf numFmtId="10" fontId="45" fillId="0" borderId="22" xfId="82" applyNumberFormat="1" applyFont="1" applyBorder="1"/>
    <xf numFmtId="0" fontId="45" fillId="0" borderId="47" xfId="82" applyFont="1" applyBorder="1"/>
    <xf numFmtId="10" fontId="45" fillId="0" borderId="23" xfId="83" applyNumberFormat="1" applyFont="1" applyBorder="1"/>
    <xf numFmtId="43" fontId="45" fillId="0" borderId="23" xfId="84" applyFont="1" applyBorder="1"/>
    <xf numFmtId="0" fontId="55" fillId="0" borderId="41" xfId="82" applyFont="1" applyBorder="1"/>
    <xf numFmtId="10" fontId="55" fillId="0" borderId="27" xfId="83" applyNumberFormat="1" applyFont="1" applyFill="1" applyBorder="1"/>
    <xf numFmtId="0" fontId="45" fillId="0" borderId="0" xfId="82" applyFont="1"/>
    <xf numFmtId="9" fontId="45" fillId="0" borderId="22" xfId="82" applyNumberFormat="1" applyFont="1" applyBorder="1"/>
    <xf numFmtId="10" fontId="45" fillId="0" borderId="23" xfId="82" applyNumberFormat="1" applyFont="1" applyBorder="1"/>
    <xf numFmtId="10" fontId="51" fillId="46" borderId="27" xfId="83" applyNumberFormat="1" applyFont="1" applyFill="1" applyBorder="1"/>
    <xf numFmtId="0" fontId="45" fillId="0" borderId="32" xfId="82" applyFont="1" applyBorder="1"/>
    <xf numFmtId="2" fontId="45" fillId="0" borderId="25" xfId="82" applyNumberFormat="1" applyFont="1" applyBorder="1"/>
    <xf numFmtId="43" fontId="28" fillId="0" borderId="22" xfId="84" applyFont="1" applyBorder="1"/>
    <xf numFmtId="43" fontId="28" fillId="0" borderId="25" xfId="84" applyFont="1" applyBorder="1"/>
  </cellXfs>
  <cellStyles count="97">
    <cellStyle name="20% - Accent1" xfId="19" builtinId="30" customBuiltin="1"/>
    <cellStyle name="20% - Accent1 2" xfId="55" xr:uid="{4291F026-364F-4CB6-A29E-2A55D587A5F4}"/>
    <cellStyle name="20% - Accent1 3" xfId="88" xr:uid="{6ACE66A4-8DD0-40D6-A335-F5F239E8FE15}"/>
    <cellStyle name="20% - Accent2" xfId="23" builtinId="34" customBuiltin="1"/>
    <cellStyle name="20% - Accent2 2" xfId="58" xr:uid="{1A742980-57D6-4C21-BC3A-0FE310C652EF}"/>
    <cellStyle name="20% - Accent3" xfId="27" builtinId="38" customBuiltin="1"/>
    <cellStyle name="20% - Accent3 2" xfId="61" xr:uid="{71B983C9-D187-4A00-BDC2-07A0B949A161}"/>
    <cellStyle name="20% - Accent4" xfId="31" builtinId="42" customBuiltin="1"/>
    <cellStyle name="20% - Accent4 2" xfId="64" xr:uid="{3A77E61E-7642-42C8-8B93-302B56887F1A}"/>
    <cellStyle name="20% - Accent5" xfId="35" builtinId="46" customBuiltin="1"/>
    <cellStyle name="20% - Accent5 2" xfId="67" xr:uid="{57ABC867-AA85-4BC1-AD69-7990100F8417}"/>
    <cellStyle name="20% - Accent6" xfId="39" builtinId="50" customBuiltin="1"/>
    <cellStyle name="20% - Accent6 2" xfId="70" xr:uid="{F130E0DB-E9FA-42B8-9C8A-F73367DE3422}"/>
    <cellStyle name="40% - Accent1" xfId="20" builtinId="31" customBuiltin="1"/>
    <cellStyle name="40% - Accent1 2" xfId="56" xr:uid="{08CE0243-4CD3-4E71-B7B3-C2CC1BF98989}"/>
    <cellStyle name="40% - Accent1 3" xfId="86" xr:uid="{FFC37D98-CE42-4285-A724-64B15EEB62BE}"/>
    <cellStyle name="40% - Accent2" xfId="24" builtinId="35" customBuiltin="1"/>
    <cellStyle name="40% - Accent2 2" xfId="59" xr:uid="{CA9A10BF-0D46-4476-94A5-404C483FECC3}"/>
    <cellStyle name="40% - Accent3" xfId="28" builtinId="39" customBuiltin="1"/>
    <cellStyle name="40% - Accent3 2" xfId="62" xr:uid="{60683C59-7E19-4C3C-9464-EDC8C5518C45}"/>
    <cellStyle name="40% - Accent4" xfId="32" builtinId="43" customBuiltin="1"/>
    <cellStyle name="40% - Accent4 2" xfId="65" xr:uid="{45BD97C3-63B6-4341-8325-86B99E22C577}"/>
    <cellStyle name="40% - Accent5" xfId="36" builtinId="47" customBuiltin="1"/>
    <cellStyle name="40% - Accent5 2" xfId="68" xr:uid="{6DC72752-2F38-468C-AE14-5F8FF82EE22C}"/>
    <cellStyle name="40% - Accent6" xfId="40" builtinId="51" customBuiltin="1"/>
    <cellStyle name="40% - Accent6 2" xfId="71" xr:uid="{218492B7-3679-485A-AE57-8452E45D372E}"/>
    <cellStyle name="60% - Accent1" xfId="21" builtinId="32" customBuiltin="1"/>
    <cellStyle name="60% - Accent1 2" xfId="57" xr:uid="{20356A4C-C4CC-4EEB-A7F3-6455226D5199}"/>
    <cellStyle name="60% - Accent1 3" xfId="87" xr:uid="{86EB8DE6-F277-42B7-A857-C9C26A42EB1D}"/>
    <cellStyle name="60% - Accent2" xfId="25" builtinId="36" customBuiltin="1"/>
    <cellStyle name="60% - Accent2 2" xfId="60" xr:uid="{58DF82C6-A9CB-4BF5-B795-4CC8C8CD27C0}"/>
    <cellStyle name="60% - Accent3" xfId="29" builtinId="40" customBuiltin="1"/>
    <cellStyle name="60% - Accent3 2" xfId="63" xr:uid="{637F6A52-03E3-4AC0-BF8C-BCD887E9580E}"/>
    <cellStyle name="60% - Accent4" xfId="33" builtinId="44" customBuiltin="1"/>
    <cellStyle name="60% - Accent4 2" xfId="66" xr:uid="{D739733E-D438-4A92-84AE-B8A6A6569834}"/>
    <cellStyle name="60% - Accent5" xfId="37" builtinId="48" customBuiltin="1"/>
    <cellStyle name="60% - Accent5 2" xfId="69" xr:uid="{65FB8C98-7B64-4D06-90DD-E9531AE01F54}"/>
    <cellStyle name="60% - Accent6" xfId="41" builtinId="52" customBuiltin="1"/>
    <cellStyle name="60% - Accent6 2" xfId="72" xr:uid="{191AA946-267B-4A64-B3E6-DC670ABEBCC2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53" builtinId="3"/>
    <cellStyle name="Comma 15 2" xfId="46" xr:uid="{382A69FA-912C-44F8-A400-A5C744495A89}"/>
    <cellStyle name="Comma 15 2 2" xfId="77" xr:uid="{FCDA28CB-FECB-4B7B-88A0-EC7BB396A495}"/>
    <cellStyle name="Comma 15 2 3" xfId="90" xr:uid="{135756B3-F22E-4E24-80A2-D2BFBE9BAD8F}"/>
    <cellStyle name="Comma 2" xfId="45" xr:uid="{41E9C54F-50B0-46E7-AAC3-DAD2A51CA15C}"/>
    <cellStyle name="Comma 2 2" xfId="76" xr:uid="{934C31C0-0F12-4742-9796-7CE7A5A9D6E3}"/>
    <cellStyle name="Comma 2 5" xfId="47" xr:uid="{4FF90049-A15D-48EB-985B-500A8BD3E691}"/>
    <cellStyle name="Comma 2 5 2" xfId="48" xr:uid="{1D45D271-AC65-4EB2-B184-E662AF10923D}"/>
    <cellStyle name="Comma 2 5 2 2" xfId="79" xr:uid="{4EBBD13D-CFD5-41EF-90E1-C5BE921DAFCD}"/>
    <cellStyle name="Comma 2 5 3" xfId="78" xr:uid="{75FBD834-02D6-4DF8-A591-C77EA13D5F28}"/>
    <cellStyle name="Comma 2 5 4" xfId="89" xr:uid="{E198A692-D73C-41AA-94C3-294D694D4383}"/>
    <cellStyle name="Comma 2 5 5" xfId="91" xr:uid="{F4C733E7-63CE-4987-8FD8-85816A53F041}"/>
    <cellStyle name="Comma 3" xfId="43" xr:uid="{84CC9F66-BBBF-446D-94CA-C581CBE0CE0B}"/>
    <cellStyle name="Comma 3 2" xfId="74" xr:uid="{CA1411DA-1556-493D-ACD2-DD80C82FBE71}"/>
    <cellStyle name="Comma 4" xfId="81" xr:uid="{115A8D49-5307-4B65-BD98-CBCB90F12CD8}"/>
    <cellStyle name="Comma 5" xfId="84" xr:uid="{1A6491C1-8881-4F44-85CD-FC4557AF5F21}"/>
    <cellStyle name="Comma 6" xfId="93" xr:uid="{F57CCB9B-0DB5-42F8-9472-007891B54E94}"/>
    <cellStyle name="Comma 8 3" xfId="95" xr:uid="{69897E27-F410-4B12-BE3E-7C2CB9F3C458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9" xr:uid="{F3735121-6A6C-4AB4-88EA-3334C7C48AE7}"/>
    <cellStyle name="Normal 2 2 3 2" xfId="50" xr:uid="{96165ADF-6BDD-4F2F-8976-99B3BA72D248}"/>
    <cellStyle name="Normal 3" xfId="42" xr:uid="{F55CCFD4-7F96-4A20-A6FC-10E53240AF87}"/>
    <cellStyle name="Normal 3 2" xfId="73" xr:uid="{ED218163-9F28-4357-9875-55F979879F10}"/>
    <cellStyle name="Normal 4" xfId="82" xr:uid="{0B0DB537-2A5F-4F01-8B96-3AAAE37221E5}"/>
    <cellStyle name="Normal 5" xfId="85" xr:uid="{7B628733-B43F-4D5F-AB09-6D299DC3F0B1}"/>
    <cellStyle name="Normal 60 3" xfId="96" xr:uid="{A9E4EEC9-85D4-49D6-AF7A-EBFCC3367360}"/>
    <cellStyle name="Note" xfId="15" builtinId="10" customBuiltin="1"/>
    <cellStyle name="Note 2" xfId="54" xr:uid="{56F08BC8-6D1F-496D-A4CE-DAC7D10B72B8}"/>
    <cellStyle name="Output" xfId="10" builtinId="21" customBuiltin="1"/>
    <cellStyle name="Percent" xfId="52" builtinId="5"/>
    <cellStyle name="Percent 2" xfId="51" xr:uid="{6C13DB6E-989E-43B1-92E1-0ABFC54781C0}"/>
    <cellStyle name="Percent 2 2" xfId="80" xr:uid="{9AD92883-F959-4960-A18B-21B82D0F7CF6}"/>
    <cellStyle name="Percent 2 3" xfId="92" xr:uid="{FBB7E5D1-671F-40A9-8CCF-9EE1914B8840}"/>
    <cellStyle name="Percent 3" xfId="44" xr:uid="{56368E47-7240-4375-A128-0A35D83A26CF}"/>
    <cellStyle name="Percent 3 2" xfId="75" xr:uid="{6F157E35-CA4E-489E-83C3-1B8744FFB07F}"/>
    <cellStyle name="Percent 4" xfId="83" xr:uid="{89C5DF72-B785-440D-A3DD-E5968834929A}"/>
    <cellStyle name="Percent 5" xfId="94" xr:uid="{7B59B0A8-6AEB-48D0-9B02-6D2028B99820}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" formatCode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" formatCode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2338145231846E-2"/>
          <c:y val="0.17171296296296298"/>
          <c:w val="0.88498840769903764"/>
          <c:h val="0.72088764946048411"/>
        </c:manualLayout>
      </c:layout>
      <c:barChart>
        <c:barDir val="col"/>
        <c:grouping val="clustered"/>
        <c:varyColors val="0"/>
        <c:ser>
          <c:idx val="2"/>
          <c:order val="2"/>
          <c:tx>
            <c:v>Revenue YOY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'HISTORICAL P&amp;L'!$C$80:$H$80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'HISTORICAL P&amp;L'!$C$82:$H$82</c:f>
              <c:numCache>
                <c:formatCode>0%</c:formatCode>
                <c:ptCount val="6"/>
                <c:pt idx="0">
                  <c:v>0.12843806921675771</c:v>
                </c:pt>
                <c:pt idx="1">
                  <c:v>0.21668247210508262</c:v>
                </c:pt>
                <c:pt idx="2">
                  <c:v>0.37147595356550589</c:v>
                </c:pt>
                <c:pt idx="3">
                  <c:v>0.29201934703748478</c:v>
                </c:pt>
                <c:pt idx="4">
                  <c:v>0.22367805334581181</c:v>
                </c:pt>
                <c:pt idx="5">
                  <c:v>0.28317399617590833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9-4861-BA68-DB6EF308DAF5}"/>
            </c:ext>
          </c:extLst>
        </c:ser>
        <c:ser>
          <c:idx val="3"/>
          <c:order val="3"/>
          <c:tx>
            <c:v>PAT YOY</c:v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'HISTORICAL P&amp;L'!$C$86:$H$86</c:f>
              <c:numCache>
                <c:formatCode>0%</c:formatCode>
                <c:ptCount val="6"/>
                <c:pt idx="0">
                  <c:v>-0.4659692722271086</c:v>
                </c:pt>
                <c:pt idx="1">
                  <c:v>0.42972281599327178</c:v>
                </c:pt>
                <c:pt idx="2">
                  <c:v>0.26470588235294112</c:v>
                </c:pt>
                <c:pt idx="3">
                  <c:v>0.55374031007751934</c:v>
                </c:pt>
                <c:pt idx="4">
                  <c:v>1.3910668180060619</c:v>
                </c:pt>
                <c:pt idx="5">
                  <c:v>0.43314258290340502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9-4861-BA68-DB6EF308DA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53409711"/>
        <c:axId val="17662962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Revenue YOY</c:v>
                </c:tx>
                <c:spPr>
                  <a:pattFill prst="narHorz">
                    <a:fgClr>
                      <a:schemeClr val="accent1"/>
                    </a:fgClr>
                    <a:bgClr>
                      <a:schemeClr val="accent1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'HISTORICAL P&amp;L'!$C$80:$H$80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'HISTORICAL P&amp;L'!$C$93:$H$93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2">
                        <c:v>0.67713004484304928</c:v>
                      </c:pt>
                      <c:pt idx="3">
                        <c:v>7.3975044563279857E-2</c:v>
                      </c:pt>
                      <c:pt idx="4">
                        <c:v>-0.7222655601659751</c:v>
                      </c:pt>
                      <c:pt idx="5">
                        <c:v>1.1359847013475961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58-4C18-B22F-67B81D31D50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PAT YOY</c:v>
                </c:tx>
                <c:spPr>
                  <a:pattFill prst="narHorz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/>
                    </a:inn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'HISTORICAL P&amp;L'!$C$80:$H$80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2017</c:v>
                      </c:pt>
                      <c:pt idx="1">
                        <c:v>2018</c:v>
                      </c:pt>
                      <c:pt idx="2">
                        <c:v>2019</c:v>
                      </c:pt>
                      <c:pt idx="3">
                        <c:v>2020</c:v>
                      </c:pt>
                      <c:pt idx="4">
                        <c:v>2021</c:v>
                      </c:pt>
                      <c:pt idx="5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'HISTORICAL P&amp;L'!$C$96:$H$96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1">
                        <c:v>0.28606965174129351</c:v>
                      </c:pt>
                      <c:pt idx="2">
                        <c:v>0.28143893591293834</c:v>
                      </c:pt>
                      <c:pt idx="3">
                        <c:v>0.25479644361254095</c:v>
                      </c:pt>
                      <c:pt idx="4">
                        <c:v>0.32983747609942637</c:v>
                      </c:pt>
                      <c:pt idx="5">
                        <c:v>0.2722098047980927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858-4C18-B22F-67B81D31D500}"/>
                  </c:ext>
                </c:extLst>
              </c15:ser>
            </c15:filteredBarSeries>
          </c:ext>
        </c:extLst>
      </c:barChart>
      <c:catAx>
        <c:axId val="175340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296223"/>
        <c:crosses val="autoZero"/>
        <c:auto val="1"/>
        <c:lblAlgn val="ctr"/>
        <c:lblOffset val="100"/>
        <c:noMultiLvlLbl val="0"/>
      </c:catAx>
      <c:valAx>
        <c:axId val="17662962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40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693963254593183"/>
          <c:y val="6.0763342082239741E-2"/>
          <c:w val="0.17917147856517934"/>
          <c:h val="8.1374891429710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98425</xdr:colOff>
      <xdr:row>77</xdr:row>
      <xdr:rowOff>0</xdr:rowOff>
    </xdr:from>
    <xdr:to>
      <xdr:col>18</xdr:col>
      <xdr:colOff>403225</xdr:colOff>
      <xdr:row>105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C58B18-F0F1-88BF-D9DE-B25CDC121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vai\Downloads\tiasa%20new%20bs%20correct.xlsx" TargetMode="External"/><Relationship Id="rId1" Type="http://schemas.openxmlformats.org/officeDocument/2006/relationships/externalLinkPath" Target="/Users/advai/Downloads/tiasa%20new%20bs%20correc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ARYA\Downloads\zoho%20april%20fool%202.xlsx" TargetMode="External"/><Relationship Id="rId1" Type="http://schemas.openxmlformats.org/officeDocument/2006/relationships/externalLinkPath" Target="/Users/AARYA/Downloads/zoho%20april%20fool%20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ARYA\OneDrive\Desktop\SEM%20II\Financial%20Modelling%20&amp;%20Valuation\FCFF%20&amp;%20FCFE%20%20Practice.xlsx" TargetMode="External"/><Relationship Id="rId1" Type="http://schemas.openxmlformats.org/officeDocument/2006/relationships/externalLinkPath" Target="/Users/AARYA/OneDrive/Desktop/SEM%20II/Financial%20Modelling%20&amp;%20Valuation/FCFF%20&amp;%20FCFE%20%20Pract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STORICAL P&amp;L"/>
      <sheetName val="HISTORICAL BS"/>
      <sheetName val="HISTORICAL CASHFLOW"/>
      <sheetName val="Final Revenue Build-Up"/>
      <sheetName val="Final Cost Build-Up"/>
      <sheetName val="Assumption Sheet"/>
      <sheetName val="Revenue Build-Up Projected"/>
      <sheetName val="Cost Buildup- Projected "/>
      <sheetName val="Projected P&amp;L"/>
      <sheetName val="Projected BS"/>
      <sheetName val="CAPEXSALES Ashwat "/>
      <sheetName val="TASKS"/>
      <sheetName val="IGNORE Revenue Buildup"/>
      <sheetName val="IGNORE Cost build up"/>
    </sheetNames>
    <sheetDataSet>
      <sheetData sheetId="0">
        <row r="4">
          <cell r="D4">
            <v>5229.6499999999996</v>
          </cell>
          <cell r="E4">
            <v>6710.78</v>
          </cell>
        </row>
        <row r="62">
          <cell r="D62">
            <v>347.96</v>
          </cell>
          <cell r="E62">
            <v>277.29000000000002</v>
          </cell>
        </row>
        <row r="63">
          <cell r="D63">
            <v>2493.0500000000002</v>
          </cell>
          <cell r="E63">
            <v>3537.2099999999991</v>
          </cell>
        </row>
        <row r="68">
          <cell r="D68">
            <v>75.17</v>
          </cell>
          <cell r="E68">
            <v>111.53</v>
          </cell>
        </row>
        <row r="73">
          <cell r="D73">
            <v>1916.9900000000002</v>
          </cell>
          <cell r="E73">
            <v>2747.3199999999988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STORICAL P&amp;L"/>
      <sheetName val="HISTORICAL BS"/>
      <sheetName val="HISTORICAL CASHFLOW"/>
      <sheetName val="Final Revenue Build-Up"/>
      <sheetName val="Final Cost Build-Up"/>
      <sheetName val="Assumption Sheet"/>
      <sheetName val="Revenue Build-Up Projected"/>
      <sheetName val="Cost Buildup- Projected "/>
      <sheetName val="Projected P&amp;L"/>
      <sheetName val="Projected BS"/>
      <sheetName val="Projected Cashflow"/>
      <sheetName val="wacc"/>
      <sheetName val="CAPEXSALES Ashwat "/>
      <sheetName val="TASKS"/>
      <sheetName val="IGNORE Revenue Buildup"/>
      <sheetName val="IGNORE Cost build up"/>
      <sheetName val="FCFE"/>
      <sheetName val="CC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">
          <cell r="D16">
            <v>5975.817074999999</v>
          </cell>
          <cell r="E16">
            <v>7666.2008887499996</v>
          </cell>
          <cell r="F16">
            <v>9719.4224851874988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CFF"/>
      <sheetName val="FCFE"/>
      <sheetName val="Sheet2"/>
      <sheetName val="Sheet3"/>
    </sheetNames>
    <sheetDataSet>
      <sheetData sheetId="0">
        <row r="57">
          <cell r="B57" t="str">
            <v>Surplus Investments (INR in Crores)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C30A7E-7824-4558-B52F-A25ABB07EB09}" name="Table1" displayName="Table1" ref="A1:F15" totalsRowShown="0" headerRowDxfId="10" dataDxfId="9" headerRowBorderDxfId="22" tableBorderDxfId="21" totalsRowBorderDxfId="20">
  <autoFilter ref="A1:F15" xr:uid="{EBC30A7E-7824-4558-B52F-A25ABB07EB09}"/>
  <tableColumns count="6">
    <tableColumn id="1" xr3:uid="{8853EB4C-E599-414C-9550-62A564B4667E}" name="Column1" dataDxfId="16"/>
    <tableColumn id="2" xr3:uid="{3D020A4D-B0A6-41FA-A2DD-36A9F3BC9D1F}" name="2018" dataDxfId="15"/>
    <tableColumn id="3" xr3:uid="{01C5DCBB-9F13-4CD9-9ACF-48C46BE545EF}" name="2019" dataDxfId="14"/>
    <tableColumn id="4" xr3:uid="{F6F29245-8EF1-432B-9EFD-D9CC479EE558}" name="2020" dataDxfId="13"/>
    <tableColumn id="5" xr3:uid="{4F9F4C18-B26B-4D64-94B4-F30DA464E5EC}" name="2021" dataDxfId="12"/>
    <tableColumn id="6" xr3:uid="{FDE99978-AAE5-4B60-9090-288D98CA613E}" name="2022" dataDxfId="11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0764B0-8392-4AC8-B504-A63EC872848A}" name="Table2" displayName="Table2" ref="B6:H11" totalsRowShown="0" headerRowDxfId="1" dataDxfId="0" headerRowBorderDxfId="19" tableBorderDxfId="18" totalsRowBorderDxfId="17">
  <autoFilter ref="B6:H11" xr:uid="{4A0764B0-8392-4AC8-B504-A63EC872848A}"/>
  <tableColumns count="7">
    <tableColumn id="1" xr3:uid="{7735ACAC-AEE6-4B97-97D2-0378361392F5}" name="Year" dataDxfId="8"/>
    <tableColumn id="2" xr3:uid="{B6B52FC8-FB2F-4E02-8CFE-A09810882955}" name="Reference " dataDxfId="7"/>
    <tableColumn id="3" xr3:uid="{1F44EF90-EDA7-407E-966A-FD1BB47C1734}" name="2023" dataDxfId="6"/>
    <tableColumn id="4" xr3:uid="{BCF4D5E0-0584-48EA-8669-0CFCE3285FDA}" name="2024" dataDxfId="5"/>
    <tableColumn id="5" xr3:uid="{4E233BE4-EDCA-4345-BC97-F538CF794FD0}" name="2025" dataDxfId="4"/>
    <tableColumn id="6" xr3:uid="{93E72DDC-5F20-44C1-BAE8-CB248F3343AD}" name="2026" dataDxfId="3"/>
    <tableColumn id="7" xr3:uid="{5C5B9A0A-6B68-42F8-945C-90B997087E3E}" name="2027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7AAF-A1B3-4B81-8CEB-F8FF211C9FF6}">
  <dimension ref="A1:J125"/>
  <sheetViews>
    <sheetView workbookViewId="0">
      <selection activeCell="L13" sqref="L13"/>
    </sheetView>
  </sheetViews>
  <sheetFormatPr defaultColWidth="8.81640625" defaultRowHeight="14" x14ac:dyDescent="0.3"/>
  <cols>
    <col min="1" max="1" width="57.453125" style="26" bestFit="1" customWidth="1"/>
    <col min="2" max="2" width="12.08984375" style="26" customWidth="1"/>
    <col min="3" max="4" width="9.81640625" style="26" bestFit="1" customWidth="1"/>
    <col min="5" max="5" width="10.6328125" style="26" customWidth="1"/>
    <col min="6" max="16384" width="8.81640625" style="26"/>
  </cols>
  <sheetData>
    <row r="1" spans="1:10" ht="13" customHeight="1" x14ac:dyDescent="0.3">
      <c r="A1" s="56" t="s">
        <v>85</v>
      </c>
      <c r="B1" s="56"/>
      <c r="C1" s="56"/>
      <c r="D1" s="27"/>
      <c r="E1" s="27"/>
      <c r="F1" s="27"/>
      <c r="G1" s="27"/>
      <c r="H1" s="27"/>
      <c r="I1" s="27"/>
      <c r="J1" s="27"/>
    </row>
    <row r="2" spans="1:10" x14ac:dyDescent="0.3">
      <c r="A2" s="17" t="s">
        <v>0</v>
      </c>
      <c r="B2" s="17">
        <v>202103</v>
      </c>
      <c r="C2" s="17">
        <v>202203</v>
      </c>
    </row>
    <row r="3" spans="1:10" x14ac:dyDescent="0.3">
      <c r="A3" s="18" t="s">
        <v>1</v>
      </c>
      <c r="B3" s="19"/>
      <c r="C3" s="19"/>
      <c r="E3" s="58"/>
    </row>
    <row r="4" spans="1:10" x14ac:dyDescent="0.3">
      <c r="A4" s="19" t="s">
        <v>2</v>
      </c>
      <c r="B4" s="28">
        <v>5229.6499999999996</v>
      </c>
      <c r="C4" s="28">
        <v>6710.78</v>
      </c>
      <c r="E4" s="58"/>
    </row>
    <row r="5" spans="1:10" x14ac:dyDescent="0.3">
      <c r="A5" s="19"/>
      <c r="B5" s="28"/>
      <c r="C5" s="28"/>
      <c r="E5" s="58"/>
    </row>
    <row r="6" spans="1:10" x14ac:dyDescent="0.3">
      <c r="A6" s="18" t="s">
        <v>62</v>
      </c>
      <c r="B6" s="28"/>
      <c r="C6" s="28"/>
      <c r="E6" s="58"/>
    </row>
    <row r="7" spans="1:10" x14ac:dyDescent="0.3">
      <c r="A7" s="18" t="s">
        <v>3</v>
      </c>
      <c r="B7" s="28"/>
      <c r="C7" s="28"/>
      <c r="E7" s="58"/>
    </row>
    <row r="8" spans="1:10" x14ac:dyDescent="0.3">
      <c r="A8" s="19" t="s">
        <v>4</v>
      </c>
      <c r="B8" s="28">
        <v>107.71</v>
      </c>
      <c r="C8" s="28">
        <v>190.96</v>
      </c>
      <c r="E8" s="58"/>
    </row>
    <row r="9" spans="1:10" x14ac:dyDescent="0.3">
      <c r="A9" s="19" t="s">
        <v>5</v>
      </c>
      <c r="B9" s="28">
        <v>0.43</v>
      </c>
      <c r="C9" s="28">
        <v>1.05</v>
      </c>
      <c r="E9" s="58"/>
    </row>
    <row r="10" spans="1:10" x14ac:dyDescent="0.3">
      <c r="A10" s="19" t="s">
        <v>6</v>
      </c>
      <c r="B10" s="28">
        <v>8.1999999999999993</v>
      </c>
      <c r="C10" s="28">
        <v>18.8</v>
      </c>
      <c r="E10" s="58"/>
    </row>
    <row r="11" spans="1:10" x14ac:dyDescent="0.3">
      <c r="A11" s="19" t="s">
        <v>7</v>
      </c>
      <c r="B11" s="28">
        <v>28.91</v>
      </c>
      <c r="C11" s="28">
        <v>4.6100000000000003</v>
      </c>
      <c r="E11" s="58"/>
    </row>
    <row r="12" spans="1:10" x14ac:dyDescent="0.3">
      <c r="A12" s="19" t="s">
        <v>8</v>
      </c>
      <c r="B12" s="28">
        <v>69.77</v>
      </c>
      <c r="C12" s="28">
        <v>72.61</v>
      </c>
      <c r="E12" s="58"/>
    </row>
    <row r="13" spans="1:10" x14ac:dyDescent="0.3">
      <c r="A13" s="20" t="s">
        <v>63</v>
      </c>
      <c r="B13" s="29">
        <f>SUM(B8:B12)</f>
        <v>215.01999999999998</v>
      </c>
      <c r="C13" s="29">
        <f>SUM(C8:C12)</f>
        <v>288.03000000000003</v>
      </c>
      <c r="E13" s="58"/>
    </row>
    <row r="14" spans="1:10" x14ac:dyDescent="0.3">
      <c r="A14" s="18"/>
      <c r="B14" s="28"/>
      <c r="C14" s="28"/>
      <c r="E14" s="58"/>
    </row>
    <row r="15" spans="1:10" x14ac:dyDescent="0.3">
      <c r="A15" s="21" t="s">
        <v>64</v>
      </c>
      <c r="B15" s="31">
        <f>B4+B13</f>
        <v>5444.67</v>
      </c>
      <c r="C15" s="31">
        <f>C4+C13</f>
        <v>6998.8099999999995</v>
      </c>
      <c r="E15" s="58"/>
    </row>
    <row r="16" spans="1:10" s="30" customFormat="1" x14ac:dyDescent="0.3">
      <c r="A16" s="19"/>
      <c r="B16" s="28"/>
      <c r="C16" s="28"/>
      <c r="E16" s="58"/>
    </row>
    <row r="17" spans="1:5" x14ac:dyDescent="0.3">
      <c r="A17" s="18" t="s">
        <v>9</v>
      </c>
      <c r="B17" s="28"/>
      <c r="C17" s="28"/>
      <c r="E17" s="58"/>
    </row>
    <row r="18" spans="1:5" s="30" customFormat="1" x14ac:dyDescent="0.3">
      <c r="A18" s="18" t="s">
        <v>86</v>
      </c>
      <c r="B18" s="28">
        <v>0</v>
      </c>
      <c r="C18" s="28">
        <v>0</v>
      </c>
      <c r="E18" s="58"/>
    </row>
    <row r="19" spans="1:5" x14ac:dyDescent="0.3">
      <c r="A19" s="19"/>
      <c r="B19" s="28"/>
      <c r="C19" s="28"/>
      <c r="E19" s="58"/>
    </row>
    <row r="20" spans="1:5" x14ac:dyDescent="0.3">
      <c r="A20" s="18" t="s">
        <v>87</v>
      </c>
      <c r="B20" s="28"/>
      <c r="C20" s="28"/>
      <c r="E20" s="58"/>
    </row>
    <row r="21" spans="1:5" x14ac:dyDescent="0.3">
      <c r="A21" s="19" t="s">
        <v>10</v>
      </c>
      <c r="B21" s="28">
        <v>44</v>
      </c>
      <c r="C21" s="28">
        <v>44</v>
      </c>
      <c r="E21" s="58"/>
    </row>
    <row r="22" spans="1:5" x14ac:dyDescent="0.3">
      <c r="A22" s="20" t="s">
        <v>88</v>
      </c>
      <c r="B22" s="29">
        <v>44</v>
      </c>
      <c r="C22" s="29">
        <v>67</v>
      </c>
      <c r="E22" s="58"/>
    </row>
    <row r="23" spans="1:5" x14ac:dyDescent="0.3">
      <c r="A23" s="19"/>
      <c r="B23" s="28"/>
      <c r="C23" s="28"/>
      <c r="E23" s="58"/>
    </row>
    <row r="24" spans="1:5" x14ac:dyDescent="0.3">
      <c r="A24" s="18" t="s">
        <v>89</v>
      </c>
      <c r="B24" s="28"/>
      <c r="C24" s="28"/>
      <c r="E24" s="58"/>
    </row>
    <row r="25" spans="1:5" s="30" customFormat="1" x14ac:dyDescent="0.3">
      <c r="A25" s="19" t="s">
        <v>11</v>
      </c>
      <c r="B25" s="28">
        <v>1576.72</v>
      </c>
      <c r="C25" s="28">
        <v>1631.45</v>
      </c>
      <c r="E25" s="58"/>
    </row>
    <row r="26" spans="1:5" x14ac:dyDescent="0.3">
      <c r="A26" s="19" t="s">
        <v>12</v>
      </c>
      <c r="B26" s="28">
        <v>70.08</v>
      </c>
      <c r="C26" s="28">
        <v>90.18</v>
      </c>
      <c r="E26" s="58"/>
    </row>
    <row r="27" spans="1:5" x14ac:dyDescent="0.3">
      <c r="A27" s="19" t="s">
        <v>13</v>
      </c>
      <c r="B27" s="28">
        <v>53.77</v>
      </c>
      <c r="C27" s="28">
        <v>79.260000000000005</v>
      </c>
      <c r="E27" s="58"/>
    </row>
    <row r="28" spans="1:5" x14ac:dyDescent="0.3">
      <c r="A28" s="19" t="s">
        <v>14</v>
      </c>
      <c r="B28" s="28">
        <v>24.48</v>
      </c>
      <c r="C28" s="28">
        <v>25.91</v>
      </c>
      <c r="E28" s="58"/>
    </row>
    <row r="29" spans="1:5" x14ac:dyDescent="0.3">
      <c r="A29" s="20" t="s">
        <v>90</v>
      </c>
      <c r="B29" s="29">
        <f>SUM(B25:B28)</f>
        <v>1725.05</v>
      </c>
      <c r="C29" s="29">
        <f>SUM(C25:C28)</f>
        <v>1826.8000000000002</v>
      </c>
      <c r="E29" s="58"/>
    </row>
    <row r="30" spans="1:5" x14ac:dyDescent="0.3">
      <c r="A30" s="19"/>
      <c r="B30" s="33"/>
      <c r="C30" s="33"/>
      <c r="E30" s="58"/>
    </row>
    <row r="31" spans="1:5" x14ac:dyDescent="0.3">
      <c r="A31" s="18" t="s">
        <v>91</v>
      </c>
      <c r="B31" s="28"/>
      <c r="C31" s="28"/>
      <c r="E31" s="58"/>
    </row>
    <row r="32" spans="1:5" x14ac:dyDescent="0.3">
      <c r="A32" s="19" t="s">
        <v>15</v>
      </c>
      <c r="B32" s="28">
        <v>13.64</v>
      </c>
      <c r="C32" s="28">
        <v>5.9</v>
      </c>
      <c r="E32" s="58"/>
    </row>
    <row r="33" spans="1:5" x14ac:dyDescent="0.3">
      <c r="A33" s="19"/>
      <c r="B33" s="28"/>
      <c r="C33" s="28"/>
      <c r="E33" s="58"/>
    </row>
    <row r="34" spans="1:5" s="30" customFormat="1" x14ac:dyDescent="0.3">
      <c r="A34" s="20" t="s">
        <v>92</v>
      </c>
      <c r="B34" s="29">
        <f>SUM(B32:B32)</f>
        <v>13.64</v>
      </c>
      <c r="C34" s="29">
        <f>SUM(C32:C32)</f>
        <v>5.9</v>
      </c>
      <c r="E34" s="58"/>
    </row>
    <row r="35" spans="1:5" x14ac:dyDescent="0.3">
      <c r="A35" s="19"/>
      <c r="B35" s="28"/>
      <c r="C35" s="28"/>
      <c r="E35" s="58"/>
    </row>
    <row r="36" spans="1:5" x14ac:dyDescent="0.3">
      <c r="A36" s="18" t="s">
        <v>93</v>
      </c>
      <c r="B36" s="28"/>
      <c r="C36" s="28"/>
      <c r="E36" s="58"/>
    </row>
    <row r="37" spans="1:5" x14ac:dyDescent="0.3">
      <c r="A37" s="19" t="s">
        <v>65</v>
      </c>
      <c r="B37" s="28">
        <v>43.04</v>
      </c>
      <c r="C37" s="28">
        <v>51.59</v>
      </c>
      <c r="E37" s="58"/>
    </row>
    <row r="38" spans="1:5" x14ac:dyDescent="0.3">
      <c r="A38" s="19" t="s">
        <v>66</v>
      </c>
      <c r="B38" s="28">
        <v>2.11</v>
      </c>
      <c r="C38" s="28">
        <v>2.67</v>
      </c>
      <c r="E38" s="58"/>
    </row>
    <row r="39" spans="1:5" x14ac:dyDescent="0.3">
      <c r="A39" s="22" t="s">
        <v>67</v>
      </c>
      <c r="B39" s="28">
        <v>334.67</v>
      </c>
      <c r="C39" s="28">
        <v>714.85</v>
      </c>
      <c r="E39" s="58"/>
    </row>
    <row r="40" spans="1:5" x14ac:dyDescent="0.3">
      <c r="A40" s="19" t="s">
        <v>68</v>
      </c>
      <c r="B40" s="28">
        <v>15.51</v>
      </c>
      <c r="C40" s="28">
        <v>19.12</v>
      </c>
      <c r="E40" s="58"/>
    </row>
    <row r="41" spans="1:5" s="30" customFormat="1" x14ac:dyDescent="0.3">
      <c r="A41" s="22" t="s">
        <v>69</v>
      </c>
      <c r="B41" s="28">
        <v>142.31</v>
      </c>
      <c r="C41" s="28">
        <v>175.08</v>
      </c>
      <c r="E41" s="58"/>
    </row>
    <row r="42" spans="1:5" x14ac:dyDescent="0.3">
      <c r="A42" s="22" t="s">
        <v>227</v>
      </c>
      <c r="B42" s="28">
        <v>118.12</v>
      </c>
      <c r="C42" s="28">
        <v>126.89</v>
      </c>
      <c r="E42" s="58"/>
    </row>
    <row r="43" spans="1:5" x14ac:dyDescent="0.3">
      <c r="A43" s="19" t="s">
        <v>70</v>
      </c>
      <c r="B43" s="28">
        <v>7.75</v>
      </c>
      <c r="C43" s="28">
        <v>20.399999999999999</v>
      </c>
      <c r="E43" s="58"/>
    </row>
    <row r="44" spans="1:5" x14ac:dyDescent="0.3">
      <c r="A44" s="19" t="s">
        <v>71</v>
      </c>
      <c r="B44" s="28">
        <v>0.17</v>
      </c>
      <c r="C44" s="28">
        <v>0.27</v>
      </c>
      <c r="E44" s="58"/>
    </row>
    <row r="45" spans="1:5" x14ac:dyDescent="0.3">
      <c r="A45" s="19" t="s">
        <v>72</v>
      </c>
      <c r="B45" s="28">
        <v>3.99</v>
      </c>
      <c r="C45" s="28">
        <v>4.01</v>
      </c>
      <c r="E45" s="58"/>
    </row>
    <row r="46" spans="1:5" x14ac:dyDescent="0.3">
      <c r="A46" s="19" t="s">
        <v>73</v>
      </c>
      <c r="B46" s="28">
        <v>36.15</v>
      </c>
      <c r="C46" s="28">
        <v>46.97</v>
      </c>
      <c r="E46" s="58"/>
    </row>
    <row r="47" spans="1:5" x14ac:dyDescent="0.3">
      <c r="A47" s="19" t="s">
        <v>74</v>
      </c>
      <c r="B47" s="28">
        <v>6.11</v>
      </c>
      <c r="C47" s="28">
        <v>5.88</v>
      </c>
      <c r="E47" s="58"/>
    </row>
    <row r="48" spans="1:5" x14ac:dyDescent="0.3">
      <c r="A48" s="20" t="s">
        <v>94</v>
      </c>
      <c r="B48" s="29">
        <f>SUM(B37:B47)</f>
        <v>709.93</v>
      </c>
      <c r="C48" s="29">
        <f>SUM(C37:C47)</f>
        <v>1167.7300000000002</v>
      </c>
      <c r="E48" s="58"/>
    </row>
    <row r="49" spans="1:5" x14ac:dyDescent="0.3">
      <c r="A49" s="19" t="s">
        <v>373</v>
      </c>
      <c r="B49" s="33">
        <f>B48/B4</f>
        <v>0.13575095847714475</v>
      </c>
      <c r="C49" s="33">
        <f>C48/C4</f>
        <v>0.17400808847853755</v>
      </c>
      <c r="E49" s="58"/>
    </row>
    <row r="50" spans="1:5" x14ac:dyDescent="0.3">
      <c r="A50" s="19"/>
      <c r="B50" s="33"/>
      <c r="C50" s="33"/>
      <c r="E50" s="58"/>
    </row>
    <row r="51" spans="1:5" x14ac:dyDescent="0.3">
      <c r="A51" s="18" t="s">
        <v>95</v>
      </c>
      <c r="B51" s="28"/>
      <c r="C51" s="28"/>
      <c r="E51" s="58"/>
    </row>
    <row r="52" spans="1:5" x14ac:dyDescent="0.3">
      <c r="A52" s="19" t="s">
        <v>16</v>
      </c>
      <c r="B52" s="28">
        <v>8.86</v>
      </c>
      <c r="C52" s="28">
        <v>17.940000000000001</v>
      </c>
      <c r="E52" s="58"/>
    </row>
    <row r="53" spans="1:5" x14ac:dyDescent="0.3">
      <c r="A53" s="19" t="s">
        <v>17</v>
      </c>
      <c r="B53" s="28">
        <v>2.63</v>
      </c>
      <c r="C53" s="28">
        <v>28.65</v>
      </c>
      <c r="E53" s="58"/>
    </row>
    <row r="54" spans="1:5" x14ac:dyDescent="0.3">
      <c r="A54" s="19" t="s">
        <v>18</v>
      </c>
      <c r="B54" s="28">
        <v>85.66</v>
      </c>
      <c r="C54" s="28">
        <v>42.94</v>
      </c>
      <c r="E54" s="58"/>
    </row>
    <row r="55" spans="1:5" x14ac:dyDescent="0.3">
      <c r="A55" s="19" t="s">
        <v>19</v>
      </c>
      <c r="B55" s="28">
        <v>13.89</v>
      </c>
      <c r="C55" s="28">
        <v>27.35</v>
      </c>
      <c r="E55" s="58"/>
    </row>
    <row r="56" spans="1:5" s="30" customFormat="1" x14ac:dyDescent="0.3">
      <c r="A56" s="20" t="s">
        <v>96</v>
      </c>
      <c r="B56" s="34">
        <f>SUM(B52:B55)</f>
        <v>111.03999999999999</v>
      </c>
      <c r="C56" s="34">
        <f>SUM(C52:C55)</f>
        <v>116.88</v>
      </c>
      <c r="D56" s="32"/>
      <c r="E56" s="58"/>
    </row>
    <row r="57" spans="1:5" x14ac:dyDescent="0.3">
      <c r="A57" s="19"/>
      <c r="B57" s="28"/>
      <c r="C57" s="28"/>
      <c r="E57" s="58"/>
    </row>
    <row r="58" spans="1:5" x14ac:dyDescent="0.3">
      <c r="A58" s="21" t="s">
        <v>97</v>
      </c>
      <c r="B58" s="35">
        <f>B22+B29+B34+B48+B56</f>
        <v>2603.66</v>
      </c>
      <c r="C58" s="35">
        <f>C22+C29+C34+C48+C56</f>
        <v>3184.3100000000004</v>
      </c>
      <c r="E58" s="58"/>
    </row>
    <row r="59" spans="1:5" x14ac:dyDescent="0.3">
      <c r="A59" s="19"/>
      <c r="B59" s="37"/>
      <c r="C59" s="37"/>
      <c r="E59" s="58"/>
    </row>
    <row r="60" spans="1:5" x14ac:dyDescent="0.3">
      <c r="A60" s="18" t="s">
        <v>98</v>
      </c>
      <c r="B60" s="38"/>
      <c r="C60" s="39">
        <f>(C15/B15)-1</f>
        <v>0.28544246024093267</v>
      </c>
      <c r="E60" s="58"/>
    </row>
    <row r="61" spans="1:5" x14ac:dyDescent="0.3">
      <c r="A61" s="18" t="s">
        <v>99</v>
      </c>
      <c r="B61" s="38">
        <f>B15-B58</f>
        <v>2841.01</v>
      </c>
      <c r="C61" s="38">
        <f>C15-C58</f>
        <v>3814.4999999999991</v>
      </c>
      <c r="E61" s="58"/>
    </row>
    <row r="62" spans="1:5" x14ac:dyDescent="0.3">
      <c r="A62" s="18" t="s">
        <v>100</v>
      </c>
      <c r="B62" s="40">
        <f>B61/B4</f>
        <v>0.54325050433585431</v>
      </c>
      <c r="C62" s="40">
        <f>C61/C4</f>
        <v>0.56841380584671219</v>
      </c>
      <c r="E62" s="58"/>
    </row>
    <row r="63" spans="1:5" s="30" customFormat="1" x14ac:dyDescent="0.3">
      <c r="A63" s="19" t="s">
        <v>75</v>
      </c>
      <c r="B63" s="28">
        <v>347.96</v>
      </c>
      <c r="C63" s="28">
        <v>277.29000000000002</v>
      </c>
      <c r="E63" s="58"/>
    </row>
    <row r="64" spans="1:5" x14ac:dyDescent="0.3">
      <c r="A64" s="18" t="s">
        <v>56</v>
      </c>
      <c r="B64" s="38">
        <f>B61-B63</f>
        <v>2493.0500000000002</v>
      </c>
      <c r="C64" s="38">
        <f>C61-C63</f>
        <v>3537.2099999999991</v>
      </c>
      <c r="E64" s="58"/>
    </row>
    <row r="65" spans="1:8" s="30" customFormat="1" x14ac:dyDescent="0.3">
      <c r="A65" s="18" t="s">
        <v>101</v>
      </c>
      <c r="B65" s="40">
        <f>B64/B4</f>
        <v>0.47671450288260214</v>
      </c>
      <c r="C65" s="40">
        <f>C64/C4</f>
        <v>0.52709372084914108</v>
      </c>
      <c r="E65" s="58"/>
    </row>
    <row r="66" spans="1:8" x14ac:dyDescent="0.3">
      <c r="A66" s="18" t="s">
        <v>102</v>
      </c>
      <c r="B66" s="41"/>
      <c r="C66" s="41"/>
      <c r="E66" s="58"/>
    </row>
    <row r="67" spans="1:8" x14ac:dyDescent="0.3">
      <c r="A67" s="19" t="s">
        <v>21</v>
      </c>
      <c r="B67" s="28">
        <v>2.4500000000000002</v>
      </c>
      <c r="C67" s="28">
        <v>10.220000000000001</v>
      </c>
      <c r="E67" s="58"/>
    </row>
    <row r="68" spans="1:8" s="30" customFormat="1" x14ac:dyDescent="0.3">
      <c r="A68" s="19" t="s">
        <v>22</v>
      </c>
      <c r="B68" s="28">
        <v>72.72</v>
      </c>
      <c r="C68" s="28">
        <v>101.31</v>
      </c>
      <c r="E68" s="58"/>
    </row>
    <row r="69" spans="1:8" s="30" customFormat="1" x14ac:dyDescent="0.3">
      <c r="A69" s="18" t="s">
        <v>103</v>
      </c>
      <c r="B69" s="41">
        <f>B68+B67</f>
        <v>75.17</v>
      </c>
      <c r="C69" s="41">
        <f>C68+C67</f>
        <v>111.53</v>
      </c>
      <c r="E69" s="58"/>
    </row>
    <row r="70" spans="1:8" x14ac:dyDescent="0.3">
      <c r="A70" s="18" t="s">
        <v>76</v>
      </c>
      <c r="B70" s="41">
        <f>B64-B69</f>
        <v>2417.88</v>
      </c>
      <c r="C70" s="41">
        <f>C64-C69</f>
        <v>3425.6799999999989</v>
      </c>
      <c r="E70" s="58"/>
    </row>
    <row r="71" spans="1:8" s="30" customFormat="1" x14ac:dyDescent="0.3">
      <c r="A71" s="18" t="s">
        <v>104</v>
      </c>
      <c r="B71" s="42">
        <f>B70/B4</f>
        <v>0.46234069201571815</v>
      </c>
      <c r="C71" s="42">
        <f>C70/C4</f>
        <v>0.51047419226975088</v>
      </c>
      <c r="E71" s="58"/>
    </row>
    <row r="72" spans="1:8" s="30" customFormat="1" x14ac:dyDescent="0.3">
      <c r="A72" s="19" t="s">
        <v>24</v>
      </c>
      <c r="B72" s="28">
        <v>480.03</v>
      </c>
      <c r="C72" s="28">
        <v>585.1</v>
      </c>
      <c r="E72" s="58"/>
    </row>
    <row r="73" spans="1:8" s="30" customFormat="1" x14ac:dyDescent="0.3">
      <c r="A73" s="19" t="s">
        <v>25</v>
      </c>
      <c r="B73" s="28">
        <v>20.86</v>
      </c>
      <c r="C73" s="28">
        <v>93.26</v>
      </c>
      <c r="E73" s="36"/>
    </row>
    <row r="74" spans="1:8" s="30" customFormat="1" x14ac:dyDescent="0.3">
      <c r="A74" s="23" t="s">
        <v>55</v>
      </c>
      <c r="B74" s="43">
        <f>B70-B72-B73</f>
        <v>1916.9900000000002</v>
      </c>
      <c r="C74" s="43">
        <f>C70-C72-C73</f>
        <v>2747.3199999999988</v>
      </c>
    </row>
    <row r="75" spans="1:8" ht="14.5" x14ac:dyDescent="0.35">
      <c r="A75" s="24" t="s">
        <v>105</v>
      </c>
      <c r="B75" s="44">
        <f>B74/B4</f>
        <v>0.36656181580029262</v>
      </c>
      <c r="C75" s="44">
        <f>C74/C4</f>
        <v>0.40938907250721956</v>
      </c>
    </row>
    <row r="76" spans="1:8" ht="14.5" x14ac:dyDescent="0.35">
      <c r="A76" s="24" t="s">
        <v>106</v>
      </c>
      <c r="B76" s="44">
        <f>B72/B70</f>
        <v>0.19853342597647525</v>
      </c>
      <c r="C76" s="44">
        <f>C72/C70</f>
        <v>0.17079820648747115</v>
      </c>
      <c r="D76" s="26" t="s">
        <v>374</v>
      </c>
    </row>
    <row r="77" spans="1:8" s="30" customFormat="1" ht="14.5" x14ac:dyDescent="0.35">
      <c r="A77" s="24"/>
      <c r="B77" s="44"/>
      <c r="C77" s="44"/>
    </row>
    <row r="78" spans="1:8" ht="14.5" x14ac:dyDescent="0.35">
      <c r="A78" s="24" t="s">
        <v>278</v>
      </c>
      <c r="B78" s="44"/>
      <c r="C78" s="44"/>
    </row>
    <row r="79" spans="1:8" ht="15" thickBot="1" x14ac:dyDescent="0.4">
      <c r="A79" s="24"/>
      <c r="B79" s="24"/>
      <c r="C79" s="24"/>
    </row>
    <row r="80" spans="1:8" ht="15" thickBot="1" x14ac:dyDescent="0.4">
      <c r="A80" s="25" t="s">
        <v>279</v>
      </c>
      <c r="B80" s="25">
        <v>2016</v>
      </c>
      <c r="C80" s="45">
        <v>2017</v>
      </c>
      <c r="D80" s="25">
        <v>2018</v>
      </c>
      <c r="E80" s="45">
        <v>2019</v>
      </c>
      <c r="F80" s="45">
        <v>2020</v>
      </c>
      <c r="G80" s="45">
        <v>2021</v>
      </c>
      <c r="H80" s="46">
        <v>2022</v>
      </c>
    </row>
    <row r="81" spans="1:8" ht="14.5" x14ac:dyDescent="0.35">
      <c r="A81" s="60" t="s">
        <v>108</v>
      </c>
      <c r="B81" s="60">
        <v>1756.8</v>
      </c>
      <c r="C81" s="61">
        <v>1982.44</v>
      </c>
      <c r="D81" s="60">
        <v>2412</v>
      </c>
      <c r="E81" s="61">
        <v>3308</v>
      </c>
      <c r="F81" s="61">
        <v>4274</v>
      </c>
      <c r="G81" s="61">
        <v>5230</v>
      </c>
      <c r="H81" s="62">
        <v>6711</v>
      </c>
    </row>
    <row r="82" spans="1:8" ht="15" thickBot="1" x14ac:dyDescent="0.4">
      <c r="A82" s="67" t="s">
        <v>413</v>
      </c>
      <c r="B82" s="79"/>
      <c r="C82" s="68">
        <f t="shared" ref="C82" si="0">(C81/B81)-1</f>
        <v>0.12843806921675771</v>
      </c>
      <c r="D82" s="79">
        <f>(D81/C81)-1</f>
        <v>0.21668247210508262</v>
      </c>
      <c r="E82" s="68">
        <f>(E81/D81)-1</f>
        <v>0.37147595356550589</v>
      </c>
      <c r="F82" s="68">
        <f>(F81/E81)-1</f>
        <v>0.29201934703748478</v>
      </c>
      <c r="G82" s="68">
        <f>(G81/F81)-1</f>
        <v>0.22367805334581181</v>
      </c>
      <c r="H82" s="69">
        <f>(H81/G81)-1</f>
        <v>0.28317399617590833</v>
      </c>
    </row>
    <row r="83" spans="1:8" ht="15" thickBot="1" x14ac:dyDescent="0.4">
      <c r="A83" s="70" t="s">
        <v>111</v>
      </c>
      <c r="B83" s="85"/>
      <c r="C83" s="82"/>
      <c r="D83" s="81"/>
      <c r="E83" s="82"/>
      <c r="F83" s="82"/>
      <c r="G83" s="82"/>
      <c r="H83" s="86">
        <f>(H81/B81)^(1/6)-1</f>
        <v>0.25029017762554528</v>
      </c>
    </row>
    <row r="84" spans="1:8" ht="14.5" x14ac:dyDescent="0.35">
      <c r="A84" s="1"/>
      <c r="B84" s="1"/>
      <c r="C84"/>
      <c r="D84" s="1"/>
      <c r="E84"/>
      <c r="F84"/>
      <c r="G84"/>
      <c r="H84" s="2"/>
    </row>
    <row r="85" spans="1:8" ht="14.5" x14ac:dyDescent="0.35">
      <c r="A85" s="1" t="s">
        <v>55</v>
      </c>
      <c r="B85" s="1">
        <v>534.37</v>
      </c>
      <c r="C85">
        <v>285.37</v>
      </c>
      <c r="D85" s="1">
        <v>408</v>
      </c>
      <c r="E85">
        <v>516</v>
      </c>
      <c r="F85">
        <v>801.73</v>
      </c>
      <c r="G85">
        <f>B74</f>
        <v>1916.9900000000002</v>
      </c>
      <c r="H85" s="2">
        <f>C74</f>
        <v>2747.3199999999988</v>
      </c>
    </row>
    <row r="86" spans="1:8" ht="14.5" x14ac:dyDescent="0.35">
      <c r="A86" s="67" t="s">
        <v>413</v>
      </c>
      <c r="B86" s="79"/>
      <c r="C86" s="68">
        <f t="shared" ref="C86" si="1">(C85/B85)-1</f>
        <v>-0.4659692722271086</v>
      </c>
      <c r="D86" s="79">
        <f>(D85/C85)-1</f>
        <v>0.42972281599327178</v>
      </c>
      <c r="E86" s="68">
        <f>(E85/D85)-1</f>
        <v>0.26470588235294112</v>
      </c>
      <c r="F86" s="68">
        <f>(F85/E85)-1</f>
        <v>0.55374031007751934</v>
      </c>
      <c r="G86" s="68">
        <f>(G85/F85)-1</f>
        <v>1.3910668180060619</v>
      </c>
      <c r="H86" s="69">
        <f>(H85/G85)-1</f>
        <v>0.43314258290340502</v>
      </c>
    </row>
    <row r="87" spans="1:8" ht="15" thickBot="1" x14ac:dyDescent="0.4">
      <c r="A87" s="64"/>
      <c r="B87" s="80"/>
      <c r="C87" s="65"/>
      <c r="D87" s="80"/>
      <c r="E87" s="65"/>
      <c r="F87" s="65"/>
      <c r="G87" s="65"/>
      <c r="H87" s="66"/>
    </row>
    <row r="88" spans="1:8" ht="14.5" x14ac:dyDescent="0.35">
      <c r="A88" s="60" t="s">
        <v>109</v>
      </c>
      <c r="B88" s="60">
        <v>1216</v>
      </c>
      <c r="C88" s="61">
        <v>1631.17</v>
      </c>
      <c r="D88" s="60">
        <v>1949</v>
      </c>
      <c r="E88" s="61">
        <v>2885</v>
      </c>
      <c r="F88" s="61">
        <v>3369.7</v>
      </c>
      <c r="G88" s="61">
        <f>B58</f>
        <v>2603.66</v>
      </c>
      <c r="H88" s="62">
        <f>C58</f>
        <v>3184.3100000000004</v>
      </c>
    </row>
    <row r="89" spans="1:8" ht="14.5" x14ac:dyDescent="0.35">
      <c r="A89" s="67" t="s">
        <v>413</v>
      </c>
      <c r="B89" s="67"/>
      <c r="C89" s="68">
        <f>(C88/B88)-1</f>
        <v>0.34142269736842112</v>
      </c>
      <c r="D89" s="79">
        <f t="shared" ref="D89:H89" si="2">(D88/C88)-1</f>
        <v>0.19484786993385117</v>
      </c>
      <c r="E89" s="68">
        <f t="shared" si="2"/>
        <v>0.48024628014366333</v>
      </c>
      <c r="F89" s="68">
        <f t="shared" si="2"/>
        <v>0.1680069324090121</v>
      </c>
      <c r="G89" s="68">
        <f t="shared" si="2"/>
        <v>-0.22733180995340829</v>
      </c>
      <c r="H89" s="69">
        <f t="shared" si="2"/>
        <v>0.22301298940721925</v>
      </c>
    </row>
    <row r="90" spans="1:8" ht="14.5" x14ac:dyDescent="0.35">
      <c r="A90" s="1"/>
      <c r="B90" s="1"/>
      <c r="C90" s="51"/>
      <c r="D90" s="83"/>
      <c r="E90" s="51"/>
      <c r="F90" s="51"/>
      <c r="G90" s="51"/>
      <c r="H90" s="63"/>
    </row>
    <row r="91" spans="1:8" ht="14.5" x14ac:dyDescent="0.35">
      <c r="A91" s="1" t="s">
        <v>110</v>
      </c>
      <c r="B91" s="1" t="s">
        <v>229</v>
      </c>
      <c r="C91" t="s">
        <v>229</v>
      </c>
      <c r="D91" s="1">
        <v>669</v>
      </c>
      <c r="E91">
        <v>1122</v>
      </c>
      <c r="F91">
        <v>1205</v>
      </c>
      <c r="G91">
        <f>B39</f>
        <v>334.67</v>
      </c>
      <c r="H91" s="2">
        <f>C39</f>
        <v>714.85</v>
      </c>
    </row>
    <row r="92" spans="1:8" ht="14.5" x14ac:dyDescent="0.35">
      <c r="A92" s="67" t="s">
        <v>112</v>
      </c>
      <c r="B92" s="67"/>
      <c r="C92" s="71"/>
      <c r="D92" s="79">
        <f>D91/D81</f>
        <v>0.27736318407960198</v>
      </c>
      <c r="E92" s="68">
        <f>E91/E81</f>
        <v>0.33917775090689239</v>
      </c>
      <c r="F92" s="68">
        <f>F91/F81</f>
        <v>0.28193729527374822</v>
      </c>
      <c r="G92" s="68">
        <f>G91/G81</f>
        <v>6.3990439770554491E-2</v>
      </c>
      <c r="H92" s="69">
        <f>H91/H81</f>
        <v>0.10651914766800775</v>
      </c>
    </row>
    <row r="93" spans="1:8" ht="14.5" x14ac:dyDescent="0.35">
      <c r="A93" s="70" t="s">
        <v>413</v>
      </c>
      <c r="B93" s="70"/>
      <c r="C93" s="72"/>
      <c r="D93" s="84"/>
      <c r="E93" s="73">
        <f>(E91/D91)-1</f>
        <v>0.67713004484304928</v>
      </c>
      <c r="F93" s="73">
        <f>(F91/E91)-1</f>
        <v>7.3975044563279857E-2</v>
      </c>
      <c r="G93" s="73">
        <f>(G91/F91)-1</f>
        <v>-0.7222655601659751</v>
      </c>
      <c r="H93" s="74">
        <f>(H91/G91)-1</f>
        <v>1.1359847013475961</v>
      </c>
    </row>
    <row r="94" spans="1:8" ht="14.5" x14ac:dyDescent="0.35">
      <c r="A94" s="1"/>
      <c r="B94" s="1"/>
      <c r="C94"/>
      <c r="D94" s="1"/>
      <c r="E94"/>
      <c r="F94"/>
      <c r="G94"/>
      <c r="H94" s="2"/>
    </row>
    <row r="95" spans="1:8" ht="14.5" x14ac:dyDescent="0.35">
      <c r="A95" s="1" t="s">
        <v>115</v>
      </c>
      <c r="B95" s="1"/>
      <c r="C95"/>
      <c r="D95" s="1">
        <v>690</v>
      </c>
      <c r="E95">
        <v>931</v>
      </c>
      <c r="F95">
        <v>1089</v>
      </c>
      <c r="G95">
        <f>B29</f>
        <v>1725.05</v>
      </c>
      <c r="H95" s="2">
        <f>C29</f>
        <v>1826.8000000000002</v>
      </c>
    </row>
    <row r="96" spans="1:8" ht="14.5" x14ac:dyDescent="0.35">
      <c r="A96" s="67" t="s">
        <v>114</v>
      </c>
      <c r="B96" s="67"/>
      <c r="C96" s="68"/>
      <c r="D96" s="79">
        <f>D95/D81</f>
        <v>0.28606965174129351</v>
      </c>
      <c r="E96" s="68">
        <f>E95/E81</f>
        <v>0.28143893591293834</v>
      </c>
      <c r="F96" s="68">
        <f>F95/F81</f>
        <v>0.25479644361254095</v>
      </c>
      <c r="G96" s="68">
        <f>G95/G81</f>
        <v>0.32983747609942637</v>
      </c>
      <c r="H96" s="69">
        <f>H95/H81</f>
        <v>0.2722098047980927</v>
      </c>
    </row>
    <row r="97" spans="1:9" ht="15" thickBot="1" x14ac:dyDescent="0.4">
      <c r="A97" s="78" t="s">
        <v>413</v>
      </c>
      <c r="B97" s="78"/>
      <c r="C97" s="75"/>
      <c r="D97" s="78"/>
      <c r="E97" s="76">
        <f>(E95/D95)-1</f>
        <v>0.34927536231884049</v>
      </c>
      <c r="F97" s="76">
        <f>(F95/E95)-1</f>
        <v>0.16970998925886138</v>
      </c>
      <c r="G97" s="76">
        <f>(G95/F95)-1</f>
        <v>0.58406795224977048</v>
      </c>
      <c r="H97" s="77">
        <f>(H95/G95)-1</f>
        <v>5.8983797571084962E-2</v>
      </c>
    </row>
    <row r="99" spans="1:9" x14ac:dyDescent="0.3">
      <c r="A99" s="26" t="s">
        <v>267</v>
      </c>
    </row>
    <row r="100" spans="1:9" ht="14.5" x14ac:dyDescent="0.35">
      <c r="A100" s="24"/>
    </row>
    <row r="101" spans="1:9" x14ac:dyDescent="0.3">
      <c r="A101" s="20" t="s">
        <v>88</v>
      </c>
      <c r="B101" s="48">
        <f>B22/B4</f>
        <v>8.4135649613262843E-3</v>
      </c>
      <c r="C101" s="48">
        <f>C22/C4</f>
        <v>9.9839362935456085E-3</v>
      </c>
    </row>
    <row r="102" spans="1:9" s="24" customFormat="1" ht="14.5" x14ac:dyDescent="0.35">
      <c r="A102" s="20" t="s">
        <v>90</v>
      </c>
      <c r="B102" s="59">
        <f>B29/B4</f>
        <v>0.3298595508303615</v>
      </c>
      <c r="C102" s="59">
        <f>C29/C4</f>
        <v>0.27221872867237495</v>
      </c>
    </row>
    <row r="103" spans="1:9" x14ac:dyDescent="0.3">
      <c r="A103" s="20" t="s">
        <v>92</v>
      </c>
      <c r="B103" s="48">
        <f>B34/B4</f>
        <v>2.6082051380111482E-3</v>
      </c>
      <c r="C103" s="48">
        <f>C34/C4</f>
        <v>8.7918244973013578E-4</v>
      </c>
    </row>
    <row r="104" spans="1:9" s="24" customFormat="1" ht="14.5" x14ac:dyDescent="0.35">
      <c r="A104" s="20" t="s">
        <v>94</v>
      </c>
      <c r="B104" s="59">
        <f>B48/B4</f>
        <v>0.13575095847714475</v>
      </c>
      <c r="C104" s="59">
        <f>C48/C4</f>
        <v>0.17400808847853755</v>
      </c>
      <c r="I104" s="47"/>
    </row>
    <row r="105" spans="1:9" x14ac:dyDescent="0.3">
      <c r="A105" s="20" t="s">
        <v>96</v>
      </c>
      <c r="B105" s="59">
        <f>B56/B4</f>
        <v>2.1232778484219787E-2</v>
      </c>
      <c r="C105" s="59">
        <f>C56/C4</f>
        <v>1.7416753343128519E-2</v>
      </c>
    </row>
    <row r="116" spans="1:8" x14ac:dyDescent="0.3">
      <c r="A116" s="26" t="s">
        <v>195</v>
      </c>
    </row>
    <row r="117" spans="1:8" x14ac:dyDescent="0.3">
      <c r="A117" s="26" t="s">
        <v>196</v>
      </c>
    </row>
    <row r="121" spans="1:8" x14ac:dyDescent="0.3">
      <c r="A121" s="26" t="s">
        <v>235</v>
      </c>
      <c r="B121" s="50">
        <f>(B4*10^7)/87</f>
        <v>601109195.40229881</v>
      </c>
      <c r="C121" s="50">
        <f>(C4*10^7)/87</f>
        <v>771354022.98850572</v>
      </c>
    </row>
    <row r="122" spans="1:8" x14ac:dyDescent="0.3">
      <c r="A122" s="26" t="s">
        <v>236</v>
      </c>
      <c r="B122" s="50">
        <f>B4/87</f>
        <v>60.110919540229879</v>
      </c>
      <c r="C122" s="50">
        <f>C4/87</f>
        <v>77.135402298850565</v>
      </c>
    </row>
    <row r="123" spans="1:8" x14ac:dyDescent="0.3">
      <c r="B123" s="26" t="s">
        <v>237</v>
      </c>
      <c r="C123" s="50">
        <f>C122*(1+15%)</f>
        <v>88.70571264367814</v>
      </c>
      <c r="D123" s="26">
        <v>2018</v>
      </c>
      <c r="E123" s="26">
        <v>2019</v>
      </c>
      <c r="F123" s="26">
        <v>2020</v>
      </c>
      <c r="G123" s="26">
        <v>2021</v>
      </c>
      <c r="H123" s="26">
        <v>2022</v>
      </c>
    </row>
    <row r="124" spans="1:8" x14ac:dyDescent="0.3">
      <c r="D124" s="26">
        <f>6.9*100</f>
        <v>690</v>
      </c>
      <c r="E124" s="26">
        <f>9.3*100</f>
        <v>930.00000000000011</v>
      </c>
      <c r="F124" s="26">
        <f>10.9*100</f>
        <v>1090</v>
      </c>
      <c r="G124" s="49"/>
    </row>
    <row r="125" spans="1:8" x14ac:dyDescent="0.3">
      <c r="D125" s="26">
        <f>19.5*100</f>
        <v>1950</v>
      </c>
      <c r="E125" s="26">
        <f>28.9*100</f>
        <v>2890</v>
      </c>
      <c r="F125" s="26">
        <f>33.7*100</f>
        <v>3370.0000000000005</v>
      </c>
      <c r="G125" s="49"/>
    </row>
  </sheetData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EDB5-B711-4785-9711-1498889EEB0A}">
  <dimension ref="B1:G35"/>
  <sheetViews>
    <sheetView topLeftCell="A13" zoomScale="98" zoomScaleNormal="80" workbookViewId="0">
      <selection sqref="A1:XFD1048576"/>
    </sheetView>
  </sheetViews>
  <sheetFormatPr defaultRowHeight="15.5" x14ac:dyDescent="0.35"/>
  <cols>
    <col min="1" max="1" width="8.7265625" style="89"/>
    <col min="2" max="2" width="21.6328125" style="89" customWidth="1"/>
    <col min="3" max="3" width="13.7265625" style="89" bestFit="1" customWidth="1"/>
    <col min="4" max="4" width="10.81640625" style="89" bestFit="1" customWidth="1"/>
    <col min="5" max="5" width="15.08984375" style="89" customWidth="1"/>
    <col min="6" max="6" width="13.6328125" style="89" customWidth="1"/>
    <col min="7" max="7" width="15.453125" style="89" customWidth="1"/>
    <col min="8" max="16384" width="8.7265625" style="89"/>
  </cols>
  <sheetData>
    <row r="1" spans="2:7" x14ac:dyDescent="0.35">
      <c r="B1" s="296" t="s">
        <v>351</v>
      </c>
      <c r="C1" s="297"/>
      <c r="D1" s="297"/>
      <c r="E1" s="298"/>
      <c r="F1" s="298"/>
      <c r="G1" s="299"/>
    </row>
    <row r="2" spans="2:7" x14ac:dyDescent="0.35">
      <c r="B2" s="300" t="s">
        <v>279</v>
      </c>
      <c r="C2" s="301" t="s">
        <v>352</v>
      </c>
      <c r="D2" s="301" t="s">
        <v>353</v>
      </c>
      <c r="E2" s="301" t="s">
        <v>354</v>
      </c>
      <c r="F2" s="301" t="s">
        <v>355</v>
      </c>
      <c r="G2" s="302" t="s">
        <v>356</v>
      </c>
    </row>
    <row r="3" spans="2:7" x14ac:dyDescent="0.35">
      <c r="B3" s="303" t="s">
        <v>357</v>
      </c>
      <c r="C3" s="252"/>
      <c r="D3" s="252"/>
      <c r="E3" s="252"/>
      <c r="F3" s="252"/>
      <c r="G3" s="304"/>
    </row>
    <row r="4" spans="2:7" x14ac:dyDescent="0.35">
      <c r="B4" s="288" t="s">
        <v>358</v>
      </c>
      <c r="C4" s="305">
        <v>5.25</v>
      </c>
      <c r="D4" s="305">
        <v>5.25</v>
      </c>
      <c r="E4" s="305">
        <v>5.25</v>
      </c>
      <c r="F4" s="305">
        <v>5.25</v>
      </c>
      <c r="G4" s="306">
        <v>5.25</v>
      </c>
    </row>
    <row r="5" spans="2:7" x14ac:dyDescent="0.35">
      <c r="B5" s="288" t="s">
        <v>359</v>
      </c>
      <c r="C5" s="307">
        <f>'HISTORICAL BS'!D5+'Projected P&amp;L'!C20</f>
        <v>11764.785625</v>
      </c>
      <c r="D5" s="307">
        <f>C5+'Projected P&amp;L'!D20</f>
        <v>15678.897831249998</v>
      </c>
      <c r="E5" s="307">
        <f>D5+'Projected P&amp;L'!E20</f>
        <v>20427.737067812497</v>
      </c>
      <c r="F5" s="307">
        <f>E5+'Projected P&amp;L'!F20</f>
        <v>26148.892899203118</v>
      </c>
      <c r="G5" s="308">
        <f>F5+'Projected P&amp;L'!G20</f>
        <v>33001.212350113266</v>
      </c>
    </row>
    <row r="6" spans="2:7" x14ac:dyDescent="0.35">
      <c r="B6" s="288" t="s">
        <v>360</v>
      </c>
      <c r="C6" s="305">
        <f>SUM(C4:C5)</f>
        <v>11770.035625</v>
      </c>
      <c r="D6" s="305">
        <f t="shared" ref="D6:G6" si="0">SUM(D4:D5)</f>
        <v>15684.147831249998</v>
      </c>
      <c r="E6" s="305">
        <f t="shared" si="0"/>
        <v>20432.987067812497</v>
      </c>
      <c r="F6" s="305">
        <f t="shared" si="0"/>
        <v>26154.142899203118</v>
      </c>
      <c r="G6" s="306">
        <f t="shared" si="0"/>
        <v>33006.462350113266</v>
      </c>
    </row>
    <row r="7" spans="2:7" x14ac:dyDescent="0.35">
      <c r="B7" s="288"/>
      <c r="C7" s="307"/>
      <c r="D7" s="307"/>
      <c r="E7" s="307"/>
      <c r="F7" s="307"/>
      <c r="G7" s="308"/>
    </row>
    <row r="8" spans="2:7" x14ac:dyDescent="0.35">
      <c r="B8" s="309" t="s">
        <v>361</v>
      </c>
      <c r="C8" s="307">
        <v>0</v>
      </c>
      <c r="D8" s="307">
        <v>0</v>
      </c>
      <c r="E8" s="307">
        <v>0</v>
      </c>
      <c r="F8" s="307">
        <v>0</v>
      </c>
      <c r="G8" s="308">
        <v>0</v>
      </c>
    </row>
    <row r="9" spans="2:7" x14ac:dyDescent="0.35">
      <c r="B9" s="288"/>
      <c r="C9" s="307"/>
      <c r="D9" s="307"/>
      <c r="E9" s="307"/>
      <c r="F9" s="307"/>
      <c r="G9" s="308"/>
    </row>
    <row r="10" spans="2:7" x14ac:dyDescent="0.35">
      <c r="B10" s="309" t="s">
        <v>362</v>
      </c>
      <c r="G10" s="273"/>
    </row>
    <row r="11" spans="2:7" x14ac:dyDescent="0.35">
      <c r="B11" s="288" t="s">
        <v>363</v>
      </c>
      <c r="C11" s="307">
        <f>'Assumption Sheet'!C53*'Revenue Build-Up Projected'!D$9/365</f>
        <v>2730.2815040874534</v>
      </c>
      <c r="D11" s="307">
        <f>'Assumption Sheet'!D53*'Revenue Build-Up Projected'!E$9/365</f>
        <v>3139.8237297005708</v>
      </c>
      <c r="E11" s="307">
        <f>'Assumption Sheet'!E53*'Revenue Build-Up Projected'!F$9/365</f>
        <v>3610.7972891556565</v>
      </c>
      <c r="F11" s="307">
        <f>'Assumption Sheet'!F53*'Revenue Build-Up Projected'!G$9/365</f>
        <v>4152.4168825290035</v>
      </c>
      <c r="G11" s="308">
        <f>'Assumption Sheet'!G53*'Revenue Build-Up Projected'!H$9/365</f>
        <v>4775.2794149083547</v>
      </c>
    </row>
    <row r="12" spans="2:7" x14ac:dyDescent="0.35">
      <c r="B12" s="288"/>
      <c r="C12" s="307"/>
      <c r="D12" s="307"/>
      <c r="E12" s="307"/>
      <c r="F12" s="307"/>
      <c r="G12" s="308"/>
    </row>
    <row r="13" spans="2:7" x14ac:dyDescent="0.35">
      <c r="B13" s="310" t="s">
        <v>364</v>
      </c>
      <c r="C13" s="311">
        <f>SUM(C6,C8,C11)</f>
        <v>14500.317129087454</v>
      </c>
      <c r="D13" s="311">
        <f t="shared" ref="D13:G13" si="1">SUM(D6,D8,D11)</f>
        <v>18823.971560950569</v>
      </c>
      <c r="E13" s="311">
        <f t="shared" si="1"/>
        <v>24043.784356968154</v>
      </c>
      <c r="F13" s="311">
        <f t="shared" si="1"/>
        <v>30306.559781732121</v>
      </c>
      <c r="G13" s="312">
        <f t="shared" si="1"/>
        <v>37781.741765021623</v>
      </c>
    </row>
    <row r="14" spans="2:7" x14ac:dyDescent="0.35">
      <c r="B14" s="303" t="s">
        <v>365</v>
      </c>
      <c r="C14" s="307"/>
      <c r="D14" s="307"/>
      <c r="E14" s="307"/>
      <c r="F14" s="307"/>
      <c r="G14" s="308"/>
    </row>
    <row r="15" spans="2:7" x14ac:dyDescent="0.35">
      <c r="B15" s="288" t="s">
        <v>366</v>
      </c>
      <c r="C15" s="307">
        <f>'Assumption Sheet'!C61</f>
        <v>1929.4124999999999</v>
      </c>
      <c r="D15" s="307">
        <f>'Assumption Sheet'!D61</f>
        <v>2218.8243749999997</v>
      </c>
      <c r="E15" s="307">
        <f>'Assumption Sheet'!E61</f>
        <v>2551.6480312499993</v>
      </c>
      <c r="F15" s="307">
        <f>'Assumption Sheet'!F61</f>
        <v>2934.3952359374989</v>
      </c>
      <c r="G15" s="308">
        <f>'Assumption Sheet'!G61</f>
        <v>3374.5545213281234</v>
      </c>
    </row>
    <row r="16" spans="2:7" x14ac:dyDescent="0.35">
      <c r="B16" s="288" t="s">
        <v>414</v>
      </c>
      <c r="C16" s="307">
        <v>6577.67</v>
      </c>
      <c r="D16" s="307">
        <f>C16+1000</f>
        <v>7577.67</v>
      </c>
      <c r="E16" s="307">
        <f>D16+2000</f>
        <v>9577.67</v>
      </c>
      <c r="F16" s="307">
        <f>E16+2000</f>
        <v>11577.67</v>
      </c>
      <c r="G16" s="308">
        <f>F16+2000</f>
        <v>13577.67</v>
      </c>
    </row>
    <row r="17" spans="2:7" x14ac:dyDescent="0.35">
      <c r="B17" s="288" t="s">
        <v>417</v>
      </c>
      <c r="C17" s="307">
        <v>1823.51</v>
      </c>
      <c r="D17" s="307">
        <v>3070.69</v>
      </c>
      <c r="E17" s="307">
        <v>4587.4799999999996</v>
      </c>
      <c r="F17" s="307">
        <v>6418.46</v>
      </c>
      <c r="G17" s="308">
        <v>8615.08</v>
      </c>
    </row>
    <row r="18" spans="2:7" x14ac:dyDescent="0.35">
      <c r="B18" s="309" t="s">
        <v>364</v>
      </c>
      <c r="C18" s="307">
        <f>SUM(C15:C17)</f>
        <v>10330.592500000001</v>
      </c>
      <c r="D18" s="307">
        <f t="shared" ref="D18:G18" si="2">SUM(D15:D17)</f>
        <v>12867.184375000001</v>
      </c>
      <c r="E18" s="307">
        <f t="shared" si="2"/>
        <v>16716.79803125</v>
      </c>
      <c r="F18" s="307">
        <f t="shared" si="2"/>
        <v>20930.525235937497</v>
      </c>
      <c r="G18" s="308">
        <f t="shared" si="2"/>
        <v>25567.304521328122</v>
      </c>
    </row>
    <row r="19" spans="2:7" x14ac:dyDescent="0.35">
      <c r="B19" s="288"/>
      <c r="C19" s="307"/>
      <c r="D19" s="307"/>
      <c r="E19" s="307"/>
      <c r="F19" s="307"/>
      <c r="G19" s="308"/>
    </row>
    <row r="20" spans="2:7" x14ac:dyDescent="0.35">
      <c r="B20" s="309" t="s">
        <v>367</v>
      </c>
      <c r="C20" s="307"/>
      <c r="D20" s="307"/>
      <c r="E20" s="307"/>
      <c r="F20" s="307"/>
      <c r="G20" s="308"/>
    </row>
    <row r="21" spans="2:7" x14ac:dyDescent="0.35">
      <c r="B21" s="288" t="s">
        <v>368</v>
      </c>
      <c r="C21" s="307">
        <f>'Assumption Sheet'!C51*'Revenue Build-Up Projected'!D$9/365</f>
        <v>849.65935353267423</v>
      </c>
      <c r="D21" s="307">
        <f>'Assumption Sheet'!D51*'Revenue Build-Up Projected'!E$9/365</f>
        <v>977.10825656257521</v>
      </c>
      <c r="E21" s="307">
        <f>'Assumption Sheet'!E51*'Revenue Build-Up Projected'!F$9/365</f>
        <v>1123.6744950469613</v>
      </c>
      <c r="F21" s="307">
        <f>'Assumption Sheet'!F51*'Revenue Build-Up Projected'!G$9/365</f>
        <v>1292.2256693040054</v>
      </c>
      <c r="G21" s="308">
        <f>'Assumption Sheet'!G51*'Revenue Build-Up Projected'!H$9/365</f>
        <v>1486.059519699606</v>
      </c>
    </row>
    <row r="22" spans="2:7" x14ac:dyDescent="0.35">
      <c r="B22" s="288" t="s">
        <v>415</v>
      </c>
      <c r="C22" s="307">
        <f>'Assumption Sheet'!C52*'Revenue Build-Up Projected'!D$9/365</f>
        <v>383.49157162058657</v>
      </c>
      <c r="D22" s="307">
        <f>'Assumption Sheet'!D52*'Revenue Build-Up Projected'!E$9/365</f>
        <v>441.01530736367448</v>
      </c>
      <c r="E22" s="307">
        <f>'Assumption Sheet'!E52*'Revenue Build-Up Projected'!F$9/365</f>
        <v>507.16760346822559</v>
      </c>
      <c r="F22" s="307">
        <f>'Assumption Sheet'!F52*'Revenue Build-Up Projected'!G$9/365</f>
        <v>583.24274398845932</v>
      </c>
      <c r="G22" s="308">
        <f>'Assumption Sheet'!G52*'Revenue Build-Up Projected'!H$9/365</f>
        <v>670.72915558672821</v>
      </c>
    </row>
    <row r="23" spans="2:7" x14ac:dyDescent="0.35">
      <c r="B23" s="288" t="s">
        <v>369</v>
      </c>
      <c r="C23" s="307">
        <f>'Projected Cashflow'!C34</f>
        <v>2936.5734005547788</v>
      </c>
      <c r="D23" s="307">
        <f>'Projected Cashflow'!D34</f>
        <v>4538.6629856379932</v>
      </c>
      <c r="E23" s="307">
        <f>'Projected Cashflow'!E34</f>
        <v>5696.1394747336917</v>
      </c>
      <c r="F23" s="307">
        <f>'Projected Cashflow'!F34</f>
        <v>7500.5645767562428</v>
      </c>
      <c r="G23" s="308">
        <f>'Projected Cashflow'!G34</f>
        <v>10057.646940622803</v>
      </c>
    </row>
    <row r="24" spans="2:7" x14ac:dyDescent="0.35">
      <c r="B24" s="288" t="s">
        <v>364</v>
      </c>
      <c r="C24" s="307">
        <f>SUM(C21:C23)</f>
        <v>4169.724325708039</v>
      </c>
      <c r="D24" s="307">
        <f t="shared" ref="D24:G24" si="3">SUM(D21:D23)</f>
        <v>5956.7865495642427</v>
      </c>
      <c r="E24" s="307">
        <f t="shared" si="3"/>
        <v>7326.9815732488787</v>
      </c>
      <c r="F24" s="307">
        <f t="shared" si="3"/>
        <v>9376.0329900487068</v>
      </c>
      <c r="G24" s="308">
        <f t="shared" si="3"/>
        <v>12214.435615909137</v>
      </c>
    </row>
    <row r="25" spans="2:7" x14ac:dyDescent="0.35">
      <c r="B25" s="288"/>
      <c r="C25" s="307"/>
      <c r="D25" s="307"/>
      <c r="E25" s="307"/>
      <c r="F25" s="307"/>
      <c r="G25" s="308"/>
    </row>
    <row r="26" spans="2:7" x14ac:dyDescent="0.35">
      <c r="B26" s="310" t="s">
        <v>364</v>
      </c>
      <c r="C26" s="311">
        <f>C18+C24</f>
        <v>14500.31682570804</v>
      </c>
      <c r="D26" s="311">
        <f t="shared" ref="D26:G26" si="4">D18+D24</f>
        <v>18823.970924564244</v>
      </c>
      <c r="E26" s="311">
        <f t="shared" si="4"/>
        <v>24043.779604498879</v>
      </c>
      <c r="F26" s="311">
        <f t="shared" si="4"/>
        <v>30306.558225986206</v>
      </c>
      <c r="G26" s="312">
        <f t="shared" si="4"/>
        <v>37781.740137237255</v>
      </c>
    </row>
    <row r="27" spans="2:7" x14ac:dyDescent="0.35">
      <c r="B27" s="288"/>
      <c r="C27" s="307"/>
      <c r="D27" s="307"/>
      <c r="E27" s="307"/>
      <c r="F27" s="307"/>
      <c r="G27" s="308"/>
    </row>
    <row r="28" spans="2:7" x14ac:dyDescent="0.35">
      <c r="B28" s="313" t="s">
        <v>370</v>
      </c>
      <c r="C28" s="314">
        <f>C26-C13</f>
        <v>-3.0337941461766604E-4</v>
      </c>
      <c r="D28" s="314">
        <f t="shared" ref="D28:G28" si="5">D26-D13</f>
        <v>-6.363863249134738E-4</v>
      </c>
      <c r="E28" s="314">
        <f t="shared" si="5"/>
        <v>-4.7524692745355424E-3</v>
      </c>
      <c r="F28" s="314">
        <f t="shared" si="5"/>
        <v>-1.5557459155388642E-3</v>
      </c>
      <c r="G28" s="315">
        <f t="shared" si="5"/>
        <v>-1.6277843678835779E-3</v>
      </c>
    </row>
    <row r="29" spans="2:7" x14ac:dyDescent="0.35">
      <c r="B29" s="288"/>
      <c r="C29" s="316"/>
      <c r="D29" s="316"/>
      <c r="E29" s="316"/>
      <c r="F29" s="316"/>
      <c r="G29" s="317"/>
    </row>
    <row r="30" spans="2:7" x14ac:dyDescent="0.35">
      <c r="B30" s="318" t="s">
        <v>371</v>
      </c>
      <c r="C30" s="301" t="s">
        <v>352</v>
      </c>
      <c r="D30" s="301" t="s">
        <v>353</v>
      </c>
      <c r="E30" s="301" t="s">
        <v>354</v>
      </c>
      <c r="F30" s="301" t="s">
        <v>355</v>
      </c>
      <c r="G30" s="302" t="s">
        <v>356</v>
      </c>
    </row>
    <row r="31" spans="2:7" x14ac:dyDescent="0.35">
      <c r="B31" s="290"/>
      <c r="G31" s="273"/>
    </row>
    <row r="32" spans="2:7" x14ac:dyDescent="0.35">
      <c r="B32" s="290" t="s">
        <v>435</v>
      </c>
      <c r="C32" s="319">
        <f>(C22+C21)-C11</f>
        <v>-1497.1305789341927</v>
      </c>
      <c r="D32" s="319">
        <f t="shared" ref="D32:G32" si="6">(D22+D21)-D11</f>
        <v>-1721.700165774321</v>
      </c>
      <c r="E32" s="319">
        <f t="shared" si="6"/>
        <v>-1979.9551906404695</v>
      </c>
      <c r="F32" s="319">
        <f t="shared" si="6"/>
        <v>-2276.9484692365386</v>
      </c>
      <c r="G32" s="320">
        <f t="shared" si="6"/>
        <v>-2618.4907396220206</v>
      </c>
    </row>
    <row r="33" spans="2:7" x14ac:dyDescent="0.35">
      <c r="B33" s="178" t="s">
        <v>436</v>
      </c>
      <c r="C33" s="321">
        <f>C32-'HISTORICAL BS'!C64</f>
        <v>-38.250578934192617</v>
      </c>
      <c r="D33" s="322">
        <f>D32-C32</f>
        <v>-224.5695868401283</v>
      </c>
      <c r="E33" s="322">
        <f t="shared" ref="E33:G33" si="7">E32-D32</f>
        <v>-258.25502486614846</v>
      </c>
      <c r="F33" s="322">
        <f t="shared" si="7"/>
        <v>-296.9932785960691</v>
      </c>
      <c r="G33" s="323">
        <f t="shared" si="7"/>
        <v>-341.54227038548197</v>
      </c>
    </row>
    <row r="35" spans="2:7" x14ac:dyDescent="0.35">
      <c r="C35" s="324"/>
      <c r="D35" s="324"/>
      <c r="E35" s="324"/>
      <c r="F35" s="324"/>
      <c r="G35" s="3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19364-0791-4BE4-A8DA-1356312978F0}">
  <dimension ref="B1:G34"/>
  <sheetViews>
    <sheetView workbookViewId="0">
      <selection activeCell="F4" sqref="F4"/>
    </sheetView>
  </sheetViews>
  <sheetFormatPr defaultRowHeight="15.5" x14ac:dyDescent="0.35"/>
  <cols>
    <col min="1" max="1" width="8.7265625" style="89"/>
    <col min="2" max="2" width="47.7265625" style="89" bestFit="1" customWidth="1"/>
    <col min="3" max="16384" width="8.7265625" style="89"/>
  </cols>
  <sheetData>
    <row r="1" spans="2:7" ht="16" thickBot="1" x14ac:dyDescent="0.4"/>
    <row r="2" spans="2:7" x14ac:dyDescent="0.35">
      <c r="B2" s="325" t="s">
        <v>375</v>
      </c>
      <c r="C2" s="326">
        <v>2023</v>
      </c>
      <c r="D2" s="326">
        <v>2024</v>
      </c>
      <c r="E2" s="326">
        <v>2025</v>
      </c>
      <c r="F2" s="326">
        <v>2026</v>
      </c>
      <c r="G2" s="327">
        <v>2027</v>
      </c>
    </row>
    <row r="3" spans="2:7" x14ac:dyDescent="0.35">
      <c r="B3" s="328" t="s">
        <v>376</v>
      </c>
      <c r="C3" s="329"/>
      <c r="D3" s="329"/>
      <c r="E3" s="329"/>
      <c r="F3" s="298"/>
      <c r="G3" s="330"/>
    </row>
    <row r="4" spans="2:7" x14ac:dyDescent="0.35">
      <c r="B4" s="331" t="s">
        <v>377</v>
      </c>
      <c r="C4" s="332">
        <f>'Projected P&amp;L'!C20</f>
        <v>3198.5156249999991</v>
      </c>
      <c r="D4" s="332">
        <f>'Projected P&amp;L'!D20</f>
        <v>3914.1122062499981</v>
      </c>
      <c r="E4" s="332">
        <f>'Projected P&amp;L'!E20</f>
        <v>4748.8392365624977</v>
      </c>
      <c r="F4" s="332">
        <f>'Projected P&amp;L'!F20</f>
        <v>5721.1558313906207</v>
      </c>
      <c r="G4" s="333">
        <f>'Projected P&amp;L'!G20</f>
        <v>6852.3194509101504</v>
      </c>
    </row>
    <row r="5" spans="2:7" x14ac:dyDescent="0.35">
      <c r="B5" s="331" t="s">
        <v>378</v>
      </c>
      <c r="C5" s="332"/>
      <c r="D5" s="332"/>
      <c r="E5" s="332"/>
      <c r="F5" s="252"/>
      <c r="G5" s="334"/>
    </row>
    <row r="6" spans="2:7" x14ac:dyDescent="0.35">
      <c r="B6" s="331" t="s">
        <v>379</v>
      </c>
      <c r="C6" s="332">
        <f>'Projected P&amp;L'!C15</f>
        <v>308.70600000000002</v>
      </c>
      <c r="D6" s="332">
        <f>'Projected P&amp;L'!D15</f>
        <v>355.01189999999997</v>
      </c>
      <c r="E6" s="332">
        <f>'Projected P&amp;L'!E15</f>
        <v>408.2636849999999</v>
      </c>
      <c r="F6" s="332">
        <f>'Projected P&amp;L'!F15</f>
        <v>469.50323774999981</v>
      </c>
      <c r="G6" s="333">
        <f>'Projected P&amp;L'!G15</f>
        <v>539.92872341249972</v>
      </c>
    </row>
    <row r="7" spans="2:7" x14ac:dyDescent="0.35">
      <c r="B7" s="331"/>
      <c r="C7" s="332"/>
      <c r="D7" s="332"/>
      <c r="E7" s="332"/>
      <c r="F7" s="332"/>
      <c r="G7" s="333"/>
    </row>
    <row r="8" spans="2:7" x14ac:dyDescent="0.35">
      <c r="B8" s="112" t="s">
        <v>380</v>
      </c>
      <c r="C8" s="332">
        <f>C4+C6</f>
        <v>3507.2216249999992</v>
      </c>
      <c r="D8" s="332">
        <f t="shared" ref="D8:G8" si="0">D4+D6</f>
        <v>4269.1241062499976</v>
      </c>
      <c r="E8" s="332">
        <f t="shared" si="0"/>
        <v>5157.1029215624976</v>
      </c>
      <c r="F8" s="332">
        <f t="shared" si="0"/>
        <v>6190.6590691406209</v>
      </c>
      <c r="G8" s="333">
        <f t="shared" si="0"/>
        <v>7392.2481743226499</v>
      </c>
    </row>
    <row r="9" spans="2:7" x14ac:dyDescent="0.35">
      <c r="B9" s="112"/>
      <c r="C9" s="332"/>
      <c r="D9" s="332"/>
      <c r="E9" s="332"/>
      <c r="F9" s="332"/>
      <c r="G9" s="333"/>
    </row>
    <row r="10" spans="2:7" x14ac:dyDescent="0.35">
      <c r="B10" s="331" t="s">
        <v>394</v>
      </c>
      <c r="C10" s="332">
        <f>'Projected BS'!C21-'HISTORICAL BS'!D30</f>
        <v>110.84935353267429</v>
      </c>
      <c r="D10" s="332">
        <f>'Projected BS'!D21-'Projected BS'!C21</f>
        <v>127.44890302990098</v>
      </c>
      <c r="E10" s="332">
        <f>'Projected BS'!E21-'Projected BS'!D21</f>
        <v>146.56623848438608</v>
      </c>
      <c r="F10" s="332">
        <f>'Projected BS'!F21-'Projected BS'!E21</f>
        <v>168.55117425704407</v>
      </c>
      <c r="G10" s="333">
        <f>'Projected BS'!G21-'Projected BS'!F21</f>
        <v>193.83385039560062</v>
      </c>
    </row>
    <row r="11" spans="2:7" x14ac:dyDescent="0.35">
      <c r="B11" s="331" t="s">
        <v>395</v>
      </c>
      <c r="C11" s="332">
        <v>0</v>
      </c>
      <c r="D11" s="332">
        <v>0</v>
      </c>
      <c r="E11" s="332">
        <v>0</v>
      </c>
      <c r="F11" s="332">
        <v>0</v>
      </c>
      <c r="G11" s="333">
        <v>0</v>
      </c>
    </row>
    <row r="12" spans="2:7" x14ac:dyDescent="0.35">
      <c r="B12" s="331" t="s">
        <v>396</v>
      </c>
      <c r="C12" s="332">
        <v>0</v>
      </c>
      <c r="D12" s="332">
        <v>0</v>
      </c>
      <c r="E12" s="332">
        <v>0</v>
      </c>
      <c r="F12" s="332">
        <v>0</v>
      </c>
      <c r="G12" s="333">
        <v>0</v>
      </c>
    </row>
    <row r="13" spans="2:7" x14ac:dyDescent="0.35">
      <c r="B13" s="331"/>
      <c r="C13" s="332"/>
      <c r="D13" s="332"/>
      <c r="E13" s="332"/>
      <c r="F13" s="252"/>
      <c r="G13" s="334"/>
    </row>
    <row r="14" spans="2:7" x14ac:dyDescent="0.35">
      <c r="B14" s="331" t="s">
        <v>397</v>
      </c>
      <c r="C14" s="332">
        <f>'Projected BS'!C11-'HISTORICAL BS'!D14</f>
        <v>356.20150408745349</v>
      </c>
      <c r="D14" s="332">
        <f>'Projected BS'!D11-'Projected BS'!C11</f>
        <v>409.54222561311735</v>
      </c>
      <c r="E14" s="332">
        <f>'Projected BS'!E11-'Projected BS'!D11</f>
        <v>470.97355945508571</v>
      </c>
      <c r="F14" s="332">
        <f>'Projected BS'!F11-'Projected BS'!E11</f>
        <v>541.61959337334702</v>
      </c>
      <c r="G14" s="333">
        <f>'Projected BS'!G11-'Projected BS'!F11</f>
        <v>622.86253237935125</v>
      </c>
    </row>
    <row r="15" spans="2:7" x14ac:dyDescent="0.35">
      <c r="B15" s="331" t="s">
        <v>398</v>
      </c>
      <c r="C15" s="332">
        <v>0</v>
      </c>
      <c r="D15" s="332">
        <v>0</v>
      </c>
      <c r="E15" s="332">
        <v>0</v>
      </c>
      <c r="F15" s="332">
        <v>0</v>
      </c>
      <c r="G15" s="333">
        <v>0</v>
      </c>
    </row>
    <row r="16" spans="2:7" x14ac:dyDescent="0.35">
      <c r="B16" s="335" t="s">
        <v>381</v>
      </c>
      <c r="C16" s="336">
        <f>C8-SUM(C10:C12)+SUM(C14:C15)</f>
        <v>3752.5737755547784</v>
      </c>
      <c r="D16" s="336">
        <f t="shared" ref="D16:G16" si="1">D8-SUM(D10:D12)+SUM(D14:D15)</f>
        <v>4551.2174288332135</v>
      </c>
      <c r="E16" s="336">
        <f t="shared" si="1"/>
        <v>5481.510242533197</v>
      </c>
      <c r="F16" s="336">
        <f t="shared" si="1"/>
        <v>6563.7274882569236</v>
      </c>
      <c r="G16" s="337">
        <f t="shared" si="1"/>
        <v>7821.2768563064001</v>
      </c>
    </row>
    <row r="17" spans="2:7" x14ac:dyDescent="0.35">
      <c r="B17" s="331" t="s">
        <v>382</v>
      </c>
      <c r="C17" s="332">
        <f>'Projected P&amp;L'!C19</f>
        <v>1066.1718749999998</v>
      </c>
      <c r="D17" s="332">
        <f>'Projected P&amp;L'!D19</f>
        <v>1304.7040687499994</v>
      </c>
      <c r="E17" s="332">
        <f>'Projected P&amp;L'!E19</f>
        <v>1582.9464121874992</v>
      </c>
      <c r="F17" s="332">
        <f>'Projected P&amp;L'!F19</f>
        <v>1907.0519437968735</v>
      </c>
      <c r="G17" s="333">
        <f>'Projected P&amp;L'!G19</f>
        <v>2284.1064836367168</v>
      </c>
    </row>
    <row r="18" spans="2:7" x14ac:dyDescent="0.35">
      <c r="B18" s="338" t="s">
        <v>383</v>
      </c>
      <c r="C18" s="339">
        <f>C16-C17</f>
        <v>2686.4019005547789</v>
      </c>
      <c r="D18" s="339">
        <f t="shared" ref="D18:G18" si="2">D16-D17</f>
        <v>3246.5133600832141</v>
      </c>
      <c r="E18" s="339">
        <f t="shared" si="2"/>
        <v>3898.5638303456981</v>
      </c>
      <c r="F18" s="339">
        <f t="shared" si="2"/>
        <v>4656.6755444600503</v>
      </c>
      <c r="G18" s="340">
        <f t="shared" si="2"/>
        <v>5537.1703726696833</v>
      </c>
    </row>
    <row r="19" spans="2:7" x14ac:dyDescent="0.35">
      <c r="B19" s="331"/>
      <c r="C19" s="332"/>
      <c r="D19" s="332"/>
      <c r="E19" s="332"/>
      <c r="F19" s="252"/>
      <c r="G19" s="334"/>
    </row>
    <row r="20" spans="2:7" x14ac:dyDescent="0.35">
      <c r="B20" s="341" t="s">
        <v>384</v>
      </c>
      <c r="C20" s="332"/>
      <c r="D20" s="332"/>
      <c r="E20" s="332"/>
      <c r="F20" s="252"/>
      <c r="G20" s="334"/>
    </row>
    <row r="21" spans="2:7" x14ac:dyDescent="0.35">
      <c r="B21" s="331" t="s">
        <v>385</v>
      </c>
      <c r="C21" s="332">
        <f>'Assumption Sheet'!C59</f>
        <v>264.49850000000015</v>
      </c>
      <c r="D21" s="332">
        <f>'Assumption Sheet'!D59</f>
        <v>644.42377499999975</v>
      </c>
      <c r="E21" s="332">
        <f>'Assumption Sheet'!E59</f>
        <v>741.08734124999955</v>
      </c>
      <c r="F21" s="332">
        <f>'Assumption Sheet'!F59</f>
        <v>852.25044243749926</v>
      </c>
      <c r="G21" s="333">
        <f>'Assumption Sheet'!G59</f>
        <v>980.08800880312447</v>
      </c>
    </row>
    <row r="22" spans="2:7" x14ac:dyDescent="0.35">
      <c r="B22" s="331" t="s">
        <v>416</v>
      </c>
      <c r="C22" s="332">
        <f>'Projected BS'!C16-'HISTORICAL BS'!D27</f>
        <v>0</v>
      </c>
      <c r="D22" s="332">
        <f>'Projected BS'!D16-'Projected BS'!C16</f>
        <v>1000</v>
      </c>
      <c r="E22" s="332">
        <f>'Projected BS'!E16-'Projected BS'!D16</f>
        <v>2000</v>
      </c>
      <c r="F22" s="332">
        <f>'Projected BS'!F16-'Projected BS'!E16</f>
        <v>2000</v>
      </c>
      <c r="G22" s="332">
        <f>'Projected BS'!G16-'Projected BS'!F16</f>
        <v>2000</v>
      </c>
    </row>
    <row r="23" spans="2:7" x14ac:dyDescent="0.35">
      <c r="B23" s="338" t="s">
        <v>386</v>
      </c>
      <c r="C23" s="339">
        <f>-C21-C22</f>
        <v>-264.49850000000015</v>
      </c>
      <c r="D23" s="339">
        <f t="shared" ref="D23:G23" si="3">-D21-D22</f>
        <v>-1644.4237749999998</v>
      </c>
      <c r="E23" s="339">
        <f t="shared" si="3"/>
        <v>-2741.0873412499996</v>
      </c>
      <c r="F23" s="339">
        <f t="shared" si="3"/>
        <v>-2852.2504424374993</v>
      </c>
      <c r="G23" s="339">
        <f t="shared" si="3"/>
        <v>-2980.0880088031245</v>
      </c>
    </row>
    <row r="24" spans="2:7" x14ac:dyDescent="0.35">
      <c r="B24" s="331"/>
      <c r="C24" s="332"/>
      <c r="D24" s="332"/>
      <c r="E24" s="332"/>
      <c r="F24" s="252"/>
      <c r="G24" s="334"/>
    </row>
    <row r="25" spans="2:7" x14ac:dyDescent="0.35">
      <c r="B25" s="341" t="s">
        <v>387</v>
      </c>
      <c r="C25" s="332"/>
      <c r="D25" s="332"/>
      <c r="E25" s="332"/>
      <c r="F25" s="252"/>
      <c r="G25" s="334"/>
    </row>
    <row r="26" spans="2:7" x14ac:dyDescent="0.35">
      <c r="B26" s="331" t="s">
        <v>388</v>
      </c>
      <c r="C26" s="332">
        <v>0</v>
      </c>
      <c r="D26" s="332">
        <v>0</v>
      </c>
      <c r="E26" s="332">
        <v>0</v>
      </c>
      <c r="F26" s="332">
        <v>0</v>
      </c>
      <c r="G26" s="333">
        <v>0</v>
      </c>
    </row>
    <row r="27" spans="2:7" x14ac:dyDescent="0.35">
      <c r="B27" s="331" t="s">
        <v>389</v>
      </c>
      <c r="C27" s="332">
        <v>0</v>
      </c>
      <c r="D27" s="332">
        <v>0</v>
      </c>
      <c r="E27" s="332">
        <v>0</v>
      </c>
      <c r="F27" s="332">
        <v>0</v>
      </c>
      <c r="G27" s="333">
        <v>0</v>
      </c>
    </row>
    <row r="28" spans="2:7" x14ac:dyDescent="0.35">
      <c r="B28" s="338" t="s">
        <v>390</v>
      </c>
      <c r="C28" s="342">
        <f>SUM(C26:C27)</f>
        <v>0</v>
      </c>
      <c r="D28" s="342">
        <f t="shared" ref="D28:G28" si="4">SUM(D26:D27)</f>
        <v>0</v>
      </c>
      <c r="E28" s="342">
        <f t="shared" si="4"/>
        <v>0</v>
      </c>
      <c r="F28" s="342">
        <f t="shared" si="4"/>
        <v>0</v>
      </c>
      <c r="G28" s="343">
        <f t="shared" si="4"/>
        <v>0</v>
      </c>
    </row>
    <row r="29" spans="2:7" x14ac:dyDescent="0.35">
      <c r="B29" s="331"/>
      <c r="C29" s="332"/>
      <c r="D29" s="332"/>
      <c r="E29" s="332"/>
      <c r="F29" s="252"/>
      <c r="G29" s="334"/>
    </row>
    <row r="30" spans="2:7" x14ac:dyDescent="0.35">
      <c r="B30" s="112" t="s">
        <v>391</v>
      </c>
      <c r="C30" s="332">
        <f>C18+C23+C28</f>
        <v>2421.9034005547787</v>
      </c>
      <c r="D30" s="332">
        <f>D18+D23+D28</f>
        <v>1602.0895850832144</v>
      </c>
      <c r="E30" s="332">
        <f>E18+E23+E28</f>
        <v>1157.4764890956985</v>
      </c>
      <c r="F30" s="332">
        <f>F18+F23+F28</f>
        <v>1804.4251020225511</v>
      </c>
      <c r="G30" s="333">
        <f>G18+G23+G28</f>
        <v>2557.0823638665588</v>
      </c>
    </row>
    <row r="31" spans="2:7" x14ac:dyDescent="0.35">
      <c r="B31" s="331"/>
      <c r="C31" s="332"/>
      <c r="D31" s="332"/>
      <c r="E31" s="332"/>
      <c r="F31" s="252"/>
      <c r="G31" s="334"/>
    </row>
    <row r="32" spans="2:7" x14ac:dyDescent="0.35">
      <c r="B32" s="331" t="s">
        <v>392</v>
      </c>
      <c r="C32" s="332">
        <f>'HISTORICAL BS'!D31</f>
        <v>514.66999999999996</v>
      </c>
      <c r="D32" s="332">
        <f>C34</f>
        <v>2936.5734005547788</v>
      </c>
      <c r="E32" s="332">
        <f t="shared" ref="E32:G32" si="5">D34</f>
        <v>4538.6629856379932</v>
      </c>
      <c r="F32" s="332">
        <f t="shared" si="5"/>
        <v>5696.1394747336917</v>
      </c>
      <c r="G32" s="333">
        <f t="shared" si="5"/>
        <v>7500.5645767562428</v>
      </c>
    </row>
    <row r="33" spans="2:7" x14ac:dyDescent="0.35">
      <c r="B33" s="344"/>
      <c r="C33" s="345"/>
      <c r="D33" s="345"/>
      <c r="E33" s="345"/>
      <c r="F33" s="346"/>
      <c r="G33" s="347"/>
    </row>
    <row r="34" spans="2:7" ht="16" thickBot="1" x14ac:dyDescent="0.4">
      <c r="B34" s="348" t="s">
        <v>393</v>
      </c>
      <c r="C34" s="349">
        <f>C32+C30</f>
        <v>2936.5734005547788</v>
      </c>
      <c r="D34" s="349">
        <f t="shared" ref="D34:G34" si="6">D32+D30</f>
        <v>4538.6629856379932</v>
      </c>
      <c r="E34" s="349">
        <f t="shared" si="6"/>
        <v>5696.1394747336917</v>
      </c>
      <c r="F34" s="349">
        <f t="shared" si="6"/>
        <v>7500.5645767562428</v>
      </c>
      <c r="G34" s="350">
        <f t="shared" si="6"/>
        <v>10057.646940622803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638C7-43D9-42F8-B671-84AEB6A48940}">
  <dimension ref="B3:L27"/>
  <sheetViews>
    <sheetView workbookViewId="0">
      <selection activeCell="H9" sqref="H9"/>
    </sheetView>
  </sheetViews>
  <sheetFormatPr defaultRowHeight="15.5" x14ac:dyDescent="0.35"/>
  <cols>
    <col min="1" max="1" width="8.7265625" style="89"/>
    <col min="2" max="2" width="37.6328125" style="89" customWidth="1"/>
    <col min="3" max="3" width="10.90625" style="89" customWidth="1"/>
    <col min="4" max="4" width="12.1796875" style="89" customWidth="1"/>
    <col min="5" max="5" width="11.08984375" style="89" customWidth="1"/>
    <col min="6" max="6" width="10.90625" style="89" customWidth="1"/>
    <col min="7" max="8" width="12.81640625" style="89" customWidth="1"/>
    <col min="9" max="9" width="8.7265625" style="89"/>
    <col min="10" max="10" width="25" style="89" customWidth="1"/>
    <col min="11" max="12" width="8.7265625" style="89"/>
    <col min="13" max="13" width="16" style="89" customWidth="1"/>
    <col min="14" max="16384" width="8.7265625" style="89"/>
  </cols>
  <sheetData>
    <row r="3" spans="2:12" x14ac:dyDescent="0.35">
      <c r="B3" s="351" t="s">
        <v>418</v>
      </c>
      <c r="C3" s="352"/>
      <c r="D3" s="353">
        <v>1</v>
      </c>
      <c r="E3" s="227">
        <v>2</v>
      </c>
      <c r="F3" s="227">
        <v>3</v>
      </c>
      <c r="G3" s="227">
        <v>4</v>
      </c>
      <c r="H3" s="258">
        <v>5</v>
      </c>
    </row>
    <row r="4" spans="2:12" x14ac:dyDescent="0.35">
      <c r="B4" s="120" t="s">
        <v>317</v>
      </c>
      <c r="C4" s="178"/>
      <c r="D4" s="354">
        <v>2023</v>
      </c>
      <c r="E4" s="354">
        <v>2024</v>
      </c>
      <c r="F4" s="354">
        <v>2025</v>
      </c>
      <c r="G4" s="354">
        <v>2026</v>
      </c>
      <c r="H4" s="355">
        <v>2027</v>
      </c>
    </row>
    <row r="5" spans="2:12" x14ac:dyDescent="0.35">
      <c r="B5" s="356" t="s">
        <v>419</v>
      </c>
      <c r="D5" s="357">
        <f>'Projected P&amp;L'!C16</f>
        <v>4264.6874999999991</v>
      </c>
      <c r="E5" s="357">
        <f>'[2]Projected P&amp;L'!D16</f>
        <v>5975.817074999999</v>
      </c>
      <c r="F5" s="357">
        <f>'[2]Projected P&amp;L'!E16</f>
        <v>7666.2008887499996</v>
      </c>
      <c r="G5" s="357">
        <f>'[2]Projected P&amp;L'!F16</f>
        <v>9719.4224851874988</v>
      </c>
      <c r="H5" s="357">
        <f>'Projected P&amp;L'!G16</f>
        <v>9136.4259345468672</v>
      </c>
    </row>
    <row r="6" spans="2:12" x14ac:dyDescent="0.35">
      <c r="B6" s="356" t="s">
        <v>420</v>
      </c>
      <c r="C6" s="253">
        <v>0.25</v>
      </c>
      <c r="D6" s="357">
        <f>D5*$C$6</f>
        <v>1066.1718749999998</v>
      </c>
      <c r="E6" s="357">
        <f t="shared" ref="E6:H6" si="0">E5*$C$6</f>
        <v>1493.9542687499998</v>
      </c>
      <c r="F6" s="357">
        <f t="shared" si="0"/>
        <v>1916.5502221874999</v>
      </c>
      <c r="G6" s="357">
        <f t="shared" si="0"/>
        <v>2429.8556212968747</v>
      </c>
      <c r="H6" s="357">
        <f t="shared" si="0"/>
        <v>2284.1064836367168</v>
      </c>
    </row>
    <row r="7" spans="2:12" x14ac:dyDescent="0.35">
      <c r="B7" s="356" t="s">
        <v>421</v>
      </c>
      <c r="D7" s="357">
        <f>D5-D6</f>
        <v>3198.5156249999991</v>
      </c>
      <c r="E7" s="357">
        <f t="shared" ref="E7:H7" si="1">E5-E6</f>
        <v>4481.8628062499993</v>
      </c>
      <c r="F7" s="357">
        <f t="shared" si="1"/>
        <v>5749.6506665625002</v>
      </c>
      <c r="G7" s="357">
        <f t="shared" si="1"/>
        <v>7289.5668638906245</v>
      </c>
      <c r="H7" s="357">
        <f t="shared" si="1"/>
        <v>6852.3194509101504</v>
      </c>
    </row>
    <row r="8" spans="2:12" x14ac:dyDescent="0.35">
      <c r="B8" s="356" t="s">
        <v>422</v>
      </c>
      <c r="D8" s="357">
        <f>'Projected P&amp;L'!C15</f>
        <v>308.70600000000002</v>
      </c>
      <c r="E8" s="357">
        <f>'Projected P&amp;L'!D15</f>
        <v>355.01189999999997</v>
      </c>
      <c r="F8" s="357">
        <f>'Projected P&amp;L'!E15</f>
        <v>408.2636849999999</v>
      </c>
      <c r="G8" s="357">
        <f>'Projected P&amp;L'!F15</f>
        <v>469.50323774999981</v>
      </c>
      <c r="H8" s="357">
        <f>'Projected P&amp;L'!G15</f>
        <v>539.92872341249972</v>
      </c>
    </row>
    <row r="9" spans="2:12" x14ac:dyDescent="0.35">
      <c r="B9" s="356" t="s">
        <v>423</v>
      </c>
      <c r="D9" s="358">
        <f>'Assumption Sheet'!C59</f>
        <v>264.49850000000015</v>
      </c>
      <c r="E9" s="358">
        <f>'Assumption Sheet'!D59</f>
        <v>644.42377499999975</v>
      </c>
      <c r="F9" s="358">
        <f>'Assumption Sheet'!E59</f>
        <v>741.08734124999955</v>
      </c>
      <c r="G9" s="358">
        <f>'Assumption Sheet'!F59</f>
        <v>852.25044243749926</v>
      </c>
      <c r="H9" s="358">
        <f>'Assumption Sheet'!G59</f>
        <v>980.08800880312447</v>
      </c>
    </row>
    <row r="10" spans="2:12" x14ac:dyDescent="0.35">
      <c r="B10" s="356" t="s">
        <v>424</v>
      </c>
      <c r="D10" s="292">
        <f>'Projected BS'!C33</f>
        <v>-38.250578934192617</v>
      </c>
      <c r="E10" s="292">
        <f>'Projected BS'!D33</f>
        <v>-224.5695868401283</v>
      </c>
      <c r="F10" s="292">
        <f>'Projected BS'!E33</f>
        <v>-258.25502486614846</v>
      </c>
      <c r="G10" s="292">
        <f>'Projected BS'!F33</f>
        <v>-296.9932785960691</v>
      </c>
      <c r="H10" s="292">
        <f>'Projected BS'!G33</f>
        <v>-341.54227038548197</v>
      </c>
    </row>
    <row r="11" spans="2:12" x14ac:dyDescent="0.35">
      <c r="B11" s="356" t="s">
        <v>425</v>
      </c>
      <c r="D11" s="356">
        <v>0</v>
      </c>
      <c r="E11" s="356">
        <v>0</v>
      </c>
      <c r="F11" s="356">
        <v>0</v>
      </c>
      <c r="G11" s="356">
        <v>0</v>
      </c>
      <c r="H11" s="356">
        <v>0</v>
      </c>
    </row>
    <row r="12" spans="2:12" x14ac:dyDescent="0.35">
      <c r="B12" s="356" t="s">
        <v>426</v>
      </c>
      <c r="D12" s="359">
        <f>D7+D8-D9-D10</f>
        <v>3280.9737039341917</v>
      </c>
      <c r="E12" s="359">
        <f t="shared" ref="E12:H12" si="2">E7+E8-E9-E10</f>
        <v>4417.0205180901276</v>
      </c>
      <c r="F12" s="359">
        <f t="shared" si="2"/>
        <v>5675.0820351786488</v>
      </c>
      <c r="G12" s="359">
        <f t="shared" si="2"/>
        <v>7203.8129377991945</v>
      </c>
      <c r="H12" s="359">
        <f t="shared" si="2"/>
        <v>6753.7024359050074</v>
      </c>
    </row>
    <row r="13" spans="2:12" x14ac:dyDescent="0.35">
      <c r="B13" s="356" t="s">
        <v>427</v>
      </c>
      <c r="C13" s="253"/>
      <c r="D13" s="356"/>
      <c r="E13" s="356"/>
      <c r="F13" s="356"/>
      <c r="G13" s="356"/>
      <c r="H13" s="320">
        <f>H12*(1+C24)/(C25-C24)</f>
        <v>118367.88421220795</v>
      </c>
      <c r="J13" s="360" t="s">
        <v>428</v>
      </c>
      <c r="K13" s="360"/>
      <c r="L13" s="360"/>
    </row>
    <row r="14" spans="2:12" x14ac:dyDescent="0.35">
      <c r="B14" s="356" t="s">
        <v>429</v>
      </c>
      <c r="C14" s="361">
        <f>C25</f>
        <v>0.1099097264</v>
      </c>
      <c r="D14" s="362">
        <f>1/(1+$C$14)^D3</f>
        <v>0.9009741749389899</v>
      </c>
      <c r="E14" s="362">
        <f t="shared" ref="E14:H14" si="3">1/(1+$C$14)^E3</f>
        <v>0.81175446390699357</v>
      </c>
      <c r="F14" s="362">
        <f t="shared" si="3"/>
        <v>0.73136980837164556</v>
      </c>
      <c r="G14" s="362">
        <f t="shared" si="3"/>
        <v>0.65894530967293052</v>
      </c>
      <c r="H14" s="362">
        <f t="shared" si="3"/>
        <v>0.59369270671248575</v>
      </c>
    </row>
    <row r="15" spans="2:12" x14ac:dyDescent="0.35">
      <c r="B15" s="356" t="s">
        <v>430</v>
      </c>
      <c r="D15" s="359">
        <f>D12*D14</f>
        <v>2956.07257589863</v>
      </c>
      <c r="E15" s="359">
        <f t="shared" ref="E15:G15" si="4">E12*E14</f>
        <v>3585.5361227284425</v>
      </c>
      <c r="F15" s="359">
        <f t="shared" si="4"/>
        <v>4150.583660561977</v>
      </c>
      <c r="G15" s="359">
        <f t="shared" si="4"/>
        <v>4746.9187471239538</v>
      </c>
      <c r="H15" s="359">
        <f>(H12+H13)*H14</f>
        <v>74283.773445279003</v>
      </c>
    </row>
    <row r="16" spans="2:12" x14ac:dyDescent="0.35">
      <c r="B16" s="177"/>
      <c r="C16" s="275"/>
      <c r="D16" s="177"/>
      <c r="E16" s="177"/>
      <c r="F16" s="177"/>
      <c r="G16" s="177"/>
      <c r="H16" s="176"/>
    </row>
    <row r="18" spans="2:11" x14ac:dyDescent="0.35">
      <c r="K18" s="363"/>
    </row>
    <row r="20" spans="2:11" x14ac:dyDescent="0.35">
      <c r="B20" s="264" t="s">
        <v>431</v>
      </c>
      <c r="C20" s="364">
        <f>SUM(D15:H15)</f>
        <v>89722.884551592011</v>
      </c>
    </row>
    <row r="21" spans="2:11" x14ac:dyDescent="0.35">
      <c r="B21" s="356" t="str">
        <f>[3]Sheet1!B57</f>
        <v>Surplus Investments (INR in Crores)</v>
      </c>
      <c r="C21" s="320">
        <v>0</v>
      </c>
    </row>
    <row r="22" spans="2:11" x14ac:dyDescent="0.35">
      <c r="B22" s="177" t="s">
        <v>432</v>
      </c>
      <c r="C22" s="323">
        <f>C20+C21</f>
        <v>89722.884551592011</v>
      </c>
    </row>
    <row r="23" spans="2:11" x14ac:dyDescent="0.35">
      <c r="D23" s="365"/>
    </row>
    <row r="24" spans="2:11" x14ac:dyDescent="0.35">
      <c r="B24" s="151" t="s">
        <v>427</v>
      </c>
      <c r="C24" s="225">
        <v>0.05</v>
      </c>
    </row>
    <row r="25" spans="2:11" x14ac:dyDescent="0.35">
      <c r="B25" s="151" t="s">
        <v>433</v>
      </c>
      <c r="C25" s="249">
        <f>wacc!C18</f>
        <v>0.1099097264</v>
      </c>
      <c r="D25" s="366"/>
    </row>
    <row r="27" spans="2:11" x14ac:dyDescent="0.35">
      <c r="C27" s="133"/>
    </row>
  </sheetData>
  <mergeCells count="1">
    <mergeCell ref="J13:L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74DF-05A9-49D3-A32B-9C0AD193D471}">
  <dimension ref="A1:V49"/>
  <sheetViews>
    <sheetView topLeftCell="A4" zoomScale="84" zoomScaleNormal="84" workbookViewId="0">
      <selection activeCell="B7" sqref="B7"/>
    </sheetView>
  </sheetViews>
  <sheetFormatPr defaultRowHeight="15.5" x14ac:dyDescent="0.35"/>
  <cols>
    <col min="1" max="1" width="6" style="89" bestFit="1" customWidth="1"/>
    <col min="2" max="2" width="47.453125" style="89" bestFit="1" customWidth="1"/>
    <col min="3" max="3" width="12.26953125" style="89" bestFit="1" customWidth="1"/>
    <col min="4" max="4" width="13.453125" style="89" bestFit="1" customWidth="1"/>
    <col min="5" max="5" width="9.6328125" style="89" bestFit="1" customWidth="1"/>
    <col min="6" max="6" width="8.54296875" style="89" bestFit="1" customWidth="1"/>
    <col min="7" max="7" width="8.453125" style="89" bestFit="1" customWidth="1"/>
    <col min="8" max="8" width="8.6328125" style="89" bestFit="1" customWidth="1"/>
    <col min="9" max="10" width="9.6328125" style="89" bestFit="1" customWidth="1"/>
    <col min="11" max="11" width="8.7265625" style="89" bestFit="1" customWidth="1"/>
    <col min="12" max="12" width="8.54296875" style="89" bestFit="1" customWidth="1"/>
    <col min="13" max="13" width="12.36328125" style="89" bestFit="1" customWidth="1"/>
    <col min="14" max="14" width="9.08984375" style="89" bestFit="1" customWidth="1"/>
    <col min="15" max="15" width="6.90625" style="89" bestFit="1" customWidth="1"/>
    <col min="16" max="20" width="8.7265625" style="89"/>
    <col min="21" max="21" width="5.81640625" style="89" bestFit="1" customWidth="1"/>
    <col min="22" max="22" width="6.54296875" style="89" bestFit="1" customWidth="1"/>
    <col min="23" max="16384" width="8.7265625" style="89"/>
  </cols>
  <sheetData>
    <row r="1" spans="1:22" ht="93" x14ac:dyDescent="0.35">
      <c r="A1" s="367" t="s">
        <v>439</v>
      </c>
      <c r="B1" s="368" t="s">
        <v>440</v>
      </c>
      <c r="C1" s="368" t="s">
        <v>441</v>
      </c>
      <c r="D1" s="368" t="s">
        <v>442</v>
      </c>
      <c r="E1" s="368" t="s">
        <v>443</v>
      </c>
      <c r="F1" s="368" t="s">
        <v>444</v>
      </c>
      <c r="G1" s="368" t="s">
        <v>445</v>
      </c>
      <c r="H1" s="368" t="s">
        <v>446</v>
      </c>
      <c r="I1" s="368" t="s">
        <v>447</v>
      </c>
      <c r="J1" s="368" t="s">
        <v>448</v>
      </c>
      <c r="K1" s="368" t="s">
        <v>449</v>
      </c>
      <c r="L1" s="368" t="s">
        <v>450</v>
      </c>
      <c r="M1" s="368" t="s">
        <v>451</v>
      </c>
      <c r="N1" s="368" t="s">
        <v>452</v>
      </c>
      <c r="O1" s="369" t="s">
        <v>453</v>
      </c>
    </row>
    <row r="2" spans="1:22" ht="16" thickBot="1" x14ac:dyDescent="0.4">
      <c r="A2" s="370">
        <v>1</v>
      </c>
      <c r="B2" s="371" t="s">
        <v>454</v>
      </c>
      <c r="C2" s="372">
        <v>4254.76</v>
      </c>
      <c r="D2" s="372">
        <v>76425000</v>
      </c>
      <c r="E2" s="372">
        <v>32517.03</v>
      </c>
      <c r="F2" s="372">
        <v>578.22</v>
      </c>
      <c r="G2" s="372">
        <v>0</v>
      </c>
      <c r="H2" s="372">
        <v>56.37</v>
      </c>
      <c r="I2" s="372">
        <f>E2+F2-H2</f>
        <v>33038.879999999997</v>
      </c>
      <c r="J2" s="372">
        <v>5710.75</v>
      </c>
      <c r="K2" s="372">
        <v>936.12000000000012</v>
      </c>
      <c r="L2" s="97">
        <v>690.39</v>
      </c>
      <c r="M2" s="99">
        <f>I2/J2</f>
        <v>5.785383706168191</v>
      </c>
      <c r="N2" s="373">
        <f>I2/K2</f>
        <v>35.293423920010248</v>
      </c>
      <c r="O2" s="374">
        <f>E2/L2</f>
        <v>47.099508973189067</v>
      </c>
      <c r="Q2" s="105"/>
      <c r="S2" s="105"/>
    </row>
    <row r="3" spans="1:22" ht="16" thickBot="1" x14ac:dyDescent="0.4">
      <c r="A3" s="370">
        <v>2</v>
      </c>
      <c r="B3" s="371" t="s">
        <v>455</v>
      </c>
      <c r="C3" s="372">
        <v>8708.0935483870981</v>
      </c>
      <c r="D3" s="372">
        <v>140212408</v>
      </c>
      <c r="E3" s="375">
        <v>7775.48</v>
      </c>
      <c r="F3" s="376">
        <v>159.41</v>
      </c>
      <c r="G3" s="377"/>
      <c r="H3" s="372">
        <v>278.48</v>
      </c>
      <c r="I3" s="372">
        <f>E3+F3-H3</f>
        <v>7656.41</v>
      </c>
      <c r="J3" s="376">
        <v>5553.37</v>
      </c>
      <c r="K3" s="376">
        <v>518.41</v>
      </c>
      <c r="L3" s="376">
        <v>376.43</v>
      </c>
      <c r="M3" s="99">
        <f>I3/J3</f>
        <v>1.3786961790768488</v>
      </c>
      <c r="N3" s="373">
        <f>I3/K3</f>
        <v>14.769024517273973</v>
      </c>
      <c r="O3" s="374">
        <f>E3/L3</f>
        <v>20.655845708365433</v>
      </c>
      <c r="Q3" s="378"/>
      <c r="U3" s="378">
        <v>47.32</v>
      </c>
      <c r="V3" s="379">
        <f>T3-U3</f>
        <v>-47.32</v>
      </c>
    </row>
    <row r="4" spans="1:22" ht="16" thickBot="1" x14ac:dyDescent="0.4">
      <c r="A4" s="370">
        <v>3</v>
      </c>
      <c r="B4" s="371" t="s">
        <v>456</v>
      </c>
      <c r="C4" s="372">
        <v>11022.325967741932</v>
      </c>
      <c r="D4" s="129">
        <v>110518698</v>
      </c>
      <c r="E4" s="380">
        <v>10234.700000000001</v>
      </c>
      <c r="F4" s="151">
        <v>573.4</v>
      </c>
      <c r="G4" s="381">
        <v>-3.2</v>
      </c>
      <c r="H4" s="151">
        <v>874.8</v>
      </c>
      <c r="I4" s="372">
        <f>E4+F4-H4</f>
        <v>9933.3000000000011</v>
      </c>
      <c r="J4" s="375">
        <v>4534.3999999999996</v>
      </c>
      <c r="K4" s="151">
        <v>737.7</v>
      </c>
      <c r="L4" s="151">
        <v>522.29999999999995</v>
      </c>
      <c r="M4" s="99">
        <f>I4/J4</f>
        <v>2.1906536697247709</v>
      </c>
      <c r="N4" s="373">
        <f>I4/K4</f>
        <v>13.465229768198455</v>
      </c>
      <c r="O4" s="374">
        <f>E4/L4</f>
        <v>19.59544323185909</v>
      </c>
      <c r="R4" s="378"/>
      <c r="S4" s="379"/>
    </row>
    <row r="5" spans="1:22" ht="16" thickBot="1" x14ac:dyDescent="0.4">
      <c r="A5" s="370">
        <v>4</v>
      </c>
      <c r="B5" s="371" t="s">
        <v>457</v>
      </c>
      <c r="C5" s="372">
        <v>1544</v>
      </c>
      <c r="D5" s="129">
        <v>973778933</v>
      </c>
      <c r="E5" s="372">
        <v>145721</v>
      </c>
      <c r="F5" s="375">
        <v>2618.4</v>
      </c>
      <c r="G5" s="151">
        <v>495.4</v>
      </c>
      <c r="H5" s="375">
        <v>3788.9</v>
      </c>
      <c r="I5" s="372">
        <f>E5+F5-H5</f>
        <v>144550.5</v>
      </c>
      <c r="J5" s="375">
        <v>44646</v>
      </c>
      <c r="K5" s="376">
        <v>7614.7000000000007</v>
      </c>
      <c r="L5" s="375">
        <v>5630.1</v>
      </c>
      <c r="M5" s="99">
        <f t="shared" ref="M5:M6" si="0">I5/J5</f>
        <v>3.2377032656900955</v>
      </c>
      <c r="N5" s="373">
        <f t="shared" ref="N5:N6" si="1">I5/K5</f>
        <v>18.983085348076745</v>
      </c>
      <c r="O5" s="374">
        <f t="shared" ref="O5:O6" si="2">E5/L5</f>
        <v>25.882488765741282</v>
      </c>
      <c r="Q5" s="382"/>
      <c r="R5" s="105"/>
      <c r="S5" s="105"/>
    </row>
    <row r="6" spans="1:22" ht="16" thickBot="1" x14ac:dyDescent="0.4">
      <c r="A6" s="370">
        <v>5</v>
      </c>
      <c r="B6" s="371" t="s">
        <v>458</v>
      </c>
      <c r="C6" s="372">
        <v>3192</v>
      </c>
      <c r="D6" s="372">
        <v>188323226</v>
      </c>
      <c r="E6" s="372">
        <v>33831</v>
      </c>
      <c r="F6" s="376">
        <v>527</v>
      </c>
      <c r="G6" s="377">
        <v>0</v>
      </c>
      <c r="H6" s="372">
        <v>826</v>
      </c>
      <c r="I6" s="372">
        <f>E6+F6-H6</f>
        <v>33532</v>
      </c>
      <c r="J6" s="372">
        <v>11961</v>
      </c>
      <c r="K6" s="372">
        <v>1987.3000000000002</v>
      </c>
      <c r="L6" s="372">
        <v>1430</v>
      </c>
      <c r="M6" s="99">
        <f t="shared" si="0"/>
        <v>2.8034445280494942</v>
      </c>
      <c r="N6" s="373">
        <f t="shared" si="1"/>
        <v>16.873144467367784</v>
      </c>
      <c r="O6" s="374">
        <f t="shared" si="2"/>
        <v>23.658041958041959</v>
      </c>
      <c r="Q6" s="382"/>
      <c r="R6" s="378"/>
      <c r="S6" s="383"/>
    </row>
    <row r="7" spans="1:22" ht="16" thickBot="1" x14ac:dyDescent="0.4">
      <c r="A7" s="384"/>
      <c r="B7" s="385" t="s">
        <v>459</v>
      </c>
      <c r="C7" s="385"/>
      <c r="D7" s="385"/>
      <c r="E7" s="385"/>
      <c r="F7" s="385"/>
      <c r="G7" s="385"/>
      <c r="H7" s="385"/>
      <c r="I7" s="385"/>
      <c r="J7" s="385"/>
      <c r="K7" s="385"/>
      <c r="L7" s="385"/>
      <c r="M7" s="386">
        <f>MEDIAN(M2:M6)</f>
        <v>2.8034445280494942</v>
      </c>
      <c r="N7" s="386">
        <f>MEDIAN(N2:N6)</f>
        <v>16.873144467367784</v>
      </c>
      <c r="O7" s="387">
        <f>MEDIAN(O2:O6)</f>
        <v>23.658041958041959</v>
      </c>
    </row>
    <row r="9" spans="1:22" ht="16" thickBot="1" x14ac:dyDescent="0.4"/>
    <row r="10" spans="1:22" ht="93" x14ac:dyDescent="0.35">
      <c r="A10" s="388"/>
      <c r="B10" s="368" t="s">
        <v>440</v>
      </c>
      <c r="C10" s="368" t="s">
        <v>441</v>
      </c>
      <c r="D10" s="368" t="s">
        <v>442</v>
      </c>
      <c r="E10" s="368" t="s">
        <v>443</v>
      </c>
      <c r="F10" s="368" t="s">
        <v>444</v>
      </c>
      <c r="G10" s="368" t="s">
        <v>445</v>
      </c>
      <c r="H10" s="368" t="s">
        <v>446</v>
      </c>
      <c r="I10" s="368" t="s">
        <v>447</v>
      </c>
      <c r="J10" s="368" t="s">
        <v>448</v>
      </c>
      <c r="K10" s="368" t="s">
        <v>449</v>
      </c>
      <c r="L10" s="368" t="s">
        <v>450</v>
      </c>
      <c r="M10" s="368" t="s">
        <v>451</v>
      </c>
      <c r="N10" s="368" t="s">
        <v>452</v>
      </c>
      <c r="O10" s="369" t="s">
        <v>453</v>
      </c>
    </row>
    <row r="11" spans="1:22" x14ac:dyDescent="0.35">
      <c r="A11" s="168">
        <v>1</v>
      </c>
      <c r="B11" s="371" t="s">
        <v>455</v>
      </c>
      <c r="C11" s="372">
        <v>8708.0935483870981</v>
      </c>
      <c r="D11" s="372">
        <v>140212408</v>
      </c>
      <c r="E11" s="375">
        <v>7775.48</v>
      </c>
      <c r="F11" s="376">
        <v>159.41</v>
      </c>
      <c r="G11" s="377"/>
      <c r="H11" s="372">
        <v>278.48</v>
      </c>
      <c r="I11" s="372">
        <f>E11+F11-H11</f>
        <v>7656.41</v>
      </c>
      <c r="J11" s="376">
        <v>5553.37</v>
      </c>
      <c r="K11" s="376">
        <v>518.41</v>
      </c>
      <c r="L11" s="376">
        <v>376.43</v>
      </c>
      <c r="M11" s="99">
        <f>I11/J11</f>
        <v>1.3786961790768488</v>
      </c>
      <c r="N11" s="373">
        <f>I11/K11</f>
        <v>14.769024517273973</v>
      </c>
      <c r="O11" s="374">
        <f>E11/L11</f>
        <v>20.655845708365433</v>
      </c>
    </row>
    <row r="12" spans="1:22" x14ac:dyDescent="0.35">
      <c r="A12" s="168">
        <v>2</v>
      </c>
      <c r="B12" s="371" t="s">
        <v>456</v>
      </c>
      <c r="C12" s="372">
        <v>11022.325967741932</v>
      </c>
      <c r="D12" s="129">
        <v>110518698</v>
      </c>
      <c r="E12" s="380">
        <v>10234.700000000001</v>
      </c>
      <c r="F12" s="151">
        <v>573.4</v>
      </c>
      <c r="G12" s="381">
        <v>-3.2</v>
      </c>
      <c r="H12" s="151">
        <v>874.8</v>
      </c>
      <c r="I12" s="372">
        <f>E12+F12-H12</f>
        <v>9933.3000000000011</v>
      </c>
      <c r="J12" s="375">
        <v>4534.3999999999996</v>
      </c>
      <c r="K12" s="151">
        <v>737.7</v>
      </c>
      <c r="L12" s="151">
        <v>522.29999999999995</v>
      </c>
      <c r="M12" s="99">
        <f>I12/J12</f>
        <v>2.1906536697247709</v>
      </c>
      <c r="N12" s="373">
        <f>I12/K12</f>
        <v>13.465229768198455</v>
      </c>
      <c r="O12" s="374">
        <f>E12/L12</f>
        <v>19.59544323185909</v>
      </c>
    </row>
    <row r="13" spans="1:22" x14ac:dyDescent="0.35">
      <c r="A13" s="168">
        <v>3</v>
      </c>
      <c r="B13" s="371" t="s">
        <v>457</v>
      </c>
      <c r="C13" s="372">
        <v>1544</v>
      </c>
      <c r="D13" s="129">
        <v>973778933</v>
      </c>
      <c r="E13" s="372">
        <v>145721</v>
      </c>
      <c r="F13" s="375">
        <v>2618.4</v>
      </c>
      <c r="G13" s="151">
        <v>495.4</v>
      </c>
      <c r="H13" s="375">
        <v>3788.9</v>
      </c>
      <c r="I13" s="372">
        <f>E13+F13-H13</f>
        <v>144550.5</v>
      </c>
      <c r="J13" s="375">
        <v>44646</v>
      </c>
      <c r="K13" s="376">
        <v>7614.7000000000007</v>
      </c>
      <c r="L13" s="375">
        <v>5630.1</v>
      </c>
      <c r="M13" s="99">
        <f t="shared" ref="M13:M14" si="3">I13/J13</f>
        <v>3.2377032656900955</v>
      </c>
      <c r="N13" s="373">
        <f t="shared" ref="N13:N14" si="4">I13/K13</f>
        <v>18.983085348076745</v>
      </c>
      <c r="O13" s="374">
        <f t="shared" ref="O13:O14" si="5">E13/L13</f>
        <v>25.882488765741282</v>
      </c>
    </row>
    <row r="14" spans="1:22" x14ac:dyDescent="0.35">
      <c r="A14" s="168">
        <v>4</v>
      </c>
      <c r="B14" s="371" t="s">
        <v>458</v>
      </c>
      <c r="C14" s="372">
        <v>3192</v>
      </c>
      <c r="D14" s="372">
        <v>188323226</v>
      </c>
      <c r="E14" s="372">
        <v>33831</v>
      </c>
      <c r="F14" s="376">
        <v>527</v>
      </c>
      <c r="G14" s="377">
        <v>0</v>
      </c>
      <c r="H14" s="372">
        <v>826</v>
      </c>
      <c r="I14" s="372">
        <f>E14+F14-H14</f>
        <v>33532</v>
      </c>
      <c r="J14" s="372">
        <v>11961</v>
      </c>
      <c r="K14" s="372">
        <v>1987.3000000000002</v>
      </c>
      <c r="L14" s="372">
        <v>1430</v>
      </c>
      <c r="M14" s="99">
        <f t="shared" si="3"/>
        <v>2.8034445280494942</v>
      </c>
      <c r="N14" s="373">
        <f t="shared" si="4"/>
        <v>16.873144467367784</v>
      </c>
      <c r="O14" s="374">
        <f t="shared" si="5"/>
        <v>23.658041958041959</v>
      </c>
    </row>
    <row r="15" spans="1:22" ht="16" thickBot="1" x14ac:dyDescent="0.4">
      <c r="A15" s="389"/>
      <c r="B15" s="385" t="s">
        <v>459</v>
      </c>
      <c r="C15" s="385"/>
      <c r="D15" s="385"/>
      <c r="E15" s="385"/>
      <c r="F15" s="385"/>
      <c r="G15" s="385"/>
      <c r="H15" s="385"/>
      <c r="I15" s="385"/>
      <c r="J15" s="385"/>
      <c r="K15" s="385"/>
      <c r="L15" s="385"/>
      <c r="M15" s="386">
        <f>MEDIAN(M11:M14)</f>
        <v>2.4970490988871328</v>
      </c>
      <c r="N15" s="386">
        <f t="shared" ref="N15:O15" si="6">MEDIAN(N11:N14)</f>
        <v>15.821084492320878</v>
      </c>
      <c r="O15" s="387">
        <f t="shared" si="6"/>
        <v>22.156943833203698</v>
      </c>
    </row>
    <row r="18" spans="2:5" ht="16" thickBot="1" x14ac:dyDescent="0.4"/>
    <row r="19" spans="2:5" x14ac:dyDescent="0.35">
      <c r="B19" s="390" t="s">
        <v>460</v>
      </c>
      <c r="C19" s="391"/>
      <c r="D19" s="391"/>
      <c r="E19" s="392"/>
    </row>
    <row r="20" spans="2:5" x14ac:dyDescent="0.35">
      <c r="B20" s="393" t="s">
        <v>461</v>
      </c>
      <c r="C20" s="151"/>
      <c r="D20" s="151"/>
      <c r="E20" s="164"/>
    </row>
    <row r="21" spans="2:5" x14ac:dyDescent="0.35">
      <c r="B21" s="394" t="s">
        <v>279</v>
      </c>
      <c r="C21" s="395" t="s">
        <v>462</v>
      </c>
      <c r="D21" s="395" t="s">
        <v>463</v>
      </c>
      <c r="E21" s="396" t="s">
        <v>464</v>
      </c>
    </row>
    <row r="22" spans="2:5" x14ac:dyDescent="0.35">
      <c r="B22" s="393" t="s">
        <v>465</v>
      </c>
      <c r="C22" s="397">
        <f>'HISTORICAL P&amp;L'!C4</f>
        <v>6710.78</v>
      </c>
      <c r="D22" s="398">
        <f>M15</f>
        <v>2.4970490988871328</v>
      </c>
      <c r="E22" s="399">
        <f>C22*D22</f>
        <v>16757.147151829791</v>
      </c>
    </row>
    <row r="23" spans="2:5" x14ac:dyDescent="0.35">
      <c r="B23" s="393" t="s">
        <v>466</v>
      </c>
      <c r="C23" s="371"/>
      <c r="D23" s="371"/>
      <c r="E23" s="399">
        <f>E22</f>
        <v>16757.147151829791</v>
      </c>
    </row>
    <row r="24" spans="2:5" x14ac:dyDescent="0.35">
      <c r="B24" s="393" t="s">
        <v>467</v>
      </c>
      <c r="C24" s="371"/>
      <c r="D24" s="371"/>
      <c r="E24" s="399"/>
    </row>
    <row r="25" spans="2:5" x14ac:dyDescent="0.35">
      <c r="B25" s="393" t="s">
        <v>468</v>
      </c>
      <c r="C25" s="371"/>
      <c r="D25" s="371"/>
      <c r="E25" s="399">
        <f>'HISTORICAL BS'!D31</f>
        <v>514.66999999999996</v>
      </c>
    </row>
    <row r="26" spans="2:5" x14ac:dyDescent="0.35">
      <c r="B26" s="394" t="s">
        <v>469</v>
      </c>
      <c r="C26" s="395"/>
      <c r="D26" s="395"/>
      <c r="E26" s="400">
        <f>E23-E24+E25</f>
        <v>17271.81715182979</v>
      </c>
    </row>
    <row r="27" spans="2:5" x14ac:dyDescent="0.35">
      <c r="B27" s="168"/>
      <c r="C27" s="151"/>
      <c r="D27" s="151"/>
      <c r="E27" s="164"/>
    </row>
    <row r="28" spans="2:5" x14ac:dyDescent="0.35">
      <c r="B28" s="393" t="s">
        <v>470</v>
      </c>
      <c r="C28" s="151"/>
      <c r="D28" s="151"/>
      <c r="E28" s="164"/>
    </row>
    <row r="29" spans="2:5" x14ac:dyDescent="0.35">
      <c r="B29" s="393" t="s">
        <v>461</v>
      </c>
      <c r="C29" s="151"/>
      <c r="D29" s="151"/>
      <c r="E29" s="164"/>
    </row>
    <row r="30" spans="2:5" x14ac:dyDescent="0.35">
      <c r="B30" s="394" t="s">
        <v>279</v>
      </c>
      <c r="C30" s="395" t="s">
        <v>99</v>
      </c>
      <c r="D30" s="395" t="s">
        <v>463</v>
      </c>
      <c r="E30" s="396" t="s">
        <v>464</v>
      </c>
    </row>
    <row r="31" spans="2:5" x14ac:dyDescent="0.35">
      <c r="B31" s="393" t="s">
        <v>465</v>
      </c>
      <c r="C31" s="397">
        <f>'HISTORICAL P&amp;L'!C61</f>
        <v>3814.4999999999991</v>
      </c>
      <c r="D31" s="398">
        <f>N15</f>
        <v>15.821084492320878</v>
      </c>
      <c r="E31" s="399">
        <f>D31*C31</f>
        <v>60349.526795957972</v>
      </c>
    </row>
    <row r="32" spans="2:5" x14ac:dyDescent="0.35">
      <c r="B32" s="393" t="s">
        <v>466</v>
      </c>
      <c r="C32" s="371"/>
      <c r="D32" s="371"/>
      <c r="E32" s="399">
        <f>E31</f>
        <v>60349.526795957972</v>
      </c>
    </row>
    <row r="33" spans="2:5" x14ac:dyDescent="0.35">
      <c r="B33" s="393" t="s">
        <v>467</v>
      </c>
      <c r="C33" s="371"/>
      <c r="D33" s="371"/>
      <c r="E33" s="399">
        <f>E24</f>
        <v>0</v>
      </c>
    </row>
    <row r="34" spans="2:5" x14ac:dyDescent="0.35">
      <c r="B34" s="393" t="s">
        <v>468</v>
      </c>
      <c r="C34" s="371"/>
      <c r="D34" s="371"/>
      <c r="E34" s="399">
        <f>E25</f>
        <v>514.66999999999996</v>
      </c>
    </row>
    <row r="35" spans="2:5" x14ac:dyDescent="0.35">
      <c r="B35" s="394" t="s">
        <v>469</v>
      </c>
      <c r="C35" s="395"/>
      <c r="D35" s="395"/>
      <c r="E35" s="400">
        <f>E32-E33+E34</f>
        <v>60864.196795957971</v>
      </c>
    </row>
    <row r="36" spans="2:5" x14ac:dyDescent="0.35">
      <c r="B36" s="393"/>
      <c r="C36" s="151"/>
      <c r="D36" s="151"/>
      <c r="E36" s="164"/>
    </row>
    <row r="37" spans="2:5" x14ac:dyDescent="0.35">
      <c r="B37" s="393" t="s">
        <v>471</v>
      </c>
      <c r="C37" s="151"/>
      <c r="D37" s="151"/>
      <c r="E37" s="164"/>
    </row>
    <row r="38" spans="2:5" x14ac:dyDescent="0.35">
      <c r="B38" s="393" t="s">
        <v>461</v>
      </c>
      <c r="C38" s="151"/>
      <c r="D38" s="151"/>
      <c r="E38" s="164"/>
    </row>
    <row r="39" spans="2:5" x14ac:dyDescent="0.35">
      <c r="B39" s="394" t="s">
        <v>279</v>
      </c>
      <c r="C39" s="395" t="s">
        <v>55</v>
      </c>
      <c r="D39" s="395" t="s">
        <v>463</v>
      </c>
      <c r="E39" s="396" t="s">
        <v>464</v>
      </c>
    </row>
    <row r="40" spans="2:5" x14ac:dyDescent="0.35">
      <c r="B40" s="393" t="s">
        <v>465</v>
      </c>
      <c r="C40" s="397">
        <f>'HISTORICAL P&amp;L'!C74</f>
        <v>2747.3199999999988</v>
      </c>
      <c r="D40" s="398">
        <f>O15</f>
        <v>22.156943833203698</v>
      </c>
      <c r="E40" s="399">
        <f>D40*C40</f>
        <v>60872.214931837159</v>
      </c>
    </row>
    <row r="41" spans="2:5" x14ac:dyDescent="0.35">
      <c r="B41" s="394"/>
      <c r="C41" s="395"/>
      <c r="D41" s="395"/>
      <c r="E41" s="400">
        <f>E40</f>
        <v>60872.214931837159</v>
      </c>
    </row>
    <row r="42" spans="2:5" x14ac:dyDescent="0.35">
      <c r="B42" s="168"/>
      <c r="C42" s="151"/>
      <c r="D42" s="151"/>
      <c r="E42" s="164"/>
    </row>
    <row r="43" spans="2:5" x14ac:dyDescent="0.35">
      <c r="B43" s="393" t="s">
        <v>472</v>
      </c>
      <c r="C43" s="151"/>
      <c r="D43" s="151"/>
      <c r="E43" s="164"/>
    </row>
    <row r="44" spans="2:5" x14ac:dyDescent="0.35">
      <c r="B44" s="393" t="s">
        <v>461</v>
      </c>
      <c r="C44" s="151"/>
      <c r="D44" s="151"/>
      <c r="E44" s="164"/>
    </row>
    <row r="45" spans="2:5" x14ac:dyDescent="0.35">
      <c r="B45" s="394" t="s">
        <v>279</v>
      </c>
      <c r="C45" s="395" t="s">
        <v>469</v>
      </c>
      <c r="D45" s="151"/>
      <c r="E45" s="164"/>
    </row>
    <row r="46" spans="2:5" x14ac:dyDescent="0.35">
      <c r="B46" s="393" t="s">
        <v>473</v>
      </c>
      <c r="C46" s="376">
        <f>E26</f>
        <v>17271.81715182979</v>
      </c>
      <c r="D46" s="151"/>
      <c r="E46" s="164"/>
    </row>
    <row r="47" spans="2:5" x14ac:dyDescent="0.35">
      <c r="B47" s="393" t="s">
        <v>474</v>
      </c>
      <c r="C47" s="376">
        <f>E35</f>
        <v>60864.196795957971</v>
      </c>
      <c r="D47" s="151"/>
      <c r="E47" s="164"/>
    </row>
    <row r="48" spans="2:5" x14ac:dyDescent="0.35">
      <c r="B48" s="393" t="s">
        <v>475</v>
      </c>
      <c r="C48" s="376">
        <f>E41</f>
        <v>60872.214931837159</v>
      </c>
      <c r="D48" s="151"/>
      <c r="E48" s="164"/>
    </row>
    <row r="49" spans="2:5" ht="16" thickBot="1" x14ac:dyDescent="0.4">
      <c r="B49" s="401" t="s">
        <v>476</v>
      </c>
      <c r="C49" s="402">
        <f>AVERAGE(C46:C48)</f>
        <v>46336.076293208309</v>
      </c>
      <c r="D49" s="173"/>
      <c r="E49" s="175"/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90B2-D5EC-4F13-AC90-00E25588DD73}">
  <dimension ref="C3:G8"/>
  <sheetViews>
    <sheetView zoomScale="137" workbookViewId="0">
      <selection activeCell="C6" sqref="C6"/>
    </sheetView>
  </sheetViews>
  <sheetFormatPr defaultRowHeight="15.5" x14ac:dyDescent="0.35"/>
  <cols>
    <col min="1" max="2" width="8.7265625" style="89"/>
    <col min="3" max="3" width="18.54296875" style="89" bestFit="1" customWidth="1"/>
    <col min="4" max="4" width="9.453125" style="89" bestFit="1" customWidth="1"/>
    <col min="5" max="5" width="8.08984375" style="89" bestFit="1" customWidth="1"/>
    <col min="6" max="6" width="8" style="89" bestFit="1" customWidth="1"/>
    <col min="7" max="7" width="23.08984375" style="89" bestFit="1" customWidth="1"/>
    <col min="8" max="16384" width="8.7265625" style="89"/>
  </cols>
  <sheetData>
    <row r="3" spans="3:7" x14ac:dyDescent="0.35">
      <c r="C3" s="134" t="s">
        <v>477</v>
      </c>
      <c r="D3" s="134"/>
      <c r="E3" s="134"/>
      <c r="F3" s="134"/>
      <c r="G3" s="134"/>
    </row>
    <row r="5" spans="3:7" x14ac:dyDescent="0.35">
      <c r="C5" s="403" t="s">
        <v>478</v>
      </c>
      <c r="D5" s="404" t="s">
        <v>479</v>
      </c>
      <c r="E5" s="404" t="s">
        <v>464</v>
      </c>
      <c r="F5" s="404" t="s">
        <v>480</v>
      </c>
      <c r="G5" s="405" t="s">
        <v>481</v>
      </c>
    </row>
    <row r="6" spans="3:7" x14ac:dyDescent="0.35">
      <c r="C6" s="406" t="s">
        <v>482</v>
      </c>
      <c r="D6" s="134" t="s">
        <v>483</v>
      </c>
      <c r="E6" s="407">
        <f>FCFE!C22</f>
        <v>89722.884551592011</v>
      </c>
      <c r="F6" s="408">
        <v>0.5</v>
      </c>
      <c r="G6" s="409">
        <f>E6*F6</f>
        <v>44861.442275796006</v>
      </c>
    </row>
    <row r="7" spans="3:7" x14ac:dyDescent="0.35">
      <c r="C7" s="406" t="s">
        <v>484</v>
      </c>
      <c r="D7" s="134" t="s">
        <v>485</v>
      </c>
      <c r="E7" s="407">
        <f>CCM!C49</f>
        <v>46336.076293208309</v>
      </c>
      <c r="F7" s="408">
        <v>0.5</v>
      </c>
      <c r="G7" s="409">
        <f>E7*F7</f>
        <v>23168.038146604154</v>
      </c>
    </row>
    <row r="8" spans="3:7" x14ac:dyDescent="0.35">
      <c r="C8" s="410"/>
      <c r="D8" s="411" t="s">
        <v>364</v>
      </c>
      <c r="E8" s="411"/>
      <c r="F8" s="411"/>
      <c r="G8" s="412">
        <f>SUM(G6:G7)</f>
        <v>68029.480422400156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DBD1-5C6F-4415-96BC-875E23865D71}">
  <dimension ref="B2:D23"/>
  <sheetViews>
    <sheetView tabSelected="1" showWhiteSpace="0" zoomScaleNormal="100" workbookViewId="0">
      <selection activeCell="F5" sqref="F5"/>
    </sheetView>
  </sheetViews>
  <sheetFormatPr defaultColWidth="8.81640625" defaultRowHeight="14" x14ac:dyDescent="0.3"/>
  <cols>
    <col min="1" max="1" width="8.81640625" style="414"/>
    <col min="2" max="2" width="33.08984375" style="414" bestFit="1" customWidth="1"/>
    <col min="3" max="16384" width="8.81640625" style="414"/>
  </cols>
  <sheetData>
    <row r="2" spans="2:4" s="414" customFormat="1" x14ac:dyDescent="0.3">
      <c r="B2" s="413" t="s">
        <v>399</v>
      </c>
    </row>
    <row r="3" spans="2:4" s="414" customFormat="1" x14ac:dyDescent="0.3">
      <c r="B3" s="415" t="s">
        <v>279</v>
      </c>
      <c r="C3" s="416"/>
    </row>
    <row r="4" spans="2:4" s="414" customFormat="1" x14ac:dyDescent="0.3">
      <c r="B4" s="417" t="s">
        <v>400</v>
      </c>
      <c r="C4" s="418">
        <v>7.3200000000000001E-2</v>
      </c>
    </row>
    <row r="5" spans="2:4" s="414" customFormat="1" x14ac:dyDescent="0.3">
      <c r="B5" s="419" t="s">
        <v>401</v>
      </c>
      <c r="C5" s="420">
        <v>0.13</v>
      </c>
    </row>
    <row r="6" spans="2:4" s="414" customFormat="1" x14ac:dyDescent="0.3">
      <c r="B6" s="419" t="s">
        <v>402</v>
      </c>
      <c r="C6" s="420">
        <f>C5-C4</f>
        <v>5.6800000000000003E-2</v>
      </c>
    </row>
    <row r="7" spans="2:4" s="414" customFormat="1" x14ac:dyDescent="0.3">
      <c r="B7" s="419" t="s">
        <v>403</v>
      </c>
      <c r="C7" s="421">
        <v>0.64629800000000004</v>
      </c>
    </row>
    <row r="8" spans="2:4" s="414" customFormat="1" x14ac:dyDescent="0.3">
      <c r="B8" s="422" t="s">
        <v>399</v>
      </c>
      <c r="C8" s="423">
        <f>C4+C7*C6</f>
        <v>0.1099097264</v>
      </c>
      <c r="D8" s="414" t="s">
        <v>486</v>
      </c>
    </row>
    <row r="9" spans="2:4" s="414" customFormat="1" x14ac:dyDescent="0.3">
      <c r="B9" s="424"/>
      <c r="C9" s="424"/>
    </row>
    <row r="10" spans="2:4" s="414" customFormat="1" x14ac:dyDescent="0.3">
      <c r="B10" s="413" t="s">
        <v>404</v>
      </c>
      <c r="C10" s="424"/>
    </row>
    <row r="11" spans="2:4" s="414" customFormat="1" x14ac:dyDescent="0.3">
      <c r="B11" s="415" t="s">
        <v>279</v>
      </c>
      <c r="C11" s="416"/>
    </row>
    <row r="12" spans="2:4" s="414" customFormat="1" x14ac:dyDescent="0.3">
      <c r="B12" s="417" t="s">
        <v>405</v>
      </c>
      <c r="C12" s="425">
        <v>0.05</v>
      </c>
    </row>
    <row r="13" spans="2:4" s="414" customFormat="1" x14ac:dyDescent="0.3">
      <c r="B13" s="419" t="s">
        <v>406</v>
      </c>
      <c r="C13" s="426">
        <v>0.25169999999999998</v>
      </c>
    </row>
    <row r="14" spans="2:4" s="414" customFormat="1" x14ac:dyDescent="0.3">
      <c r="B14" s="415" t="s">
        <v>407</v>
      </c>
      <c r="C14" s="427">
        <f>C12*(1-C13)</f>
        <v>3.7414999999999997E-2</v>
      </c>
    </row>
    <row r="15" spans="2:4" s="414" customFormat="1" x14ac:dyDescent="0.3">
      <c r="B15" s="424"/>
      <c r="C15" s="424"/>
    </row>
    <row r="16" spans="2:4" s="414" customFormat="1" x14ac:dyDescent="0.3">
      <c r="B16" s="413" t="s">
        <v>408</v>
      </c>
      <c r="C16" s="424"/>
    </row>
    <row r="17" spans="2:3" s="414" customFormat="1" x14ac:dyDescent="0.3">
      <c r="B17" s="415" t="s">
        <v>279</v>
      </c>
      <c r="C17" s="416"/>
    </row>
    <row r="18" spans="2:3" s="414" customFormat="1" x14ac:dyDescent="0.3">
      <c r="B18" s="419" t="s">
        <v>399</v>
      </c>
      <c r="C18" s="426">
        <f>C8</f>
        <v>0.1099097264</v>
      </c>
    </row>
    <row r="19" spans="2:3" s="414" customFormat="1" x14ac:dyDescent="0.3">
      <c r="B19" s="419" t="s">
        <v>404</v>
      </c>
      <c r="C19" s="420">
        <f>C14</f>
        <v>3.7414999999999997E-2</v>
      </c>
    </row>
    <row r="20" spans="2:3" s="414" customFormat="1" x14ac:dyDescent="0.3">
      <c r="B20" s="428" t="s">
        <v>409</v>
      </c>
      <c r="C20" s="429">
        <v>0.03</v>
      </c>
    </row>
    <row r="21" spans="2:3" s="414" customFormat="1" x14ac:dyDescent="0.3">
      <c r="B21" s="417" t="s">
        <v>410</v>
      </c>
      <c r="C21" s="430">
        <f>0.01/1.03</f>
        <v>9.7087378640776691E-3</v>
      </c>
    </row>
    <row r="22" spans="2:3" s="414" customFormat="1" x14ac:dyDescent="0.3">
      <c r="B22" s="428" t="s">
        <v>411</v>
      </c>
      <c r="C22" s="431">
        <v>1</v>
      </c>
    </row>
    <row r="23" spans="2:3" s="414" customFormat="1" x14ac:dyDescent="0.3">
      <c r="B23" s="415" t="s">
        <v>412</v>
      </c>
      <c r="C23" s="427">
        <f>C18*C22+C19*C21</f>
        <v>0.11027297882718447</v>
      </c>
    </row>
  </sheetData>
  <pageMargins left="0.7" right="0.7" top="0.75" bottom="0.75" header="0.3" footer="0.3"/>
  <pageSetup orientation="portrait" r:id="rId1"/>
  <headerFooter>
    <oddHeader xml:space="preserve">&amp;CDO NOT COPY 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4133-3617-4610-A3BD-EC5B59813E94}">
  <dimension ref="A1:I76"/>
  <sheetViews>
    <sheetView workbookViewId="0">
      <selection activeCell="B76" sqref="B76"/>
    </sheetView>
  </sheetViews>
  <sheetFormatPr defaultColWidth="9.1796875" defaultRowHeight="13" x14ac:dyDescent="0.3"/>
  <cols>
    <col min="1" max="1" width="4.81640625" style="7" customWidth="1"/>
    <col min="2" max="2" width="32" style="7" customWidth="1"/>
    <col min="3" max="3" width="17.1796875" style="8" bestFit="1" customWidth="1"/>
    <col min="4" max="4" width="14" style="13" customWidth="1"/>
    <col min="5" max="5" width="14.54296875" style="13" customWidth="1"/>
    <col min="6" max="16384" width="9.1796875" style="7"/>
  </cols>
  <sheetData>
    <row r="1" spans="1:9" x14ac:dyDescent="0.3">
      <c r="A1" s="7" t="s">
        <v>121</v>
      </c>
      <c r="D1" s="7"/>
      <c r="E1" s="7"/>
    </row>
    <row r="2" spans="1:9" x14ac:dyDescent="0.3">
      <c r="A2" s="7" t="s">
        <v>122</v>
      </c>
      <c r="C2" s="9"/>
      <c r="D2" s="7"/>
      <c r="E2" s="7"/>
    </row>
    <row r="3" spans="1:9" x14ac:dyDescent="0.3">
      <c r="A3" s="7" t="s">
        <v>123</v>
      </c>
      <c r="C3" s="10"/>
      <c r="D3" s="7"/>
      <c r="E3" s="7"/>
    </row>
    <row r="4" spans="1:9" x14ac:dyDescent="0.3">
      <c r="C4" s="9"/>
      <c r="D4" s="7"/>
      <c r="E4" s="7"/>
    </row>
    <row r="5" spans="1:9" x14ac:dyDescent="0.3">
      <c r="A5" s="7" t="s">
        <v>124</v>
      </c>
      <c r="D5" s="7"/>
      <c r="E5" s="7"/>
    </row>
    <row r="6" spans="1:9" x14ac:dyDescent="0.3">
      <c r="A6" s="7" t="s">
        <v>125</v>
      </c>
      <c r="D6" s="7"/>
      <c r="E6" s="7"/>
    </row>
    <row r="7" spans="1:9" x14ac:dyDescent="0.3">
      <c r="A7" s="7" t="s">
        <v>126</v>
      </c>
      <c r="B7" s="11"/>
      <c r="D7" s="7"/>
      <c r="E7" s="7"/>
    </row>
    <row r="8" spans="1:9" x14ac:dyDescent="0.3">
      <c r="A8" s="7" t="s">
        <v>127</v>
      </c>
      <c r="B8" s="8"/>
      <c r="D8" s="8"/>
      <c r="E8" s="8"/>
    </row>
    <row r="9" spans="1:9" x14ac:dyDescent="0.3">
      <c r="D9" s="7"/>
      <c r="E9" s="7"/>
    </row>
    <row r="10" spans="1:9" x14ac:dyDescent="0.3">
      <c r="B10" s="11"/>
      <c r="D10" s="7"/>
      <c r="E10" s="7"/>
    </row>
    <row r="11" spans="1:9" x14ac:dyDescent="0.3">
      <c r="D11" s="7"/>
      <c r="E11" s="7"/>
    </row>
    <row r="12" spans="1:9" x14ac:dyDescent="0.3">
      <c r="A12" s="7" t="s">
        <v>128</v>
      </c>
      <c r="D12" s="7"/>
      <c r="E12" s="7"/>
    </row>
    <row r="13" spans="1:9" x14ac:dyDescent="0.3">
      <c r="A13" s="7" t="s">
        <v>129</v>
      </c>
      <c r="D13" s="12"/>
      <c r="E13" s="12"/>
    </row>
    <row r="14" spans="1:9" x14ac:dyDescent="0.3">
      <c r="C14" s="8">
        <v>2023</v>
      </c>
      <c r="D14" s="7">
        <v>2024</v>
      </c>
      <c r="E14" s="7">
        <v>2025</v>
      </c>
      <c r="F14" s="7">
        <v>2026</v>
      </c>
      <c r="G14" s="7">
        <v>2027</v>
      </c>
    </row>
    <row r="15" spans="1:9" x14ac:dyDescent="0.3">
      <c r="A15" s="7" t="s">
        <v>130</v>
      </c>
      <c r="C15" s="9">
        <v>0.2</v>
      </c>
      <c r="D15" s="9">
        <v>0.2</v>
      </c>
      <c r="E15" s="9">
        <v>0.2</v>
      </c>
      <c r="F15" s="9">
        <v>0.2</v>
      </c>
      <c r="G15" s="9">
        <v>0.2</v>
      </c>
      <c r="H15" s="9"/>
      <c r="I15" s="7" t="s">
        <v>131</v>
      </c>
    </row>
    <row r="16" spans="1:9" x14ac:dyDescent="0.3">
      <c r="A16" s="7" t="s">
        <v>132</v>
      </c>
      <c r="C16" s="9">
        <v>0.15</v>
      </c>
    </row>
    <row r="17" spans="2:8" x14ac:dyDescent="0.3">
      <c r="C17" s="10"/>
    </row>
    <row r="18" spans="2:8" x14ac:dyDescent="0.3">
      <c r="B18" s="7" t="s">
        <v>133</v>
      </c>
      <c r="D18" s="7"/>
      <c r="E18" s="7"/>
    </row>
    <row r="19" spans="2:8" x14ac:dyDescent="0.3">
      <c r="D19" s="14"/>
      <c r="E19" s="14"/>
    </row>
    <row r="22" spans="2:8" x14ac:dyDescent="0.3">
      <c r="C22" s="8">
        <v>2017</v>
      </c>
      <c r="D22" s="13">
        <v>2018</v>
      </c>
      <c r="E22" s="13">
        <v>2019</v>
      </c>
      <c r="F22" s="7">
        <v>2020</v>
      </c>
      <c r="G22" s="7">
        <v>2021</v>
      </c>
      <c r="H22" s="7">
        <v>2022</v>
      </c>
    </row>
    <row r="23" spans="2:8" ht="14.5" x14ac:dyDescent="0.35">
      <c r="B23" s="3" t="s">
        <v>134</v>
      </c>
    </row>
    <row r="24" spans="2:8" x14ac:dyDescent="0.3">
      <c r="B24" s="7" t="s">
        <v>135</v>
      </c>
    </row>
    <row r="27" spans="2:8" x14ac:dyDescent="0.3">
      <c r="B27" s="11"/>
    </row>
    <row r="28" spans="2:8" x14ac:dyDescent="0.3">
      <c r="B28" s="7" t="s">
        <v>136</v>
      </c>
      <c r="C28" s="8" t="s">
        <v>137</v>
      </c>
      <c r="D28" s="13" t="s">
        <v>138</v>
      </c>
    </row>
    <row r="29" spans="2:8" x14ac:dyDescent="0.3">
      <c r="B29" s="7" t="s">
        <v>139</v>
      </c>
    </row>
    <row r="30" spans="2:8" x14ac:dyDescent="0.3">
      <c r="B30" s="15" t="s">
        <v>140</v>
      </c>
      <c r="D30" s="12"/>
      <c r="E30" s="12"/>
    </row>
    <row r="31" spans="2:8" ht="14.5" customHeight="1" x14ac:dyDescent="0.3">
      <c r="B31" s="7" t="s">
        <v>141</v>
      </c>
      <c r="C31" s="8">
        <v>1300</v>
      </c>
      <c r="D31" s="13">
        <f>C31/115%</f>
        <v>1130.4347826086957</v>
      </c>
      <c r="E31" s="87" t="s">
        <v>162</v>
      </c>
    </row>
    <row r="32" spans="2:8" x14ac:dyDescent="0.3">
      <c r="B32" s="7" t="s">
        <v>142</v>
      </c>
      <c r="C32" s="8">
        <v>2100</v>
      </c>
      <c r="D32" s="13">
        <f>C32/115%</f>
        <v>1826.0869565217392</v>
      </c>
      <c r="E32" s="87"/>
    </row>
    <row r="33" spans="2:5" x14ac:dyDescent="0.3">
      <c r="B33" s="7" t="s">
        <v>143</v>
      </c>
      <c r="C33" s="8">
        <v>3000</v>
      </c>
      <c r="D33" s="13">
        <f>C33/115%</f>
        <v>2608.6956521739135</v>
      </c>
      <c r="E33" s="87"/>
    </row>
    <row r="34" spans="2:5" x14ac:dyDescent="0.3">
      <c r="B34" s="7" t="s">
        <v>144</v>
      </c>
      <c r="C34" s="8">
        <v>3200</v>
      </c>
      <c r="D34" s="13">
        <f>C34/115%</f>
        <v>2782.608695652174</v>
      </c>
      <c r="E34" s="87"/>
    </row>
    <row r="35" spans="2:5" x14ac:dyDescent="0.3">
      <c r="D35" s="7"/>
      <c r="E35" s="7"/>
    </row>
    <row r="36" spans="2:5" x14ac:dyDescent="0.3">
      <c r="B36" s="7" t="s">
        <v>145</v>
      </c>
      <c r="D36" s="14"/>
      <c r="E36" s="14"/>
    </row>
    <row r="37" spans="2:5" x14ac:dyDescent="0.3">
      <c r="B37" s="7" t="s">
        <v>141</v>
      </c>
      <c r="C37" s="8">
        <v>800</v>
      </c>
    </row>
    <row r="38" spans="2:5" x14ac:dyDescent="0.3">
      <c r="B38" s="7" t="s">
        <v>142</v>
      </c>
      <c r="C38" s="8">
        <v>1400</v>
      </c>
    </row>
    <row r="39" spans="2:5" x14ac:dyDescent="0.3">
      <c r="B39" s="7" t="s">
        <v>143</v>
      </c>
      <c r="C39" s="8">
        <v>2400</v>
      </c>
      <c r="D39" s="14"/>
      <c r="E39" s="14"/>
    </row>
    <row r="40" spans="2:5" x14ac:dyDescent="0.3">
      <c r="B40" s="7" t="s">
        <v>144</v>
      </c>
      <c r="C40" s="8">
        <v>2600</v>
      </c>
    </row>
    <row r="45" spans="2:5" x14ac:dyDescent="0.3">
      <c r="B45" s="7" t="s">
        <v>146</v>
      </c>
      <c r="C45" s="8" t="s">
        <v>143</v>
      </c>
    </row>
    <row r="46" spans="2:5" x14ac:dyDescent="0.3">
      <c r="B46" s="7" t="s">
        <v>141</v>
      </c>
      <c r="C46" s="8">
        <v>749</v>
      </c>
      <c r="D46" s="13" t="s">
        <v>147</v>
      </c>
    </row>
    <row r="47" spans="2:5" x14ac:dyDescent="0.3">
      <c r="B47" s="7" t="s">
        <v>142</v>
      </c>
      <c r="C47" s="8">
        <v>1499</v>
      </c>
      <c r="D47" s="13" t="s">
        <v>147</v>
      </c>
    </row>
    <row r="48" spans="2:5" x14ac:dyDescent="0.3">
      <c r="B48" s="7" t="s">
        <v>148</v>
      </c>
      <c r="C48" s="8">
        <v>2999</v>
      </c>
      <c r="D48" s="13" t="s">
        <v>147</v>
      </c>
    </row>
    <row r="49" spans="2:4" x14ac:dyDescent="0.3">
      <c r="B49" s="7" t="s">
        <v>149</v>
      </c>
      <c r="C49" s="8">
        <v>4999</v>
      </c>
      <c r="D49" s="13" t="s">
        <v>147</v>
      </c>
    </row>
    <row r="50" spans="2:4" x14ac:dyDescent="0.3">
      <c r="B50" s="7" t="s">
        <v>150</v>
      </c>
      <c r="C50" s="8">
        <v>7999</v>
      </c>
      <c r="D50" s="13" t="s">
        <v>147</v>
      </c>
    </row>
    <row r="53" spans="2:4" x14ac:dyDescent="0.3">
      <c r="B53" s="7" t="s">
        <v>151</v>
      </c>
      <c r="C53" s="8" t="s">
        <v>143</v>
      </c>
    </row>
    <row r="54" spans="2:4" x14ac:dyDescent="0.3">
      <c r="B54" s="7" t="s">
        <v>152</v>
      </c>
      <c r="C54" s="8">
        <v>58</v>
      </c>
      <c r="D54" s="13" t="str">
        <f>D46</f>
        <v>monthly billed annually</v>
      </c>
    </row>
    <row r="55" spans="2:4" x14ac:dyDescent="0.3">
      <c r="B55" s="7" t="s">
        <v>153</v>
      </c>
      <c r="C55" s="8">
        <v>199</v>
      </c>
      <c r="D55" s="13" t="str">
        <f>D47</f>
        <v>monthly billed annually</v>
      </c>
    </row>
    <row r="56" spans="2:4" x14ac:dyDescent="0.3">
      <c r="B56" s="7" t="s">
        <v>154</v>
      </c>
      <c r="C56" s="8">
        <v>99</v>
      </c>
      <c r="D56" s="13" t="str">
        <f>D48</f>
        <v>monthly billed annually</v>
      </c>
    </row>
    <row r="59" spans="2:4" x14ac:dyDescent="0.3">
      <c r="B59" s="7" t="s">
        <v>155</v>
      </c>
      <c r="C59" s="8" t="s">
        <v>156</v>
      </c>
    </row>
    <row r="60" spans="2:4" x14ac:dyDescent="0.3">
      <c r="B60" s="7" t="s">
        <v>157</v>
      </c>
      <c r="C60" s="8" t="s">
        <v>158</v>
      </c>
    </row>
    <row r="61" spans="2:4" x14ac:dyDescent="0.3">
      <c r="B61" s="7" t="s">
        <v>153</v>
      </c>
      <c r="C61" s="8">
        <v>350</v>
      </c>
    </row>
    <row r="62" spans="2:4" x14ac:dyDescent="0.3">
      <c r="B62" s="7" t="s">
        <v>143</v>
      </c>
      <c r="C62" s="8">
        <v>700</v>
      </c>
    </row>
    <row r="64" spans="2:4" x14ac:dyDescent="0.3">
      <c r="B64" s="7" t="s">
        <v>159</v>
      </c>
      <c r="C64" s="8" t="s">
        <v>156</v>
      </c>
    </row>
    <row r="65" spans="2:3" x14ac:dyDescent="0.3">
      <c r="B65" s="7" t="s">
        <v>160</v>
      </c>
      <c r="C65" s="8" t="s">
        <v>161</v>
      </c>
    </row>
    <row r="68" spans="2:3" x14ac:dyDescent="0.3">
      <c r="B68" s="16" t="s">
        <v>163</v>
      </c>
    </row>
    <row r="71" spans="2:3" x14ac:dyDescent="0.3">
      <c r="B71" s="7" t="s">
        <v>164</v>
      </c>
    </row>
    <row r="72" spans="2:3" x14ac:dyDescent="0.3">
      <c r="B72" s="7" t="s">
        <v>165</v>
      </c>
    </row>
    <row r="76" spans="2:3" x14ac:dyDescent="0.3">
      <c r="B76" s="7" t="s">
        <v>171</v>
      </c>
    </row>
  </sheetData>
  <mergeCells count="1">
    <mergeCell ref="E31:E34"/>
  </mergeCells>
  <dataValidations count="1">
    <dataValidation type="list" allowBlank="1" showInputMessage="1" showErrorMessage="1" sqref="B1" xr:uid="{ABCB85E8-B6A3-40B3-9671-11684A2D7890}">
      <formula1>$C$2:$C$4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74B2-2E92-4D76-88DD-6BC904B38DF0}">
  <dimension ref="A1:F3"/>
  <sheetViews>
    <sheetView workbookViewId="0">
      <selection activeCell="G16" sqref="G16"/>
    </sheetView>
  </sheetViews>
  <sheetFormatPr defaultRowHeight="14.5" x14ac:dyDescent="0.35"/>
  <sheetData>
    <row r="1" spans="1:6" x14ac:dyDescent="0.35">
      <c r="A1">
        <v>2022</v>
      </c>
      <c r="B1">
        <v>2021</v>
      </c>
      <c r="C1">
        <v>2020</v>
      </c>
      <c r="D1">
        <v>2019</v>
      </c>
      <c r="E1">
        <v>2018</v>
      </c>
    </row>
    <row r="2" spans="1:6" x14ac:dyDescent="0.35">
      <c r="A2" s="52">
        <v>8.7361328539838912E-2</v>
      </c>
      <c r="B2" s="52">
        <v>6.0774762151462776E-2</v>
      </c>
      <c r="C2" s="53">
        <v>7.6406668844333142E-2</v>
      </c>
      <c r="D2" s="53">
        <v>7.6406668844333142E-2</v>
      </c>
      <c r="E2" s="54">
        <v>0.10287301683385644</v>
      </c>
      <c r="F2" t="s">
        <v>343</v>
      </c>
    </row>
    <row r="3" spans="1:6" x14ac:dyDescent="0.35">
      <c r="A3">
        <f>1/A2</f>
        <v>11.446712369352023</v>
      </c>
      <c r="B3">
        <f t="shared" ref="B3:E3" si="0">1/B2</f>
        <v>16.45419849620804</v>
      </c>
      <c r="C3">
        <f t="shared" si="0"/>
        <v>13.087862815186282</v>
      </c>
      <c r="D3">
        <f t="shared" si="0"/>
        <v>13.087862815186282</v>
      </c>
      <c r="E3">
        <f t="shared" si="0"/>
        <v>9.7207220199932056</v>
      </c>
      <c r="F3" t="s">
        <v>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82670-0F07-4958-B091-70F8C31741E1}">
  <dimension ref="A1:G5"/>
  <sheetViews>
    <sheetView workbookViewId="0">
      <selection activeCell="G3" sqref="G3"/>
    </sheetView>
  </sheetViews>
  <sheetFormatPr defaultRowHeight="14.5" x14ac:dyDescent="0.35"/>
  <cols>
    <col min="2" max="2" width="21.1796875" customWidth="1"/>
  </cols>
  <sheetData>
    <row r="1" spans="1:7" x14ac:dyDescent="0.35">
      <c r="A1">
        <v>1</v>
      </c>
      <c r="B1" t="s">
        <v>307</v>
      </c>
    </row>
    <row r="2" spans="1:7" x14ac:dyDescent="0.35">
      <c r="A2">
        <v>2</v>
      </c>
      <c r="B2" t="s">
        <v>303</v>
      </c>
    </row>
    <row r="3" spans="1:7" x14ac:dyDescent="0.35">
      <c r="A3">
        <v>3</v>
      </c>
      <c r="B3" t="s">
        <v>304</v>
      </c>
      <c r="F3" s="57">
        <v>7.3200000000000001E-2</v>
      </c>
      <c r="G3" s="55">
        <v>0.13</v>
      </c>
    </row>
    <row r="4" spans="1:7" x14ac:dyDescent="0.35">
      <c r="A4">
        <v>4</v>
      </c>
      <c r="B4" t="s">
        <v>305</v>
      </c>
      <c r="C4" t="s">
        <v>318</v>
      </c>
      <c r="D4" t="s">
        <v>319</v>
      </c>
      <c r="E4" t="s">
        <v>320</v>
      </c>
      <c r="F4" t="s">
        <v>321</v>
      </c>
      <c r="G4" t="s">
        <v>322</v>
      </c>
    </row>
    <row r="5" spans="1:7" x14ac:dyDescent="0.35">
      <c r="A5">
        <v>5</v>
      </c>
      <c r="B5" t="s">
        <v>306</v>
      </c>
      <c r="C5" t="s">
        <v>318</v>
      </c>
      <c r="D5" t="s">
        <v>323</v>
      </c>
      <c r="E5" t="s">
        <v>324</v>
      </c>
      <c r="F5" t="s">
        <v>325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9246-7ECD-41A4-B051-8BB5221E5181}">
  <dimension ref="A1:H22"/>
  <sheetViews>
    <sheetView topLeftCell="A7" workbookViewId="0">
      <selection activeCell="A14" sqref="A14"/>
    </sheetView>
  </sheetViews>
  <sheetFormatPr defaultColWidth="8.81640625" defaultRowHeight="14.5" x14ac:dyDescent="0.35"/>
  <cols>
    <col min="1" max="1" width="46.36328125" style="3" bestFit="1" customWidth="1"/>
    <col min="2" max="16384" width="8.81640625" style="3"/>
  </cols>
  <sheetData>
    <row r="1" spans="1:8" x14ac:dyDescent="0.35">
      <c r="A1" s="3" t="s">
        <v>116</v>
      </c>
    </row>
    <row r="2" spans="1:8" x14ac:dyDescent="0.35">
      <c r="A2" s="3" t="s">
        <v>117</v>
      </c>
    </row>
    <row r="4" spans="1:8" x14ac:dyDescent="0.35">
      <c r="A4" s="3" t="s">
        <v>118</v>
      </c>
    </row>
    <row r="7" spans="1:8" x14ac:dyDescent="0.35">
      <c r="A7" s="3" t="s">
        <v>119</v>
      </c>
    </row>
    <row r="9" spans="1:8" x14ac:dyDescent="0.35">
      <c r="A9" s="3" t="s">
        <v>90</v>
      </c>
      <c r="B9" s="3">
        <v>1725.05</v>
      </c>
      <c r="C9" s="3">
        <v>1826.8000000000002</v>
      </c>
    </row>
    <row r="10" spans="1:8" x14ac:dyDescent="0.35">
      <c r="B10" s="3">
        <v>2018</v>
      </c>
      <c r="C10" s="3">
        <v>2019</v>
      </c>
      <c r="D10" s="3">
        <v>2020</v>
      </c>
      <c r="E10" s="3">
        <v>2021</v>
      </c>
      <c r="F10" s="3">
        <v>2022</v>
      </c>
    </row>
    <row r="11" spans="1:8" x14ac:dyDescent="0.35">
      <c r="A11" s="3" t="s">
        <v>120</v>
      </c>
      <c r="B11" s="3">
        <v>6000</v>
      </c>
      <c r="C11" s="3">
        <v>8375</v>
      </c>
      <c r="D11" s="4">
        <v>11000</v>
      </c>
      <c r="E11" s="3">
        <v>12000</v>
      </c>
      <c r="F11" s="3">
        <v>15019</v>
      </c>
    </row>
    <row r="12" spans="1:8" x14ac:dyDescent="0.35">
      <c r="C12" s="5">
        <f>(C11/B11)-1</f>
        <v>0.39583333333333326</v>
      </c>
      <c r="D12" s="5">
        <f>(D11/C11)-1</f>
        <v>0.31343283582089554</v>
      </c>
      <c r="E12" s="5">
        <f>(E11/D11)-1</f>
        <v>9.0909090909090828E-2</v>
      </c>
      <c r="F12" s="5">
        <f>(F11/E11)-1</f>
        <v>0.25158333333333327</v>
      </c>
    </row>
    <row r="13" spans="1:8" x14ac:dyDescent="0.35">
      <c r="C13" s="6"/>
      <c r="D13" s="6"/>
      <c r="E13" s="6"/>
      <c r="F13" s="6"/>
    </row>
    <row r="14" spans="1:8" x14ac:dyDescent="0.35">
      <c r="A14" s="3" t="s">
        <v>166</v>
      </c>
    </row>
    <row r="15" spans="1:8" x14ac:dyDescent="0.35">
      <c r="A15" s="3" t="s">
        <v>110</v>
      </c>
      <c r="D15" s="3">
        <v>669</v>
      </c>
      <c r="E15" s="3">
        <v>1122</v>
      </c>
      <c r="F15" s="3">
        <v>1205</v>
      </c>
      <c r="G15" s="3">
        <v>334.67</v>
      </c>
      <c r="H15" s="3">
        <v>714.85</v>
      </c>
    </row>
    <row r="16" spans="1:8" x14ac:dyDescent="0.35">
      <c r="A16" s="3" t="s">
        <v>112</v>
      </c>
      <c r="D16" s="3">
        <v>0.27736318407960198</v>
      </c>
      <c r="E16" s="3">
        <v>0.33917775090689239</v>
      </c>
      <c r="F16" s="3">
        <v>0.28193729527374822</v>
      </c>
      <c r="G16" s="3">
        <v>6.3990439770554491E-2</v>
      </c>
      <c r="H16" s="3">
        <v>0.10651914766800775</v>
      </c>
    </row>
    <row r="17" spans="1:8" x14ac:dyDescent="0.35">
      <c r="A17" s="3" t="s">
        <v>113</v>
      </c>
      <c r="E17" s="3">
        <v>0.67713004484304928</v>
      </c>
      <c r="F17" s="3">
        <v>7.3975044563279857E-2</v>
      </c>
      <c r="G17" s="3">
        <v>-0.7222655601659751</v>
      </c>
      <c r="H17" s="3">
        <v>1.1359847013475961</v>
      </c>
    </row>
    <row r="19" spans="1:8" x14ac:dyDescent="0.35">
      <c r="A19" s="3" t="s">
        <v>170</v>
      </c>
    </row>
    <row r="20" spans="1:8" x14ac:dyDescent="0.35">
      <c r="A20" s="3" t="s">
        <v>167</v>
      </c>
    </row>
    <row r="21" spans="1:8" x14ac:dyDescent="0.35">
      <c r="A21" s="3" t="s">
        <v>168</v>
      </c>
    </row>
    <row r="22" spans="1:8" x14ac:dyDescent="0.35">
      <c r="A22" s="3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FB730-0F2C-4CAD-93A4-755FF9675B26}">
  <dimension ref="B2:I64"/>
  <sheetViews>
    <sheetView zoomScale="60" workbookViewId="0">
      <selection activeCell="A17" sqref="A17"/>
    </sheetView>
  </sheetViews>
  <sheetFormatPr defaultColWidth="8.81640625" defaultRowHeight="15.5" x14ac:dyDescent="0.35"/>
  <cols>
    <col min="1" max="1" width="8.81640625" style="89"/>
    <col min="2" max="2" width="36.7265625" style="89" bestFit="1" customWidth="1"/>
    <col min="3" max="4" width="12.90625" style="89" bestFit="1" customWidth="1"/>
    <col min="5" max="5" width="12" style="89" bestFit="1" customWidth="1"/>
    <col min="6" max="6" width="91.54296875" style="89" bestFit="1" customWidth="1"/>
    <col min="7" max="7" width="7.6328125" style="89" bestFit="1" customWidth="1"/>
    <col min="8" max="8" width="24.81640625" style="89" bestFit="1" customWidth="1"/>
    <col min="9" max="9" width="37" style="89" bestFit="1" customWidth="1"/>
    <col min="10" max="16384" width="8.81640625" style="89"/>
  </cols>
  <sheetData>
    <row r="2" spans="2:6" x14ac:dyDescent="0.35">
      <c r="B2" s="88" t="s">
        <v>0</v>
      </c>
      <c r="C2" s="88">
        <v>202103</v>
      </c>
      <c r="D2" s="88">
        <v>202203</v>
      </c>
    </row>
    <row r="3" spans="2:6" x14ac:dyDescent="0.35">
      <c r="B3" s="90" t="s">
        <v>26</v>
      </c>
      <c r="C3" s="91"/>
      <c r="D3" s="91"/>
    </row>
    <row r="4" spans="2:6" x14ac:dyDescent="0.35">
      <c r="B4" s="91" t="s">
        <v>27</v>
      </c>
      <c r="C4" s="92">
        <v>5.25</v>
      </c>
      <c r="D4" s="92">
        <v>5.25</v>
      </c>
    </row>
    <row r="5" spans="2:6" x14ac:dyDescent="0.35">
      <c r="B5" s="91" t="s">
        <v>28</v>
      </c>
      <c r="C5" s="93">
        <v>5597.14</v>
      </c>
      <c r="D5" s="93">
        <v>8566.27</v>
      </c>
      <c r="E5" s="94">
        <f>D5/C5-1</f>
        <v>0.53047270570326988</v>
      </c>
    </row>
    <row r="6" spans="2:6" x14ac:dyDescent="0.35">
      <c r="B6" s="95" t="s">
        <v>29</v>
      </c>
      <c r="C6" s="96">
        <f>SUM(C4:C5)</f>
        <v>5602.39</v>
      </c>
      <c r="D6" s="96">
        <f>SUM(D4:D5)</f>
        <v>8571.52</v>
      </c>
    </row>
    <row r="7" spans="2:6" x14ac:dyDescent="0.35">
      <c r="B7" s="91" t="s">
        <v>52</v>
      </c>
      <c r="C7" s="97">
        <v>0.05</v>
      </c>
      <c r="D7" s="97">
        <v>0.22</v>
      </c>
      <c r="E7" s="89" t="s">
        <v>487</v>
      </c>
    </row>
    <row r="8" spans="2:6" x14ac:dyDescent="0.35">
      <c r="B8" s="98"/>
      <c r="C8" s="98"/>
      <c r="D8" s="98"/>
    </row>
    <row r="9" spans="2:6" x14ac:dyDescent="0.35">
      <c r="B9" s="91" t="s">
        <v>30</v>
      </c>
      <c r="C9" s="91">
        <v>0</v>
      </c>
      <c r="D9" s="91">
        <v>0</v>
      </c>
    </row>
    <row r="10" spans="2:6" x14ac:dyDescent="0.35">
      <c r="B10" s="91" t="s">
        <v>31</v>
      </c>
      <c r="C10" s="91">
        <v>0</v>
      </c>
      <c r="D10" s="91">
        <v>0</v>
      </c>
    </row>
    <row r="11" spans="2:6" x14ac:dyDescent="0.35">
      <c r="B11" s="91" t="s">
        <v>32</v>
      </c>
      <c r="C11" s="99">
        <v>125.28</v>
      </c>
      <c r="D11" s="99">
        <v>199.99</v>
      </c>
      <c r="E11" s="94">
        <f>'HISTORICAL P&amp;L'!B67/'HISTORICAL BS'!C11</f>
        <v>1.9556194125159642E-2</v>
      </c>
      <c r="F11" s="94">
        <f>'HISTORICAL P&amp;L'!C67/'HISTORICAL BS'!D11</f>
        <v>5.110255512775639E-2</v>
      </c>
    </row>
    <row r="12" spans="2:6" x14ac:dyDescent="0.35">
      <c r="B12" s="91" t="s">
        <v>51</v>
      </c>
      <c r="C12" s="99">
        <v>39.21</v>
      </c>
      <c r="D12" s="99">
        <v>49.72</v>
      </c>
    </row>
    <row r="13" spans="2:6" x14ac:dyDescent="0.35">
      <c r="B13" s="95" t="s">
        <v>50</v>
      </c>
      <c r="C13" s="95">
        <f>SUM(C9:C12)</f>
        <v>164.49</v>
      </c>
      <c r="D13" s="95">
        <f>SUM(D9:D12)</f>
        <v>249.71</v>
      </c>
    </row>
    <row r="14" spans="2:6" x14ac:dyDescent="0.35">
      <c r="B14" s="91" t="s">
        <v>372</v>
      </c>
      <c r="C14" s="100">
        <v>1666.77</v>
      </c>
      <c r="D14" s="100">
        <v>2374.08</v>
      </c>
    </row>
    <row r="15" spans="2:6" x14ac:dyDescent="0.35">
      <c r="B15" s="91" t="s">
        <v>51</v>
      </c>
      <c r="C15" s="91">
        <v>146.71</v>
      </c>
      <c r="D15" s="91">
        <v>157.07</v>
      </c>
    </row>
    <row r="16" spans="2:6" x14ac:dyDescent="0.35">
      <c r="B16" s="95" t="s">
        <v>49</v>
      </c>
      <c r="C16" s="96">
        <f>C14+C15</f>
        <v>1813.48</v>
      </c>
      <c r="D16" s="96">
        <f>D14+D15</f>
        <v>2531.15</v>
      </c>
    </row>
    <row r="17" spans="2:4" ht="30.5" x14ac:dyDescent="0.35">
      <c r="B17" s="101" t="s">
        <v>33</v>
      </c>
      <c r="C17" s="102">
        <f>C6+C13+C16+C7</f>
        <v>7580.4100000000008</v>
      </c>
      <c r="D17" s="102">
        <f>D6+D13+D16+D7</f>
        <v>11352.599999999999</v>
      </c>
    </row>
    <row r="18" spans="2:4" x14ac:dyDescent="0.35">
      <c r="B18" s="103"/>
      <c r="C18" s="104"/>
      <c r="D18" s="104"/>
    </row>
    <row r="19" spans="2:4" x14ac:dyDescent="0.35">
      <c r="B19" s="90" t="s">
        <v>34</v>
      </c>
      <c r="C19" s="91"/>
      <c r="D19" s="91"/>
    </row>
    <row r="20" spans="2:4" x14ac:dyDescent="0.35">
      <c r="B20" s="91" t="s">
        <v>53</v>
      </c>
      <c r="C20" s="100">
        <v>3562.69</v>
      </c>
      <c r="D20" s="100">
        <v>4165.74</v>
      </c>
    </row>
    <row r="21" spans="2:4" x14ac:dyDescent="0.35">
      <c r="B21" s="91" t="s">
        <v>35</v>
      </c>
      <c r="C21" s="100">
        <v>1898.5</v>
      </c>
      <c r="D21" s="100">
        <v>2192.12</v>
      </c>
    </row>
    <row r="22" spans="2:4" x14ac:dyDescent="0.35">
      <c r="B22" s="91" t="s">
        <v>36</v>
      </c>
      <c r="C22" s="91">
        <v>0</v>
      </c>
      <c r="D22" s="91">
        <v>0</v>
      </c>
    </row>
    <row r="23" spans="2:4" x14ac:dyDescent="0.35">
      <c r="B23" s="95" t="s">
        <v>37</v>
      </c>
      <c r="C23" s="96">
        <f>C20-C21-C22</f>
        <v>1664.19</v>
      </c>
      <c r="D23" s="96">
        <f>D20-D21-D22</f>
        <v>1973.62</v>
      </c>
    </row>
    <row r="24" spans="2:4" x14ac:dyDescent="0.35">
      <c r="B24" s="91" t="s">
        <v>38</v>
      </c>
      <c r="C24" s="91">
        <v>264.33</v>
      </c>
      <c r="D24" s="91">
        <v>341.75</v>
      </c>
    </row>
    <row r="25" spans="2:4" x14ac:dyDescent="0.35">
      <c r="B25" s="91" t="s">
        <v>39</v>
      </c>
      <c r="C25" s="91">
        <v>483.19</v>
      </c>
      <c r="D25" s="91">
        <v>378.64</v>
      </c>
    </row>
    <row r="26" spans="2:4" x14ac:dyDescent="0.35">
      <c r="B26" s="95" t="s">
        <v>54</v>
      </c>
      <c r="C26" s="96">
        <v>371.03</v>
      </c>
      <c r="D26" s="96">
        <v>493.98</v>
      </c>
    </row>
    <row r="27" spans="2:4" x14ac:dyDescent="0.35">
      <c r="B27" s="91" t="s">
        <v>40</v>
      </c>
      <c r="C27" s="100">
        <v>3508.97</v>
      </c>
      <c r="D27" s="100">
        <v>6577.67</v>
      </c>
    </row>
    <row r="28" spans="2:4" x14ac:dyDescent="0.35">
      <c r="B28" s="95" t="s">
        <v>41</v>
      </c>
      <c r="C28" s="96">
        <f>SUM(C23:C27)</f>
        <v>6291.7099999999991</v>
      </c>
      <c r="D28" s="96">
        <f>SUM(D23:D27)</f>
        <v>9765.66</v>
      </c>
    </row>
    <row r="29" spans="2:4" x14ac:dyDescent="0.35">
      <c r="B29" s="91" t="s">
        <v>42</v>
      </c>
      <c r="C29" s="91">
        <v>0</v>
      </c>
      <c r="D29" s="100">
        <v>0</v>
      </c>
    </row>
    <row r="30" spans="2:4" x14ac:dyDescent="0.35">
      <c r="B30" s="91" t="s">
        <v>43</v>
      </c>
      <c r="C30" s="100">
        <v>552.75</v>
      </c>
      <c r="D30" s="100">
        <v>738.81</v>
      </c>
    </row>
    <row r="31" spans="2:4" x14ac:dyDescent="0.35">
      <c r="B31" s="91" t="s">
        <v>44</v>
      </c>
      <c r="C31" s="91">
        <v>520.46</v>
      </c>
      <c r="D31" s="91">
        <v>514.66999999999996</v>
      </c>
    </row>
    <row r="32" spans="2:4" x14ac:dyDescent="0.35">
      <c r="B32" s="91" t="s">
        <v>45</v>
      </c>
      <c r="C32" s="91">
        <v>215.49</v>
      </c>
      <c r="D32" s="91">
        <v>333.46</v>
      </c>
    </row>
    <row r="33" spans="2:9" x14ac:dyDescent="0.35">
      <c r="B33" s="95" t="s">
        <v>46</v>
      </c>
      <c r="C33" s="96">
        <f>SUM(C29:C32)</f>
        <v>1288.7</v>
      </c>
      <c r="D33" s="96">
        <f>SUM(D29:D32)</f>
        <v>1586.94</v>
      </c>
    </row>
    <row r="34" spans="2:9" x14ac:dyDescent="0.35">
      <c r="E34" s="105"/>
    </row>
    <row r="35" spans="2:9" x14ac:dyDescent="0.35">
      <c r="B35" s="101" t="s">
        <v>47</v>
      </c>
      <c r="C35" s="102">
        <f>C28+C33</f>
        <v>7580.4099999999989</v>
      </c>
      <c r="D35" s="102">
        <f>D28+D33</f>
        <v>11352.6</v>
      </c>
    </row>
    <row r="36" spans="2:9" ht="16" thickBot="1" x14ac:dyDescent="0.4">
      <c r="B36" s="106"/>
      <c r="C36" s="106"/>
      <c r="D36" s="106"/>
    </row>
    <row r="37" spans="2:9" ht="16" thickBot="1" x14ac:dyDescent="0.4">
      <c r="B37" s="107" t="s">
        <v>48</v>
      </c>
      <c r="C37" s="108">
        <f>C17-C35</f>
        <v>0</v>
      </c>
      <c r="D37" s="109">
        <f>D17-D35</f>
        <v>0</v>
      </c>
      <c r="F37" s="89" t="s">
        <v>344</v>
      </c>
      <c r="I37" s="89" t="s">
        <v>347</v>
      </c>
    </row>
    <row r="38" spans="2:9" ht="16" thickBot="1" x14ac:dyDescent="0.4">
      <c r="F38" s="89" t="s">
        <v>345</v>
      </c>
      <c r="I38" s="89" t="s">
        <v>346</v>
      </c>
    </row>
    <row r="39" spans="2:9" x14ac:dyDescent="0.35">
      <c r="B39" s="110" t="s">
        <v>78</v>
      </c>
      <c r="C39" s="111">
        <f>C58/C23</f>
        <v>3.1424596951069286</v>
      </c>
      <c r="D39" s="111">
        <f>D58/D23</f>
        <v>3.4002391544471582</v>
      </c>
      <c r="F39" s="89" t="s">
        <v>336</v>
      </c>
      <c r="G39" s="89" t="s">
        <v>337</v>
      </c>
      <c r="H39" s="89" t="s">
        <v>338</v>
      </c>
    </row>
    <row r="40" spans="2:9" x14ac:dyDescent="0.35">
      <c r="B40" s="112" t="s">
        <v>79</v>
      </c>
      <c r="C40" s="113">
        <f>C13/C6</f>
        <v>2.9360683565406907E-2</v>
      </c>
      <c r="D40" s="113">
        <f>D13/D6</f>
        <v>2.9132522586425746E-2</v>
      </c>
      <c r="F40" s="89" t="s">
        <v>339</v>
      </c>
    </row>
    <row r="41" spans="2:9" x14ac:dyDescent="0.35">
      <c r="B41" s="114" t="s">
        <v>80</v>
      </c>
      <c r="C41" s="113">
        <f>C56/C57</f>
        <v>33.165491552481043</v>
      </c>
      <c r="D41" s="113">
        <f>D56/D57</f>
        <v>31.715323231417546</v>
      </c>
      <c r="F41" s="89" t="s">
        <v>340</v>
      </c>
    </row>
    <row r="42" spans="2:9" x14ac:dyDescent="0.35">
      <c r="B42" s="112" t="s">
        <v>81</v>
      </c>
      <c r="C42" s="113">
        <f>(C57+C55+C54)/(C57+C13)</f>
        <v>9.7643328048068092</v>
      </c>
      <c r="D42" s="113">
        <f>(D57+D55+D54)/(D57+D13)</f>
        <v>8.6815967224006165</v>
      </c>
      <c r="F42" s="89" t="s">
        <v>341</v>
      </c>
    </row>
    <row r="43" spans="2:9" x14ac:dyDescent="0.35">
      <c r="B43" s="114" t="s">
        <v>82</v>
      </c>
      <c r="C43" s="115">
        <f>((C56*(1-0.2))/C6)</f>
        <v>0.35599806511149706</v>
      </c>
      <c r="D43" s="115">
        <f>((D56*(1-0.17))/D6)</f>
        <v>0.34251618149406393</v>
      </c>
      <c r="F43" s="89" t="s">
        <v>342</v>
      </c>
    </row>
    <row r="44" spans="2:9" ht="16" thickBot="1" x14ac:dyDescent="0.4">
      <c r="B44" s="116" t="s">
        <v>83</v>
      </c>
      <c r="C44" s="117">
        <f>(C54*(1-0.2))/C6</f>
        <v>0.27373888643953748</v>
      </c>
      <c r="D44" s="117">
        <f>(D54*(1-0.17))/D6</f>
        <v>0.26602931568729921</v>
      </c>
    </row>
    <row r="46" spans="2:9" x14ac:dyDescent="0.35">
      <c r="B46" s="118" t="s">
        <v>57</v>
      </c>
      <c r="C46" s="119"/>
      <c r="D46" s="119"/>
      <c r="F46" s="89" t="s">
        <v>280</v>
      </c>
    </row>
    <row r="47" spans="2:9" x14ac:dyDescent="0.35">
      <c r="B47" s="120" t="s">
        <v>58</v>
      </c>
      <c r="C47" s="121">
        <f>(C30/C$58)*365</f>
        <v>38.578824586731429</v>
      </c>
      <c r="D47" s="121">
        <f>(D30/D$58)*365</f>
        <v>40.183950300859209</v>
      </c>
    </row>
    <row r="48" spans="2:9" x14ac:dyDescent="0.35">
      <c r="B48" s="122" t="s">
        <v>59</v>
      </c>
      <c r="C48" s="123">
        <f>(C29/C$58)*365</f>
        <v>0</v>
      </c>
      <c r="D48" s="123">
        <f>(D29/D$58)*365</f>
        <v>0</v>
      </c>
    </row>
    <row r="49" spans="2:4" x14ac:dyDescent="0.35">
      <c r="B49" s="122" t="s">
        <v>415</v>
      </c>
      <c r="C49" s="123">
        <f>C32/'HISTORICAL P&amp;L'!B4*365</f>
        <v>15.03998355530485</v>
      </c>
      <c r="D49" s="123">
        <f>D32/'HISTORICAL P&amp;L'!C4*365</f>
        <v>18.136922980637124</v>
      </c>
    </row>
    <row r="50" spans="2:4" x14ac:dyDescent="0.35">
      <c r="B50" s="120" t="s">
        <v>60</v>
      </c>
      <c r="C50" s="123">
        <f>(C14/C$58)*365</f>
        <v>116.33112158557456</v>
      </c>
      <c r="D50" s="123">
        <f>(D14/D$58)*365</f>
        <v>129.12645027850712</v>
      </c>
    </row>
    <row r="51" spans="2:4" x14ac:dyDescent="0.35">
      <c r="B51" s="124" t="s">
        <v>61</v>
      </c>
      <c r="C51" s="125">
        <f>C47+C48+C49-C50</f>
        <v>-62.712313443538285</v>
      </c>
      <c r="D51" s="125">
        <f>D47+D48+D49-D50</f>
        <v>-70.805576997010789</v>
      </c>
    </row>
    <row r="52" spans="2:4" x14ac:dyDescent="0.35">
      <c r="B52" s="126" t="s">
        <v>107</v>
      </c>
      <c r="C52" s="127">
        <f>CORREL(C47:D47,C50:D50)</f>
        <v>1.0000000000000002</v>
      </c>
    </row>
    <row r="53" spans="2:4" x14ac:dyDescent="0.35">
      <c r="B53" s="128"/>
    </row>
    <row r="54" spans="2:4" x14ac:dyDescent="0.35">
      <c r="B54" s="92" t="s">
        <v>55</v>
      </c>
      <c r="C54" s="129">
        <f>'[1]HISTORICAL P&amp;L'!D73</f>
        <v>1916.9900000000002</v>
      </c>
      <c r="D54" s="129">
        <f>'[1]HISTORICAL P&amp;L'!E73</f>
        <v>2747.3199999999988</v>
      </c>
    </row>
    <row r="55" spans="2:4" x14ac:dyDescent="0.35">
      <c r="B55" s="92" t="s">
        <v>23</v>
      </c>
      <c r="C55" s="129">
        <f>'[1]HISTORICAL P&amp;L'!D62</f>
        <v>347.96</v>
      </c>
      <c r="D55" s="129">
        <f>'[1]HISTORICAL P&amp;L'!E62</f>
        <v>277.29000000000002</v>
      </c>
    </row>
    <row r="56" spans="2:4" x14ac:dyDescent="0.35">
      <c r="B56" s="92" t="s">
        <v>56</v>
      </c>
      <c r="C56" s="129">
        <f>'[1]HISTORICAL P&amp;L'!D63</f>
        <v>2493.0500000000002</v>
      </c>
      <c r="D56" s="129">
        <f>'[1]HISTORICAL P&amp;L'!E63</f>
        <v>3537.2099999999991</v>
      </c>
    </row>
    <row r="57" spans="2:4" x14ac:dyDescent="0.35">
      <c r="B57" s="92" t="s">
        <v>20</v>
      </c>
      <c r="C57" s="129">
        <f>'[1]HISTORICAL P&amp;L'!D68</f>
        <v>75.17</v>
      </c>
      <c r="D57" s="129">
        <f>'[1]HISTORICAL P&amp;L'!E68</f>
        <v>111.53</v>
      </c>
    </row>
    <row r="58" spans="2:4" x14ac:dyDescent="0.35">
      <c r="B58" s="130" t="s">
        <v>77</v>
      </c>
      <c r="C58" s="129">
        <f>'[1]HISTORICAL P&amp;L'!D4</f>
        <v>5229.6499999999996</v>
      </c>
      <c r="D58" s="129">
        <f>'[1]HISTORICAL P&amp;L'!E4</f>
        <v>6710.78</v>
      </c>
    </row>
    <row r="60" spans="2:4" x14ac:dyDescent="0.35">
      <c r="B60" s="131" t="s">
        <v>84</v>
      </c>
      <c r="C60" s="89">
        <f>C6/'[1]HISTORICAL P&amp;L'!D73</f>
        <v>2.9224930750812468</v>
      </c>
      <c r="D60" s="89">
        <f>D6/'[1]HISTORICAL P&amp;L'!E73</f>
        <v>3.1199569034550048</v>
      </c>
    </row>
    <row r="61" spans="2:4" x14ac:dyDescent="0.35">
      <c r="B61" s="131" t="s">
        <v>224</v>
      </c>
      <c r="C61" s="132">
        <f>'[1]HISTORICAL P&amp;L'!D62</f>
        <v>347.96</v>
      </c>
      <c r="D61" s="132">
        <f>'[1]HISTORICAL P&amp;L'!E62</f>
        <v>277.29000000000002</v>
      </c>
    </row>
    <row r="62" spans="2:4" x14ac:dyDescent="0.35">
      <c r="B62" s="132" t="s">
        <v>350</v>
      </c>
      <c r="C62" s="133">
        <f>C61/C23</f>
        <v>0.20908670284042086</v>
      </c>
      <c r="D62" s="133">
        <f>D61/D23</f>
        <v>0.14049817087382577</v>
      </c>
    </row>
    <row r="63" spans="2:4" x14ac:dyDescent="0.35">
      <c r="C63" s="89" t="s">
        <v>438</v>
      </c>
    </row>
    <row r="64" spans="2:4" x14ac:dyDescent="0.35">
      <c r="B64" s="131" t="s">
        <v>437</v>
      </c>
      <c r="C64" s="105">
        <f>(D32+D30)-(D16)</f>
        <v>-1458.88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99075-8DC9-43DE-83E5-DBA168AFD4FC}">
  <dimension ref="A1:C38"/>
  <sheetViews>
    <sheetView workbookViewId="0">
      <selection activeCell="A4" sqref="A4"/>
    </sheetView>
  </sheetViews>
  <sheetFormatPr defaultColWidth="8.81640625" defaultRowHeight="15.5" x14ac:dyDescent="0.35"/>
  <cols>
    <col min="1" max="1" width="44.90625" style="135" bestFit="1" customWidth="1"/>
    <col min="2" max="2" width="9.08984375" style="135" bestFit="1" customWidth="1"/>
    <col min="3" max="3" width="11.1796875" style="135" customWidth="1"/>
    <col min="4" max="16384" width="8.81640625" style="135"/>
  </cols>
  <sheetData>
    <row r="1" spans="1:3" ht="13" customHeight="1" x14ac:dyDescent="0.35">
      <c r="A1" s="150" t="s">
        <v>240</v>
      </c>
      <c r="B1" s="136"/>
      <c r="C1" s="136"/>
    </row>
    <row r="2" spans="1:3" x14ac:dyDescent="0.35">
      <c r="A2" s="137" t="s">
        <v>0</v>
      </c>
      <c r="B2" s="137">
        <v>202103</v>
      </c>
      <c r="C2" s="137">
        <v>202203</v>
      </c>
    </row>
    <row r="3" spans="1:3" x14ac:dyDescent="0.35">
      <c r="A3" s="138" t="s">
        <v>241</v>
      </c>
      <c r="B3" s="138"/>
      <c r="C3" s="138"/>
    </row>
    <row r="4" spans="1:3" ht="30.5" x14ac:dyDescent="0.35">
      <c r="A4" s="139" t="s">
        <v>242</v>
      </c>
      <c r="B4" s="139">
        <v>251.87</v>
      </c>
      <c r="C4" s="139">
        <v>510.3</v>
      </c>
    </row>
    <row r="5" spans="1:3" x14ac:dyDescent="0.35">
      <c r="A5" s="140"/>
      <c r="B5" s="140"/>
      <c r="C5" s="140"/>
    </row>
    <row r="6" spans="1:3" x14ac:dyDescent="0.35">
      <c r="A6" s="138" t="s">
        <v>244</v>
      </c>
      <c r="B6" s="138">
        <v>2418.27</v>
      </c>
      <c r="C6" s="138">
        <v>3425.66</v>
      </c>
    </row>
    <row r="7" spans="1:3" x14ac:dyDescent="0.35">
      <c r="A7" s="138" t="s">
        <v>224</v>
      </c>
      <c r="B7" s="138">
        <v>351.24</v>
      </c>
      <c r="C7" s="138">
        <v>281.14999999999998</v>
      </c>
    </row>
    <row r="8" spans="1:3" x14ac:dyDescent="0.35">
      <c r="A8" s="138" t="s">
        <v>245</v>
      </c>
      <c r="B8" s="138">
        <v>-105.12</v>
      </c>
      <c r="C8" s="138">
        <v>-180.08</v>
      </c>
    </row>
    <row r="9" spans="1:3" x14ac:dyDescent="0.35">
      <c r="A9" s="138" t="s">
        <v>246</v>
      </c>
      <c r="B9" s="138">
        <v>-0.01</v>
      </c>
      <c r="C9" s="138">
        <v>-0.01</v>
      </c>
    </row>
    <row r="10" spans="1:3" x14ac:dyDescent="0.35">
      <c r="A10" s="138" t="s">
        <v>247</v>
      </c>
      <c r="B10" s="138">
        <v>-121.41</v>
      </c>
      <c r="C10" s="138">
        <v>241.1</v>
      </c>
    </row>
    <row r="11" spans="1:3" x14ac:dyDescent="0.35">
      <c r="A11" s="138" t="s">
        <v>248</v>
      </c>
      <c r="B11" s="140">
        <f>SUM(B7:B10)</f>
        <v>124.70000000000002</v>
      </c>
      <c r="C11" s="140">
        <f>SUM(C7:C10)</f>
        <v>342.15999999999997</v>
      </c>
    </row>
    <row r="12" spans="1:3" x14ac:dyDescent="0.35">
      <c r="A12" s="141" t="s">
        <v>249</v>
      </c>
      <c r="B12" s="142">
        <f>B11+B6</f>
        <v>2542.9699999999998</v>
      </c>
      <c r="C12" s="142">
        <f>C11+C6</f>
        <v>3767.8199999999997</v>
      </c>
    </row>
    <row r="13" spans="1:3" x14ac:dyDescent="0.35">
      <c r="A13" s="138" t="s">
        <v>250</v>
      </c>
      <c r="B13" s="138">
        <v>-42.81</v>
      </c>
      <c r="C13" s="138">
        <v>-188.67</v>
      </c>
    </row>
    <row r="14" spans="1:3" x14ac:dyDescent="0.35">
      <c r="A14" s="138" t="s">
        <v>251</v>
      </c>
      <c r="B14" s="138">
        <v>4.3499999999999996</v>
      </c>
      <c r="C14" s="138">
        <v>151.19</v>
      </c>
    </row>
    <row r="15" spans="1:3" x14ac:dyDescent="0.35">
      <c r="A15" s="138" t="s">
        <v>247</v>
      </c>
      <c r="B15" s="138">
        <v>454.15</v>
      </c>
      <c r="C15" s="138">
        <v>378.26</v>
      </c>
    </row>
    <row r="16" spans="1:3" x14ac:dyDescent="0.35">
      <c r="A16" s="138" t="s">
        <v>252</v>
      </c>
      <c r="B16" s="140">
        <f>SUM(B13:B15)</f>
        <v>415.69</v>
      </c>
      <c r="C16" s="140">
        <f>SUM(C13:C15)</f>
        <v>340.78</v>
      </c>
    </row>
    <row r="17" spans="1:3" x14ac:dyDescent="0.35">
      <c r="A17" s="141" t="s">
        <v>253</v>
      </c>
      <c r="B17" s="142">
        <f>B16+B12</f>
        <v>2958.66</v>
      </c>
      <c r="C17" s="142">
        <f>C16+C12</f>
        <v>4108.5999999999995</v>
      </c>
    </row>
    <row r="18" spans="1:3" x14ac:dyDescent="0.35">
      <c r="A18" s="138" t="s">
        <v>254</v>
      </c>
      <c r="B18" s="138">
        <v>2.4500000000000002</v>
      </c>
      <c r="C18" s="138">
        <v>10.220000000000001</v>
      </c>
    </row>
    <row r="19" spans="1:3" x14ac:dyDescent="0.35">
      <c r="A19" s="138" t="s">
        <v>255</v>
      </c>
      <c r="B19" s="138">
        <v>-503.25</v>
      </c>
      <c r="C19" s="138">
        <v>-593.91</v>
      </c>
    </row>
    <row r="20" spans="1:3" x14ac:dyDescent="0.35">
      <c r="A20" s="138" t="s">
        <v>247</v>
      </c>
      <c r="B20" s="138">
        <v>0</v>
      </c>
      <c r="C20" s="138">
        <v>9.19</v>
      </c>
    </row>
    <row r="21" spans="1:3" x14ac:dyDescent="0.35">
      <c r="A21" s="138" t="s">
        <v>256</v>
      </c>
      <c r="B21" s="140">
        <f>SUM(B18:B20)</f>
        <v>-500.8</v>
      </c>
      <c r="C21" s="140">
        <f>SUM(C18:C20)</f>
        <v>-574.49999999999989</v>
      </c>
    </row>
    <row r="22" spans="1:3" x14ac:dyDescent="0.35">
      <c r="A22" s="138"/>
      <c r="B22" s="138"/>
      <c r="C22" s="138"/>
    </row>
    <row r="23" spans="1:3" x14ac:dyDescent="0.35">
      <c r="A23" s="139" t="s">
        <v>243</v>
      </c>
      <c r="B23" s="143">
        <f>B17+B21</f>
        <v>2457.8599999999997</v>
      </c>
      <c r="C23" s="143">
        <f>C17+C21</f>
        <v>3534.0999999999995</v>
      </c>
    </row>
    <row r="24" spans="1:3" x14ac:dyDescent="0.35">
      <c r="A24" s="138"/>
      <c r="B24" s="138"/>
      <c r="C24" s="138"/>
    </row>
    <row r="25" spans="1:3" x14ac:dyDescent="0.35">
      <c r="A25" s="138" t="s">
        <v>258</v>
      </c>
      <c r="B25" s="138">
        <v>-389.9</v>
      </c>
      <c r="C25" s="138">
        <v>-677.85</v>
      </c>
    </row>
    <row r="26" spans="1:3" x14ac:dyDescent="0.35">
      <c r="A26" s="138" t="s">
        <v>259</v>
      </c>
      <c r="B26" s="138">
        <v>30.6</v>
      </c>
      <c r="C26" s="138">
        <v>6.04</v>
      </c>
    </row>
    <row r="27" spans="1:3" x14ac:dyDescent="0.35">
      <c r="A27" s="138" t="s">
        <v>260</v>
      </c>
      <c r="B27" s="138">
        <v>-75.150000000000006</v>
      </c>
      <c r="C27" s="138">
        <v>-374.72</v>
      </c>
    </row>
    <row r="28" spans="1:3" x14ac:dyDescent="0.35">
      <c r="A28" s="138" t="s">
        <v>261</v>
      </c>
      <c r="B28" s="138">
        <v>105.12</v>
      </c>
      <c r="C28" s="138">
        <v>180.08</v>
      </c>
    </row>
    <row r="29" spans="1:3" x14ac:dyDescent="0.35">
      <c r="A29" s="138" t="s">
        <v>246</v>
      </c>
      <c r="B29" s="138">
        <v>0.01</v>
      </c>
      <c r="C29" s="138">
        <v>0.01</v>
      </c>
    </row>
    <row r="30" spans="1:3" x14ac:dyDescent="0.35">
      <c r="A30" s="138" t="s">
        <v>247</v>
      </c>
      <c r="B30" s="138">
        <v>-1799.86</v>
      </c>
      <c r="C30" s="138">
        <v>-2662.04</v>
      </c>
    </row>
    <row r="31" spans="1:3" x14ac:dyDescent="0.35">
      <c r="A31" s="144" t="s">
        <v>257</v>
      </c>
      <c r="B31" s="145">
        <f>SUM(B25:B30)</f>
        <v>-2129.1799999999998</v>
      </c>
      <c r="C31" s="145">
        <f>SUM(C25:C30)</f>
        <v>-3528.48</v>
      </c>
    </row>
    <row r="32" spans="1:3" x14ac:dyDescent="0.35">
      <c r="A32" s="140"/>
      <c r="B32" s="140"/>
      <c r="C32" s="140"/>
    </row>
    <row r="33" spans="1:3" x14ac:dyDescent="0.35">
      <c r="A33" s="138" t="s">
        <v>262</v>
      </c>
      <c r="B33" s="138">
        <v>-0.08</v>
      </c>
      <c r="C33" s="138">
        <v>-1.41</v>
      </c>
    </row>
    <row r="34" spans="1:3" x14ac:dyDescent="0.35">
      <c r="A34" s="138" t="s">
        <v>263</v>
      </c>
      <c r="B34" s="138">
        <v>-60</v>
      </c>
      <c r="C34" s="138">
        <v>0</v>
      </c>
    </row>
    <row r="35" spans="1:3" x14ac:dyDescent="0.35">
      <c r="A35" s="138" t="s">
        <v>247</v>
      </c>
      <c r="B35" s="138">
        <v>0</v>
      </c>
      <c r="C35" s="138">
        <v>0.17</v>
      </c>
    </row>
    <row r="36" spans="1:3" x14ac:dyDescent="0.35">
      <c r="A36" s="146" t="s">
        <v>434</v>
      </c>
      <c r="B36" s="147">
        <f>SUM(B33:B35)</f>
        <v>-60.08</v>
      </c>
      <c r="C36" s="147">
        <f>SUM(C33:C35)</f>
        <v>-1.24</v>
      </c>
    </row>
    <row r="37" spans="1:3" x14ac:dyDescent="0.35">
      <c r="A37" s="140"/>
      <c r="B37" s="140"/>
      <c r="C37" s="140"/>
    </row>
    <row r="38" spans="1:3" x14ac:dyDescent="0.35">
      <c r="A38" s="148" t="s">
        <v>264</v>
      </c>
      <c r="B38" s="149">
        <f>B36+B31+B23+B4</f>
        <v>520.46999999999991</v>
      </c>
      <c r="C38" s="149">
        <f>C36+C31+C23+C4</f>
        <v>514.67999999999961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53CE2-DC4A-4A11-B6EC-A1D67D095212}">
  <dimension ref="A1:K61"/>
  <sheetViews>
    <sheetView topLeftCell="A72" workbookViewId="0">
      <selection activeCell="B3" sqref="B3"/>
    </sheetView>
  </sheetViews>
  <sheetFormatPr defaultRowHeight="15.5" x14ac:dyDescent="0.35"/>
  <cols>
    <col min="1" max="1" width="13.90625" style="89" customWidth="1"/>
    <col min="2" max="2" width="28.6328125" style="89" customWidth="1"/>
    <col min="3" max="3" width="17.54296875" style="89" bestFit="1" customWidth="1"/>
    <col min="4" max="5" width="11.1796875" style="89" bestFit="1" customWidth="1"/>
    <col min="6" max="6" width="15" style="89" bestFit="1" customWidth="1"/>
    <col min="7" max="7" width="10.26953125" style="89" bestFit="1" customWidth="1"/>
    <col min="8" max="9" width="8.81640625" style="89" bestFit="1" customWidth="1"/>
    <col min="10" max="11" width="9.81640625" style="89" bestFit="1" customWidth="1"/>
    <col min="12" max="16384" width="8.7265625" style="89"/>
  </cols>
  <sheetData>
    <row r="1" spans="2:11" x14ac:dyDescent="0.35">
      <c r="B1" s="151" t="s">
        <v>172</v>
      </c>
      <c r="C1" s="151" t="s">
        <v>281</v>
      </c>
    </row>
    <row r="2" spans="2:11" x14ac:dyDescent="0.35">
      <c r="B2" s="151" t="s">
        <v>173</v>
      </c>
      <c r="C2" s="151"/>
    </row>
    <row r="3" spans="2:11" x14ac:dyDescent="0.35">
      <c r="B3" s="151" t="s">
        <v>174</v>
      </c>
      <c r="C3" s="151"/>
    </row>
    <row r="4" spans="2:11" x14ac:dyDescent="0.35">
      <c r="B4" s="151" t="s">
        <v>198</v>
      </c>
      <c r="C4" s="151" t="s">
        <v>229</v>
      </c>
    </row>
    <row r="6" spans="2:11" s="126" customFormat="1" ht="15" x14ac:dyDescent="0.3">
      <c r="B6" s="152" t="s">
        <v>214</v>
      </c>
      <c r="C6" s="152">
        <v>2016</v>
      </c>
      <c r="D6" s="152">
        <v>2017</v>
      </c>
      <c r="E6" s="152">
        <v>2018</v>
      </c>
      <c r="F6" s="152">
        <v>2019</v>
      </c>
      <c r="G6" s="152">
        <v>2020</v>
      </c>
      <c r="H6" s="152">
        <v>2021</v>
      </c>
      <c r="I6" s="152">
        <v>2022</v>
      </c>
    </row>
    <row r="7" spans="2:11" x14ac:dyDescent="0.35">
      <c r="B7" s="151"/>
      <c r="C7" s="151">
        <f>'HISTORICAL P&amp;L'!B81</f>
        <v>1756.8</v>
      </c>
      <c r="D7" s="151">
        <f>'HISTORICAL P&amp;L'!C81</f>
        <v>1982.44</v>
      </c>
      <c r="E7" s="151">
        <f>'HISTORICAL P&amp;L'!D81</f>
        <v>2412</v>
      </c>
      <c r="F7" s="151">
        <f>'HISTORICAL P&amp;L'!E81</f>
        <v>3308</v>
      </c>
      <c r="G7" s="151">
        <f>'HISTORICAL P&amp;L'!F81</f>
        <v>4274</v>
      </c>
      <c r="H7" s="151">
        <f>'HISTORICAL P&amp;L'!G81</f>
        <v>5230</v>
      </c>
      <c r="I7" s="151">
        <f>'HISTORICAL P&amp;L'!H81</f>
        <v>6711</v>
      </c>
    </row>
    <row r="9" spans="2:11" x14ac:dyDescent="0.35">
      <c r="B9" s="126" t="s">
        <v>175</v>
      </c>
    </row>
    <row r="10" spans="2:11" x14ac:dyDescent="0.35">
      <c r="B10" s="126" t="s">
        <v>176</v>
      </c>
    </row>
    <row r="11" spans="2:11" x14ac:dyDescent="0.35">
      <c r="B11" s="151" t="s">
        <v>0</v>
      </c>
      <c r="C11" s="151">
        <v>2019</v>
      </c>
      <c r="D11" s="151">
        <v>2020</v>
      </c>
      <c r="E11" s="151">
        <v>2021</v>
      </c>
      <c r="F11" s="151">
        <v>2022</v>
      </c>
      <c r="G11" s="153"/>
      <c r="H11" s="153"/>
      <c r="I11" s="153"/>
      <c r="J11" s="153"/>
      <c r="K11" s="153"/>
    </row>
    <row r="12" spans="2:11" x14ac:dyDescent="0.35">
      <c r="B12" s="151" t="s">
        <v>210</v>
      </c>
      <c r="C12" s="129">
        <v>30000000</v>
      </c>
      <c r="D12" s="129">
        <v>50000000</v>
      </c>
      <c r="E12" s="129">
        <v>75000000</v>
      </c>
      <c r="F12" s="129">
        <v>80000000</v>
      </c>
      <c r="G12" s="153"/>
      <c r="H12" s="153"/>
      <c r="I12" s="153"/>
      <c r="J12" s="153"/>
      <c r="K12" s="154"/>
    </row>
    <row r="13" spans="2:11" x14ac:dyDescent="0.35">
      <c r="B13" s="151"/>
      <c r="C13" s="151"/>
      <c r="D13" s="155">
        <f>D12/C12-1</f>
        <v>0.66666666666666674</v>
      </c>
      <c r="E13" s="155">
        <f>E12/D12-1</f>
        <v>0.5</v>
      </c>
      <c r="F13" s="155">
        <f>F12/E12-1</f>
        <v>6.6666666666666652E-2</v>
      </c>
      <c r="G13" s="153"/>
      <c r="H13" s="153"/>
      <c r="I13" s="153"/>
      <c r="J13" s="153"/>
      <c r="K13" s="153"/>
    </row>
    <row r="14" spans="2:11" x14ac:dyDescent="0.35">
      <c r="D14" s="133"/>
      <c r="E14" s="133"/>
      <c r="F14" s="133"/>
    </row>
    <row r="15" spans="2:11" x14ac:dyDescent="0.35">
      <c r="B15" s="89" t="s">
        <v>211</v>
      </c>
      <c r="D15" s="133"/>
      <c r="E15" s="133"/>
      <c r="F15" s="156">
        <v>21680000</v>
      </c>
    </row>
    <row r="16" spans="2:11" x14ac:dyDescent="0.35">
      <c r="B16" s="89" t="s">
        <v>212</v>
      </c>
      <c r="D16" s="133"/>
      <c r="E16" s="133"/>
      <c r="F16" s="157">
        <v>11440000</v>
      </c>
    </row>
    <row r="17" spans="1:11" x14ac:dyDescent="0.35">
      <c r="B17" s="89" t="s">
        <v>213</v>
      </c>
      <c r="D17" s="133"/>
      <c r="E17" s="133"/>
      <c r="F17" s="156">
        <v>3024000</v>
      </c>
    </row>
    <row r="18" spans="1:11" x14ac:dyDescent="0.35">
      <c r="B18" s="89" t="s">
        <v>215</v>
      </c>
      <c r="D18" s="133"/>
      <c r="E18" s="133"/>
      <c r="F18" s="156">
        <f>F12-F15-F16-F17</f>
        <v>43856000</v>
      </c>
    </row>
    <row r="19" spans="1:11" x14ac:dyDescent="0.35">
      <c r="D19" s="133"/>
      <c r="E19" s="133"/>
      <c r="F19" s="133"/>
      <c r="H19" s="94"/>
      <c r="I19" s="94"/>
      <c r="J19" s="94"/>
      <c r="K19" s="94"/>
    </row>
    <row r="20" spans="1:11" ht="30.5" x14ac:dyDescent="0.35">
      <c r="B20" s="131" t="s">
        <v>178</v>
      </c>
      <c r="G20" s="132"/>
    </row>
    <row r="21" spans="1:11" x14ac:dyDescent="0.35">
      <c r="B21" s="128" t="s">
        <v>179</v>
      </c>
    </row>
    <row r="22" spans="1:11" x14ac:dyDescent="0.35">
      <c r="B22" s="128" t="s">
        <v>180</v>
      </c>
    </row>
    <row r="23" spans="1:11" x14ac:dyDescent="0.35">
      <c r="B23" s="89" t="s">
        <v>181</v>
      </c>
    </row>
    <row r="24" spans="1:11" x14ac:dyDescent="0.35">
      <c r="B24" s="89" t="s">
        <v>182</v>
      </c>
      <c r="C24" s="132">
        <v>250000</v>
      </c>
      <c r="D24" s="89" t="s">
        <v>183</v>
      </c>
    </row>
    <row r="25" spans="1:11" x14ac:dyDescent="0.35">
      <c r="B25" s="89" t="s">
        <v>184</v>
      </c>
      <c r="C25" s="132"/>
    </row>
    <row r="26" spans="1:11" x14ac:dyDescent="0.35">
      <c r="B26" s="89" t="s">
        <v>185</v>
      </c>
      <c r="C26" s="132"/>
    </row>
    <row r="27" spans="1:11" x14ac:dyDescent="0.35">
      <c r="B27" s="89" t="s">
        <v>282</v>
      </c>
      <c r="C27" s="132"/>
    </row>
    <row r="28" spans="1:11" x14ac:dyDescent="0.35">
      <c r="B28" s="89" t="s">
        <v>284</v>
      </c>
      <c r="C28" s="132"/>
    </row>
    <row r="29" spans="1:11" ht="16" thickBot="1" x14ac:dyDescent="0.4">
      <c r="C29" s="132"/>
    </row>
    <row r="30" spans="1:11" x14ac:dyDescent="0.35">
      <c r="A30" s="158"/>
      <c r="B30" s="159" t="s">
        <v>283</v>
      </c>
      <c r="C30" s="159"/>
      <c r="D30" s="159"/>
      <c r="E30" s="160">
        <v>44256</v>
      </c>
      <c r="F30" s="161">
        <v>44562</v>
      </c>
    </row>
    <row r="31" spans="1:11" x14ac:dyDescent="0.35">
      <c r="A31" s="162" t="s">
        <v>206</v>
      </c>
      <c r="B31" s="151" t="s">
        <v>141</v>
      </c>
      <c r="C31" s="151"/>
      <c r="D31" s="151"/>
      <c r="E31" s="163">
        <f>F31/115%</f>
        <v>695.6521739130435</v>
      </c>
      <c r="F31" s="164">
        <v>800</v>
      </c>
      <c r="G31" s="165"/>
    </row>
    <row r="32" spans="1:11" x14ac:dyDescent="0.35">
      <c r="A32" s="162"/>
      <c r="B32" s="151" t="s">
        <v>142</v>
      </c>
      <c r="C32" s="151"/>
      <c r="D32" s="151"/>
      <c r="E32" s="163">
        <f>F32/115%</f>
        <v>1217.3913043478262</v>
      </c>
      <c r="F32" s="164">
        <v>1400</v>
      </c>
      <c r="G32" s="165"/>
    </row>
    <row r="33" spans="1:7" x14ac:dyDescent="0.35">
      <c r="A33" s="162"/>
      <c r="B33" s="151" t="s">
        <v>143</v>
      </c>
      <c r="C33" s="151"/>
      <c r="D33" s="151"/>
      <c r="E33" s="163">
        <f>F33/115%</f>
        <v>2086.9565217391305</v>
      </c>
      <c r="F33" s="164">
        <v>2400</v>
      </c>
      <c r="G33" s="165"/>
    </row>
    <row r="34" spans="1:7" x14ac:dyDescent="0.35">
      <c r="A34" s="162"/>
      <c r="B34" s="151" t="s">
        <v>144</v>
      </c>
      <c r="C34" s="151"/>
      <c r="D34" s="151"/>
      <c r="E34" s="163">
        <f>F34/115%</f>
        <v>2260.8695652173915</v>
      </c>
      <c r="F34" s="164">
        <v>2600</v>
      </c>
      <c r="G34" s="165"/>
    </row>
    <row r="35" spans="1:7" x14ac:dyDescent="0.35">
      <c r="A35" s="166"/>
      <c r="F35" s="167"/>
    </row>
    <row r="36" spans="1:7" x14ac:dyDescent="0.35">
      <c r="A36" s="166"/>
      <c r="F36" s="167"/>
    </row>
    <row r="37" spans="1:7" x14ac:dyDescent="0.35">
      <c r="A37" s="168"/>
      <c r="B37" s="169" t="s">
        <v>186</v>
      </c>
      <c r="C37" s="169"/>
      <c r="D37" s="169"/>
      <c r="E37" s="151"/>
      <c r="F37" s="164"/>
    </row>
    <row r="38" spans="1:7" x14ac:dyDescent="0.35">
      <c r="A38" s="170" t="s">
        <v>146</v>
      </c>
      <c r="B38" s="151" t="s">
        <v>141</v>
      </c>
      <c r="C38" s="151"/>
      <c r="D38" s="151"/>
      <c r="E38" s="163">
        <f>F38/115%</f>
        <v>651.304347826087</v>
      </c>
      <c r="F38" s="164">
        <v>749</v>
      </c>
    </row>
    <row r="39" spans="1:7" x14ac:dyDescent="0.35">
      <c r="A39" s="170"/>
      <c r="B39" s="151" t="s">
        <v>142</v>
      </c>
      <c r="C39" s="151"/>
      <c r="D39" s="151"/>
      <c r="E39" s="163">
        <f>F39/115%</f>
        <v>1303.4782608695652</v>
      </c>
      <c r="F39" s="164">
        <v>1499</v>
      </c>
    </row>
    <row r="40" spans="1:7" x14ac:dyDescent="0.35">
      <c r="A40" s="170"/>
      <c r="B40" s="151" t="s">
        <v>148</v>
      </c>
      <c r="C40" s="151"/>
      <c r="D40" s="151"/>
      <c r="E40" s="163">
        <f>F40/115%</f>
        <v>2607.826086956522</v>
      </c>
      <c r="F40" s="164">
        <v>2999</v>
      </c>
    </row>
    <row r="41" spans="1:7" x14ac:dyDescent="0.35">
      <c r="A41" s="170"/>
      <c r="B41" s="151" t="s">
        <v>149</v>
      </c>
      <c r="C41" s="151"/>
      <c r="D41" s="151"/>
      <c r="E41" s="163">
        <f>F41/115%</f>
        <v>4346.9565217391309</v>
      </c>
      <c r="F41" s="164">
        <v>4999</v>
      </c>
    </row>
    <row r="42" spans="1:7" x14ac:dyDescent="0.35">
      <c r="A42" s="170"/>
      <c r="B42" s="151" t="s">
        <v>150</v>
      </c>
      <c r="C42" s="151"/>
      <c r="D42" s="151"/>
      <c r="E42" s="163">
        <f>F42/115%</f>
        <v>6955.652173913044</v>
      </c>
      <c r="F42" s="164">
        <v>7999</v>
      </c>
    </row>
    <row r="43" spans="1:7" x14ac:dyDescent="0.35">
      <c r="A43" s="166"/>
      <c r="E43" s="157"/>
      <c r="F43" s="167"/>
    </row>
    <row r="44" spans="1:7" x14ac:dyDescent="0.35">
      <c r="A44" s="166"/>
      <c r="E44" s="157"/>
      <c r="F44" s="167"/>
    </row>
    <row r="45" spans="1:7" x14ac:dyDescent="0.35">
      <c r="A45" s="168"/>
      <c r="B45" s="169" t="s">
        <v>186</v>
      </c>
      <c r="C45" s="169"/>
      <c r="D45" s="169"/>
      <c r="E45" s="163"/>
      <c r="F45" s="164"/>
    </row>
    <row r="46" spans="1:7" x14ac:dyDescent="0.35">
      <c r="A46" s="170" t="s">
        <v>151</v>
      </c>
      <c r="B46" s="151" t="s">
        <v>152</v>
      </c>
      <c r="C46" s="151"/>
      <c r="D46" s="151"/>
      <c r="E46" s="163">
        <f>F46/115%</f>
        <v>50.434782608695656</v>
      </c>
      <c r="F46" s="164">
        <v>58</v>
      </c>
    </row>
    <row r="47" spans="1:7" x14ac:dyDescent="0.35">
      <c r="A47" s="170"/>
      <c r="B47" s="151" t="s">
        <v>153</v>
      </c>
      <c r="C47" s="151"/>
      <c r="D47" s="151"/>
      <c r="E47" s="163">
        <f>F47/115%</f>
        <v>173.04347826086959</v>
      </c>
      <c r="F47" s="164">
        <v>199</v>
      </c>
    </row>
    <row r="48" spans="1:7" x14ac:dyDescent="0.35">
      <c r="A48" s="170"/>
      <c r="B48" s="151" t="s">
        <v>154</v>
      </c>
      <c r="C48" s="151"/>
      <c r="D48" s="151"/>
      <c r="E48" s="163">
        <f>F48/115%</f>
        <v>86.08695652173914</v>
      </c>
      <c r="F48" s="164">
        <v>99</v>
      </c>
    </row>
    <row r="49" spans="1:6" x14ac:dyDescent="0.35">
      <c r="A49" s="166"/>
      <c r="E49" s="157"/>
      <c r="F49" s="167"/>
    </row>
    <row r="50" spans="1:6" x14ac:dyDescent="0.35">
      <c r="A50" s="166"/>
      <c r="E50" s="157"/>
      <c r="F50" s="167"/>
    </row>
    <row r="51" spans="1:6" x14ac:dyDescent="0.35">
      <c r="A51" s="168"/>
      <c r="B51" s="169" t="s">
        <v>187</v>
      </c>
      <c r="C51" s="169"/>
      <c r="D51" s="169"/>
      <c r="E51" s="163"/>
      <c r="F51" s="164"/>
    </row>
    <row r="52" spans="1:6" x14ac:dyDescent="0.35">
      <c r="A52" s="170" t="s">
        <v>155</v>
      </c>
      <c r="B52" s="151" t="s">
        <v>157</v>
      </c>
      <c r="C52" s="151"/>
      <c r="D52" s="151"/>
      <c r="E52" s="163">
        <v>0</v>
      </c>
      <c r="F52" s="164">
        <v>0</v>
      </c>
    </row>
    <row r="53" spans="1:6" x14ac:dyDescent="0.35">
      <c r="A53" s="170"/>
      <c r="B53" s="151" t="s">
        <v>153</v>
      </c>
      <c r="C53" s="151"/>
      <c r="D53" s="151"/>
      <c r="E53" s="163">
        <f>F53/115%</f>
        <v>304.34782608695656</v>
      </c>
      <c r="F53" s="164">
        <v>350</v>
      </c>
    </row>
    <row r="54" spans="1:6" x14ac:dyDescent="0.35">
      <c r="A54" s="170"/>
      <c r="B54" s="151" t="s">
        <v>143</v>
      </c>
      <c r="C54" s="151"/>
      <c r="D54" s="151"/>
      <c r="E54" s="163">
        <f>F54/115%</f>
        <v>608.69565217391312</v>
      </c>
      <c r="F54" s="164">
        <v>700</v>
      </c>
    </row>
    <row r="55" spans="1:6" x14ac:dyDescent="0.35">
      <c r="A55" s="166"/>
      <c r="F55" s="167"/>
    </row>
    <row r="56" spans="1:6" x14ac:dyDescent="0.35">
      <c r="A56" s="168"/>
      <c r="B56" s="151" t="s">
        <v>187</v>
      </c>
      <c r="F56" s="167"/>
    </row>
    <row r="57" spans="1:6" x14ac:dyDescent="0.35">
      <c r="A57" s="171" t="s">
        <v>159</v>
      </c>
      <c r="B57" s="151" t="s">
        <v>160</v>
      </c>
      <c r="F57" s="167"/>
    </row>
    <row r="58" spans="1:6" x14ac:dyDescent="0.35">
      <c r="A58" s="166"/>
      <c r="F58" s="167"/>
    </row>
    <row r="59" spans="1:6" x14ac:dyDescent="0.35">
      <c r="A59" s="168"/>
      <c r="B59" s="169" t="s">
        <v>220</v>
      </c>
      <c r="C59" s="169"/>
      <c r="D59" s="169"/>
      <c r="E59" s="151"/>
      <c r="F59" s="164"/>
    </row>
    <row r="60" spans="1:6" x14ac:dyDescent="0.35">
      <c r="A60" s="170" t="s">
        <v>207</v>
      </c>
      <c r="B60" s="151" t="s">
        <v>208</v>
      </c>
      <c r="C60" s="151"/>
      <c r="D60" s="151"/>
      <c r="E60" s="163">
        <f>F60/115%</f>
        <v>3043.4782608695655</v>
      </c>
      <c r="F60" s="164">
        <v>3500</v>
      </c>
    </row>
    <row r="61" spans="1:6" ht="16" thickBot="1" x14ac:dyDescent="0.4">
      <c r="A61" s="172"/>
      <c r="B61" s="173" t="s">
        <v>209</v>
      </c>
      <c r="C61" s="173"/>
      <c r="D61" s="173"/>
      <c r="E61" s="174">
        <f>F61/115%</f>
        <v>1565.217391304348</v>
      </c>
      <c r="F61" s="175">
        <v>1800</v>
      </c>
    </row>
  </sheetData>
  <mergeCells count="11">
    <mergeCell ref="G31:G34"/>
    <mergeCell ref="A38:A42"/>
    <mergeCell ref="B30:D30"/>
    <mergeCell ref="A31:A34"/>
    <mergeCell ref="A60:A61"/>
    <mergeCell ref="B59:D59"/>
    <mergeCell ref="A46:A48"/>
    <mergeCell ref="B45:D45"/>
    <mergeCell ref="B37:D37"/>
    <mergeCell ref="B51:D51"/>
    <mergeCell ref="A52:A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F89F-5FDB-45E7-BF3F-2D7E0FBA61D0}">
  <dimension ref="A1:O29"/>
  <sheetViews>
    <sheetView workbookViewId="0">
      <selection activeCell="C6" sqref="C6"/>
    </sheetView>
  </sheetViews>
  <sheetFormatPr defaultRowHeight="15.5" x14ac:dyDescent="0.35"/>
  <cols>
    <col min="1" max="1" width="40.6328125" style="89" customWidth="1"/>
    <col min="2" max="5" width="8.7265625" style="89"/>
    <col min="6" max="6" width="9.36328125" style="89" bestFit="1" customWidth="1"/>
    <col min="7" max="8" width="8.7265625" style="89"/>
    <col min="9" max="9" width="19.453125" style="89" bestFit="1" customWidth="1"/>
    <col min="10" max="11" width="16.1796875" style="89" bestFit="1" customWidth="1"/>
    <col min="12" max="12" width="14.81640625" style="89" bestFit="1" customWidth="1"/>
    <col min="13" max="14" width="16.1796875" style="89" bestFit="1" customWidth="1"/>
    <col min="15" max="16384" width="8.7265625" style="89"/>
  </cols>
  <sheetData>
    <row r="1" spans="1:15" x14ac:dyDescent="0.35">
      <c r="A1" s="176" t="s">
        <v>285</v>
      </c>
      <c r="B1" s="177" t="s">
        <v>286</v>
      </c>
      <c r="C1" s="177" t="s">
        <v>287</v>
      </c>
      <c r="D1" s="177" t="s">
        <v>288</v>
      </c>
      <c r="E1" s="177" t="s">
        <v>289</v>
      </c>
      <c r="F1" s="178" t="s">
        <v>290</v>
      </c>
      <c r="I1" s="151"/>
      <c r="J1" s="151">
        <v>2018</v>
      </c>
      <c r="K1" s="151">
        <v>2019</v>
      </c>
      <c r="L1" s="151">
        <v>2020</v>
      </c>
      <c r="M1" s="151">
        <v>2021</v>
      </c>
      <c r="N1" s="151">
        <v>2022</v>
      </c>
      <c r="O1" s="151"/>
    </row>
    <row r="2" spans="1:15" x14ac:dyDescent="0.35">
      <c r="A2" s="179" t="s">
        <v>190</v>
      </c>
      <c r="B2" s="163">
        <v>690</v>
      </c>
      <c r="C2" s="163">
        <v>931</v>
      </c>
      <c r="D2" s="163">
        <v>1089</v>
      </c>
      <c r="E2" s="163">
        <v>1725.05</v>
      </c>
      <c r="F2" s="180">
        <v>1826.8000000000002</v>
      </c>
      <c r="I2" s="151" t="s">
        <v>188</v>
      </c>
      <c r="J2" s="181">
        <v>6000</v>
      </c>
      <c r="K2" s="181">
        <v>8375</v>
      </c>
      <c r="L2" s="182">
        <v>11000</v>
      </c>
      <c r="M2" s="181">
        <v>12000</v>
      </c>
      <c r="N2" s="181">
        <v>15019</v>
      </c>
      <c r="O2" s="151">
        <f>N2+1000</f>
        <v>16019</v>
      </c>
    </row>
    <row r="3" spans="1:15" s="94" customFormat="1" x14ac:dyDescent="0.35">
      <c r="A3" s="183" t="s">
        <v>189</v>
      </c>
      <c r="B3" s="184"/>
      <c r="C3" s="184">
        <f>C2/B2-1</f>
        <v>0.34927536231884049</v>
      </c>
      <c r="D3" s="184">
        <f>D2/C2-1</f>
        <v>0.16970998925886138</v>
      </c>
      <c r="E3" s="184">
        <f>E2/D2-1</f>
        <v>0.58406795224977048</v>
      </c>
      <c r="F3" s="185">
        <f>F2/E2-1</f>
        <v>5.8983797571084962E-2</v>
      </c>
      <c r="G3" s="186"/>
      <c r="I3" s="184" t="s">
        <v>189</v>
      </c>
      <c r="J3" s="184"/>
      <c r="K3" s="184">
        <f>K2/J2-1</f>
        <v>0.39583333333333326</v>
      </c>
      <c r="L3" s="184">
        <f>L2/K2-1</f>
        <v>0.31343283582089554</v>
      </c>
      <c r="M3" s="184">
        <f>M2/L2-1</f>
        <v>9.0909090909090828E-2</v>
      </c>
      <c r="N3" s="184">
        <f>N2/M2-1</f>
        <v>0.25158333333333327</v>
      </c>
      <c r="O3" s="184">
        <f>O2/N2-1</f>
        <v>6.6582329049870159E-2</v>
      </c>
    </row>
    <row r="4" spans="1:15" x14ac:dyDescent="0.35">
      <c r="A4" s="179" t="s">
        <v>266</v>
      </c>
      <c r="B4" s="163"/>
      <c r="C4" s="187"/>
      <c r="D4" s="187"/>
      <c r="E4" s="187">
        <f>E6+E8+E10</f>
        <v>595.1</v>
      </c>
      <c r="F4" s="188">
        <f>F6+F8+F10</f>
        <v>1016.82</v>
      </c>
      <c r="G4" s="189"/>
      <c r="K4" s="94"/>
      <c r="L4" s="94"/>
      <c r="M4" s="94"/>
      <c r="N4" s="94"/>
      <c r="O4" s="94"/>
    </row>
    <row r="5" spans="1:15" s="94" customFormat="1" x14ac:dyDescent="0.35">
      <c r="A5" s="183" t="s">
        <v>228</v>
      </c>
      <c r="B5" s="184"/>
      <c r="C5" s="184"/>
      <c r="D5" s="184"/>
      <c r="E5" s="184"/>
      <c r="F5" s="185">
        <f>F4/E4-1</f>
        <v>0.70865400772979337</v>
      </c>
      <c r="G5" s="189"/>
      <c r="J5" s="190"/>
      <c r="K5" s="190"/>
      <c r="L5" s="190"/>
      <c r="M5" s="190"/>
      <c r="N5" s="190"/>
    </row>
    <row r="6" spans="1:15" x14ac:dyDescent="0.35">
      <c r="A6" s="179" t="s">
        <v>191</v>
      </c>
      <c r="B6" s="163">
        <v>669</v>
      </c>
      <c r="C6" s="163">
        <v>1122</v>
      </c>
      <c r="D6" s="163">
        <v>1205</v>
      </c>
      <c r="E6" s="163">
        <v>334.67</v>
      </c>
      <c r="F6" s="180">
        <v>714.85</v>
      </c>
      <c r="G6" s="89" t="s">
        <v>192</v>
      </c>
      <c r="I6" s="89" t="s">
        <v>291</v>
      </c>
      <c r="J6" s="191">
        <f>B2*10^7/J2</f>
        <v>1150000</v>
      </c>
      <c r="K6" s="191">
        <f>C2*10^7/K2</f>
        <v>1111641.7910447761</v>
      </c>
      <c r="L6" s="191">
        <f>D2*10^7/L2</f>
        <v>990000</v>
      </c>
      <c r="M6" s="191">
        <f>E2*10^7/M2</f>
        <v>1437541.6666666667</v>
      </c>
      <c r="N6" s="191">
        <f>F2*10^7/N2</f>
        <v>1216325.9870830281</v>
      </c>
      <c r="O6" s="127"/>
    </row>
    <row r="7" spans="1:15" s="94" customFormat="1" x14ac:dyDescent="0.35">
      <c r="A7" s="183" t="s">
        <v>189</v>
      </c>
      <c r="B7" s="184"/>
      <c r="C7" s="184">
        <f>C6/B6-1</f>
        <v>0.67713004484304928</v>
      </c>
      <c r="D7" s="184">
        <f>D6/C6-1</f>
        <v>7.3975044563279857E-2</v>
      </c>
      <c r="E7" s="184">
        <f>E6/D6-1</f>
        <v>-0.7222655601659751</v>
      </c>
      <c r="F7" s="185">
        <f>F6/E6-1</f>
        <v>1.1359847013475961</v>
      </c>
      <c r="J7" s="190">
        <f>J6*1000</f>
        <v>1150000000</v>
      </c>
      <c r="K7" s="190">
        <f>K6*1000</f>
        <v>1111641791.0447762</v>
      </c>
      <c r="L7" s="190">
        <f>L6*1000</f>
        <v>990000000</v>
      </c>
      <c r="M7" s="190">
        <f>M6*1000</f>
        <v>1437541666.6666667</v>
      </c>
      <c r="N7" s="190">
        <f>N6*1000</f>
        <v>1216325987.0830281</v>
      </c>
    </row>
    <row r="8" spans="1:15" x14ac:dyDescent="0.35">
      <c r="A8" s="179" t="s">
        <v>225</v>
      </c>
      <c r="B8" s="163" t="s">
        <v>229</v>
      </c>
      <c r="C8" s="163" t="s">
        <v>229</v>
      </c>
      <c r="D8" s="163" t="s">
        <v>229</v>
      </c>
      <c r="E8" s="163">
        <f>'HISTORICAL P&amp;L'!B41</f>
        <v>142.31</v>
      </c>
      <c r="F8" s="180">
        <f>'HISTORICAL P&amp;L'!C41</f>
        <v>175.08</v>
      </c>
      <c r="J8" s="192"/>
      <c r="K8" s="192"/>
      <c r="L8" s="192"/>
      <c r="M8" s="192"/>
      <c r="N8" s="193">
        <f>(N7/J7)^(1/4)-1</f>
        <v>1.4116937685508146E-2</v>
      </c>
    </row>
    <row r="9" spans="1:15" s="94" customFormat="1" x14ac:dyDescent="0.35">
      <c r="A9" s="183" t="s">
        <v>228</v>
      </c>
      <c r="B9" s="184"/>
      <c r="C9" s="184"/>
      <c r="D9" s="184"/>
      <c r="E9" s="184"/>
      <c r="F9" s="185">
        <f>(F8/E8)-1</f>
        <v>0.23027194153608321</v>
      </c>
      <c r="I9" s="94" t="s">
        <v>194</v>
      </c>
    </row>
    <row r="10" spans="1:15" x14ac:dyDescent="0.35">
      <c r="A10" s="194" t="s">
        <v>226</v>
      </c>
      <c r="B10" s="163" t="s">
        <v>229</v>
      </c>
      <c r="C10" s="163" t="s">
        <v>229</v>
      </c>
      <c r="D10" s="163" t="s">
        <v>229</v>
      </c>
      <c r="E10" s="163">
        <f>'HISTORICAL P&amp;L'!B42</f>
        <v>118.12</v>
      </c>
      <c r="F10" s="180">
        <f>'HISTORICAL P&amp;L'!C42</f>
        <v>126.89</v>
      </c>
    </row>
    <row r="11" spans="1:15" s="94" customFormat="1" x14ac:dyDescent="0.35">
      <c r="A11" s="195" t="s">
        <v>228</v>
      </c>
      <c r="B11" s="196"/>
      <c r="C11" s="196"/>
      <c r="D11" s="196"/>
      <c r="E11" s="196"/>
      <c r="F11" s="197">
        <f>(F10/E10)-1</f>
        <v>7.4246528953606505E-2</v>
      </c>
    </row>
    <row r="12" spans="1:15" x14ac:dyDescent="0.35">
      <c r="A12" s="179" t="s">
        <v>193</v>
      </c>
      <c r="B12" s="163">
        <f>B6*3</f>
        <v>2007</v>
      </c>
      <c r="C12" s="163">
        <f>C6*3</f>
        <v>3366</v>
      </c>
      <c r="D12" s="163">
        <f>D6*3</f>
        <v>3615</v>
      </c>
      <c r="E12" s="163">
        <f>E6*3</f>
        <v>1004.01</v>
      </c>
      <c r="F12" s="188">
        <f>F6*3</f>
        <v>2144.5500000000002</v>
      </c>
    </row>
    <row r="13" spans="1:15" s="94" customFormat="1" x14ac:dyDescent="0.35">
      <c r="A13" s="183" t="s">
        <v>189</v>
      </c>
      <c r="B13" s="187"/>
      <c r="C13" s="187">
        <f>C12/B12-1</f>
        <v>0.67713004484304928</v>
      </c>
      <c r="D13" s="187">
        <f>D12/C12-1</f>
        <v>7.3975044563279857E-2</v>
      </c>
      <c r="E13" s="187">
        <f>E12/D12-1</f>
        <v>-0.7222655601659751</v>
      </c>
      <c r="F13" s="188">
        <f>F12/E12-1</f>
        <v>1.1359847013475965</v>
      </c>
    </row>
    <row r="14" spans="1:15" x14ac:dyDescent="0.35">
      <c r="A14" s="179" t="s">
        <v>224</v>
      </c>
      <c r="B14" s="163" t="s">
        <v>229</v>
      </c>
      <c r="C14" s="163" t="s">
        <v>229</v>
      </c>
      <c r="D14" s="163" t="s">
        <v>229</v>
      </c>
      <c r="E14" s="163">
        <f>'HISTORICAL P&amp;L'!B63</f>
        <v>347.96</v>
      </c>
      <c r="F14" s="188">
        <f>'HISTORICAL P&amp;L'!C63</f>
        <v>277.29000000000002</v>
      </c>
    </row>
    <row r="15" spans="1:15" s="94" customFormat="1" x14ac:dyDescent="0.35">
      <c r="A15" s="195" t="s">
        <v>228</v>
      </c>
      <c r="B15" s="198"/>
      <c r="C15" s="198"/>
      <c r="D15" s="198"/>
      <c r="E15" s="198"/>
      <c r="F15" s="199">
        <f>(F14/E14)-1</f>
        <v>-0.20309805724795948</v>
      </c>
    </row>
    <row r="25" spans="1:1" x14ac:dyDescent="0.35">
      <c r="A25" s="89" t="s">
        <v>197</v>
      </c>
    </row>
    <row r="26" spans="1:1" x14ac:dyDescent="0.35">
      <c r="A26" s="200" t="s">
        <v>116</v>
      </c>
    </row>
    <row r="27" spans="1:1" x14ac:dyDescent="0.35">
      <c r="A27" s="200" t="s">
        <v>117</v>
      </c>
    </row>
    <row r="29" spans="1:1" x14ac:dyDescent="0.35">
      <c r="A29" s="200" t="s">
        <v>118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2772-0235-4C39-8E1C-22F3588841CF}">
  <dimension ref="A1:K65"/>
  <sheetViews>
    <sheetView topLeftCell="A16" zoomScale="88" workbookViewId="0">
      <selection activeCell="B11" sqref="B11"/>
    </sheetView>
  </sheetViews>
  <sheetFormatPr defaultRowHeight="15.5" x14ac:dyDescent="0.35"/>
  <cols>
    <col min="1" max="1" width="23.1796875" style="89" bestFit="1" customWidth="1"/>
    <col min="2" max="2" width="54.453125" style="89" bestFit="1" customWidth="1"/>
    <col min="3" max="3" width="11.54296875" style="89" customWidth="1"/>
    <col min="4" max="4" width="10.90625" style="89" bestFit="1" customWidth="1"/>
    <col min="5" max="5" width="11.90625" style="89" bestFit="1" customWidth="1"/>
    <col min="6" max="7" width="10.36328125" style="89" bestFit="1" customWidth="1"/>
    <col min="8" max="12" width="8.7265625" style="89"/>
    <col min="13" max="13" width="24.453125" style="89" bestFit="1" customWidth="1"/>
    <col min="14" max="16384" width="8.7265625" style="89"/>
  </cols>
  <sheetData>
    <row r="1" spans="1:8" ht="16" thickBot="1" x14ac:dyDescent="0.4">
      <c r="A1" s="205" t="s">
        <v>204</v>
      </c>
      <c r="B1" s="206"/>
      <c r="C1" s="206"/>
      <c r="D1" s="206"/>
      <c r="E1" s="206"/>
      <c r="F1" s="206"/>
      <c r="G1" s="206"/>
      <c r="H1" s="126"/>
    </row>
    <row r="2" spans="1:8" ht="15.5" customHeight="1" x14ac:dyDescent="0.35">
      <c r="A2" s="207"/>
      <c r="B2" s="207"/>
      <c r="C2" s="207"/>
      <c r="D2" s="207"/>
      <c r="E2" s="207"/>
      <c r="F2" s="207"/>
      <c r="G2" s="207"/>
      <c r="H2" s="207"/>
    </row>
    <row r="3" spans="1:8" ht="14.5" customHeight="1" x14ac:dyDescent="0.35">
      <c r="A3" s="208" t="s">
        <v>205</v>
      </c>
      <c r="B3" s="209" t="s">
        <v>308</v>
      </c>
      <c r="C3" s="210">
        <v>2023</v>
      </c>
      <c r="D3" s="210">
        <v>2024</v>
      </c>
      <c r="E3" s="210">
        <v>2025</v>
      </c>
      <c r="F3" s="210">
        <v>2026</v>
      </c>
      <c r="G3" s="211">
        <v>2027</v>
      </c>
    </row>
    <row r="4" spans="1:8" ht="18.5" customHeight="1" x14ac:dyDescent="0.35">
      <c r="A4" s="212"/>
      <c r="B4" s="209" t="s">
        <v>314</v>
      </c>
      <c r="C4" s="155">
        <v>0.05</v>
      </c>
      <c r="D4" s="155">
        <v>0.05</v>
      </c>
      <c r="E4" s="155">
        <v>0.05</v>
      </c>
      <c r="F4" s="155">
        <v>0.05</v>
      </c>
      <c r="G4" s="213">
        <v>0.05</v>
      </c>
    </row>
    <row r="5" spans="1:8" ht="16" thickBot="1" x14ac:dyDescent="0.4">
      <c r="A5" s="214" t="s">
        <v>221</v>
      </c>
      <c r="B5" s="215" t="s">
        <v>309</v>
      </c>
      <c r="C5" s="216">
        <v>0.15</v>
      </c>
      <c r="D5" s="216">
        <v>0.15</v>
      </c>
      <c r="E5" s="216">
        <v>0.15</v>
      </c>
      <c r="F5" s="216">
        <v>0.15</v>
      </c>
      <c r="G5" s="216">
        <v>0.15</v>
      </c>
    </row>
    <row r="6" spans="1:8" x14ac:dyDescent="0.35">
      <c r="A6" s="217"/>
      <c r="B6" s="218"/>
      <c r="C6" s="218"/>
    </row>
    <row r="7" spans="1:8" ht="16" thickBot="1" x14ac:dyDescent="0.4"/>
    <row r="8" spans="1:8" x14ac:dyDescent="0.35">
      <c r="A8" s="219"/>
      <c r="B8" s="220" t="s">
        <v>216</v>
      </c>
      <c r="C8" s="220">
        <v>2023</v>
      </c>
      <c r="D8" s="220">
        <v>2024</v>
      </c>
      <c r="E8" s="220">
        <v>2025</v>
      </c>
      <c r="F8" s="220">
        <v>2026</v>
      </c>
      <c r="G8" s="221">
        <v>2027</v>
      </c>
    </row>
    <row r="9" spans="1:8" x14ac:dyDescent="0.35">
      <c r="A9" s="222" t="s">
        <v>311</v>
      </c>
      <c r="B9" s="223"/>
      <c r="C9" s="223"/>
      <c r="D9" s="223"/>
      <c r="E9" s="223"/>
      <c r="F9" s="223"/>
      <c r="G9" s="224"/>
    </row>
    <row r="10" spans="1:8" ht="15.5" customHeight="1" x14ac:dyDescent="0.35">
      <c r="A10" s="201" t="s">
        <v>217</v>
      </c>
      <c r="B10" s="151" t="s">
        <v>141</v>
      </c>
      <c r="C10" s="225">
        <v>0.15</v>
      </c>
      <c r="D10" s="225">
        <v>0</v>
      </c>
      <c r="E10" s="225">
        <v>0</v>
      </c>
      <c r="F10" s="225">
        <v>0.05</v>
      </c>
      <c r="G10" s="226">
        <v>0</v>
      </c>
    </row>
    <row r="11" spans="1:8" x14ac:dyDescent="0.35">
      <c r="A11" s="202"/>
      <c r="B11" s="151" t="s">
        <v>142</v>
      </c>
      <c r="C11" s="225">
        <v>0.15</v>
      </c>
      <c r="D11" s="225">
        <v>0</v>
      </c>
      <c r="E11" s="225">
        <v>0</v>
      </c>
      <c r="F11" s="225">
        <v>0.05</v>
      </c>
      <c r="G11" s="226">
        <v>0</v>
      </c>
    </row>
    <row r="12" spans="1:8" x14ac:dyDescent="0.35">
      <c r="A12" s="202"/>
      <c r="B12" s="151" t="s">
        <v>143</v>
      </c>
      <c r="C12" s="225">
        <v>0.15</v>
      </c>
      <c r="D12" s="225">
        <v>0</v>
      </c>
      <c r="E12" s="225">
        <v>0</v>
      </c>
      <c r="F12" s="225">
        <v>0.05</v>
      </c>
      <c r="G12" s="226">
        <v>0</v>
      </c>
    </row>
    <row r="13" spans="1:8" x14ac:dyDescent="0.35">
      <c r="A13" s="203"/>
      <c r="B13" s="151" t="s">
        <v>144</v>
      </c>
      <c r="C13" s="225">
        <v>0.15</v>
      </c>
      <c r="D13" s="225">
        <v>0</v>
      </c>
      <c r="E13" s="225">
        <v>0</v>
      </c>
      <c r="F13" s="225">
        <v>0.05</v>
      </c>
      <c r="G13" s="226">
        <v>0</v>
      </c>
    </row>
    <row r="14" spans="1:8" x14ac:dyDescent="0.35">
      <c r="A14" s="204"/>
      <c r="B14" s="227"/>
      <c r="C14" s="228"/>
      <c r="D14" s="228"/>
      <c r="E14" s="228"/>
      <c r="F14" s="228"/>
      <c r="G14" s="229"/>
    </row>
    <row r="15" spans="1:8" x14ac:dyDescent="0.35">
      <c r="A15" s="230" t="s">
        <v>310</v>
      </c>
      <c r="B15" s="231"/>
      <c r="C15" s="231"/>
      <c r="D15" s="231"/>
      <c r="E15" s="231"/>
      <c r="F15" s="231"/>
      <c r="G15" s="232"/>
    </row>
    <row r="16" spans="1:8" x14ac:dyDescent="0.35">
      <c r="A16" s="233" t="s">
        <v>207</v>
      </c>
      <c r="B16" s="151" t="s">
        <v>218</v>
      </c>
      <c r="C16" s="225">
        <v>0.15</v>
      </c>
      <c r="D16" s="225">
        <v>0</v>
      </c>
      <c r="E16" s="225">
        <v>0</v>
      </c>
      <c r="F16" s="225">
        <v>0.05</v>
      </c>
      <c r="G16" s="226">
        <v>0</v>
      </c>
    </row>
    <row r="17" spans="1:7" x14ac:dyDescent="0.35">
      <c r="A17" s="234"/>
      <c r="B17" s="151" t="s">
        <v>219</v>
      </c>
      <c r="C17" s="225">
        <v>0.15</v>
      </c>
      <c r="D17" s="225">
        <v>0</v>
      </c>
      <c r="E17" s="225">
        <v>0</v>
      </c>
      <c r="F17" s="225">
        <v>0.05</v>
      </c>
      <c r="G17" s="226">
        <v>0</v>
      </c>
    </row>
    <row r="18" spans="1:7" x14ac:dyDescent="0.35">
      <c r="A18" s="168"/>
      <c r="B18" s="151"/>
      <c r="C18" s="151"/>
      <c r="D18" s="151"/>
      <c r="E18" s="151"/>
      <c r="F18" s="151"/>
      <c r="G18" s="164"/>
    </row>
    <row r="19" spans="1:7" x14ac:dyDescent="0.35">
      <c r="A19" s="230" t="s">
        <v>186</v>
      </c>
      <c r="B19" s="231"/>
      <c r="C19" s="231"/>
      <c r="D19" s="231"/>
      <c r="E19" s="231"/>
      <c r="F19" s="231"/>
      <c r="G19" s="232"/>
    </row>
    <row r="20" spans="1:7" x14ac:dyDescent="0.35">
      <c r="A20" s="201" t="s">
        <v>146</v>
      </c>
      <c r="B20" s="151" t="s">
        <v>141</v>
      </c>
      <c r="C20" s="184">
        <f>15%</f>
        <v>0.15</v>
      </c>
      <c r="D20" s="184">
        <v>0</v>
      </c>
      <c r="E20" s="184">
        <v>0</v>
      </c>
      <c r="F20" s="184">
        <v>0.05</v>
      </c>
      <c r="G20" s="235">
        <v>0</v>
      </c>
    </row>
    <row r="21" spans="1:7" x14ac:dyDescent="0.35">
      <c r="A21" s="202"/>
      <c r="B21" s="151" t="s">
        <v>142</v>
      </c>
      <c r="C21" s="184">
        <f>15%</f>
        <v>0.15</v>
      </c>
      <c r="D21" s="184">
        <v>0</v>
      </c>
      <c r="E21" s="184">
        <v>0</v>
      </c>
      <c r="F21" s="184">
        <v>0.05</v>
      </c>
      <c r="G21" s="235">
        <v>0</v>
      </c>
    </row>
    <row r="22" spans="1:7" x14ac:dyDescent="0.35">
      <c r="A22" s="202"/>
      <c r="B22" s="151" t="s">
        <v>148</v>
      </c>
      <c r="C22" s="184">
        <f>15%</f>
        <v>0.15</v>
      </c>
      <c r="D22" s="184">
        <v>0</v>
      </c>
      <c r="E22" s="184">
        <v>0</v>
      </c>
      <c r="F22" s="184">
        <v>0.05</v>
      </c>
      <c r="G22" s="235">
        <v>0</v>
      </c>
    </row>
    <row r="23" spans="1:7" x14ac:dyDescent="0.35">
      <c r="A23" s="202"/>
      <c r="B23" s="151" t="s">
        <v>149</v>
      </c>
      <c r="C23" s="184">
        <f>15%</f>
        <v>0.15</v>
      </c>
      <c r="D23" s="184">
        <v>0</v>
      </c>
      <c r="E23" s="184">
        <v>0</v>
      </c>
      <c r="F23" s="184">
        <v>0.05</v>
      </c>
      <c r="G23" s="235">
        <v>0</v>
      </c>
    </row>
    <row r="24" spans="1:7" x14ac:dyDescent="0.35">
      <c r="A24" s="203"/>
      <c r="B24" s="151" t="s">
        <v>150</v>
      </c>
      <c r="C24" s="184">
        <f>15%</f>
        <v>0.15</v>
      </c>
      <c r="D24" s="184">
        <v>0</v>
      </c>
      <c r="E24" s="184">
        <v>0</v>
      </c>
      <c r="F24" s="184">
        <v>0.05</v>
      </c>
      <c r="G24" s="235">
        <v>0</v>
      </c>
    </row>
    <row r="25" spans="1:7" x14ac:dyDescent="0.35">
      <c r="A25" s="168"/>
      <c r="B25" s="151"/>
      <c r="C25" s="151"/>
      <c r="D25" s="151"/>
      <c r="E25" s="151"/>
      <c r="F25" s="151"/>
      <c r="G25" s="164"/>
    </row>
    <row r="26" spans="1:7" x14ac:dyDescent="0.35">
      <c r="A26" s="230" t="s">
        <v>186</v>
      </c>
      <c r="B26" s="231"/>
      <c r="C26" s="231"/>
      <c r="D26" s="231"/>
      <c r="E26" s="231"/>
      <c r="F26" s="231"/>
      <c r="G26" s="232"/>
    </row>
    <row r="27" spans="1:7" x14ac:dyDescent="0.35">
      <c r="A27" s="236" t="s">
        <v>151</v>
      </c>
      <c r="B27" s="151" t="s">
        <v>152</v>
      </c>
      <c r="C27" s="225">
        <v>0.15</v>
      </c>
      <c r="D27" s="225">
        <v>0</v>
      </c>
      <c r="E27" s="225">
        <v>0</v>
      </c>
      <c r="F27" s="225">
        <v>0.05</v>
      </c>
      <c r="G27" s="226">
        <v>0</v>
      </c>
    </row>
    <row r="28" spans="1:7" x14ac:dyDescent="0.35">
      <c r="A28" s="237"/>
      <c r="B28" s="151" t="s">
        <v>153</v>
      </c>
      <c r="C28" s="225">
        <v>0.15</v>
      </c>
      <c r="D28" s="225">
        <v>0</v>
      </c>
      <c r="E28" s="225">
        <v>0</v>
      </c>
      <c r="F28" s="225">
        <v>0.05</v>
      </c>
      <c r="G28" s="226">
        <v>0</v>
      </c>
    </row>
    <row r="29" spans="1:7" x14ac:dyDescent="0.35">
      <c r="A29" s="238"/>
      <c r="B29" s="151" t="s">
        <v>154</v>
      </c>
      <c r="C29" s="225">
        <v>0.15</v>
      </c>
      <c r="D29" s="225">
        <v>0</v>
      </c>
      <c r="E29" s="225">
        <v>0</v>
      </c>
      <c r="F29" s="225">
        <v>0.05</v>
      </c>
      <c r="G29" s="226">
        <v>0</v>
      </c>
    </row>
    <row r="30" spans="1:7" x14ac:dyDescent="0.35">
      <c r="A30" s="168"/>
      <c r="B30" s="151"/>
      <c r="C30" s="151"/>
      <c r="D30" s="151"/>
      <c r="E30" s="151"/>
      <c r="F30" s="151"/>
      <c r="G30" s="164"/>
    </row>
    <row r="31" spans="1:7" x14ac:dyDescent="0.35">
      <c r="A31" s="239" t="s">
        <v>187</v>
      </c>
      <c r="B31" s="240"/>
      <c r="C31" s="240"/>
      <c r="D31" s="240"/>
      <c r="E31" s="240"/>
      <c r="F31" s="240"/>
      <c r="G31" s="241"/>
    </row>
    <row r="32" spans="1:7" x14ac:dyDescent="0.35">
      <c r="A32" s="236" t="s">
        <v>222</v>
      </c>
      <c r="B32" s="151" t="s">
        <v>157</v>
      </c>
      <c r="C32" s="225">
        <v>0</v>
      </c>
      <c r="D32" s="225">
        <v>0</v>
      </c>
      <c r="E32" s="225">
        <v>0</v>
      </c>
      <c r="F32" s="225">
        <v>0</v>
      </c>
      <c r="G32" s="226">
        <v>0</v>
      </c>
    </row>
    <row r="33" spans="1:11" x14ac:dyDescent="0.35">
      <c r="A33" s="237"/>
      <c r="B33" s="151" t="s">
        <v>153</v>
      </c>
      <c r="C33" s="225">
        <v>0.15</v>
      </c>
      <c r="D33" s="225">
        <v>0</v>
      </c>
      <c r="E33" s="225">
        <v>0</v>
      </c>
      <c r="F33" s="225">
        <v>0.05</v>
      </c>
      <c r="G33" s="226">
        <v>0</v>
      </c>
    </row>
    <row r="34" spans="1:11" x14ac:dyDescent="0.35">
      <c r="A34" s="238"/>
      <c r="B34" s="151" t="s">
        <v>143</v>
      </c>
      <c r="C34" s="225">
        <v>0.15</v>
      </c>
      <c r="D34" s="225">
        <v>0</v>
      </c>
      <c r="E34" s="225">
        <v>0</v>
      </c>
      <c r="F34" s="225">
        <v>0.05</v>
      </c>
      <c r="G34" s="226">
        <v>0</v>
      </c>
    </row>
    <row r="35" spans="1:11" x14ac:dyDescent="0.35">
      <c r="A35" s="168"/>
      <c r="B35" s="151"/>
      <c r="C35" s="151"/>
      <c r="D35" s="151"/>
      <c r="E35" s="151"/>
      <c r="F35" s="151"/>
      <c r="G35" s="164"/>
    </row>
    <row r="36" spans="1:11" ht="16" thickBot="1" x14ac:dyDescent="0.4">
      <c r="A36" s="242" t="s">
        <v>312</v>
      </c>
      <c r="B36" s="173" t="s">
        <v>313</v>
      </c>
      <c r="C36" s="243">
        <v>0</v>
      </c>
      <c r="D36" s="243">
        <v>2</v>
      </c>
      <c r="E36" s="243">
        <v>2</v>
      </c>
      <c r="F36" s="243">
        <v>2</v>
      </c>
      <c r="G36" s="244">
        <v>2</v>
      </c>
    </row>
    <row r="39" spans="1:11" x14ac:dyDescent="0.35">
      <c r="A39" s="245" t="s">
        <v>316</v>
      </c>
      <c r="B39" s="246" t="s">
        <v>230</v>
      </c>
      <c r="C39" s="247">
        <v>2023</v>
      </c>
      <c r="D39" s="247">
        <v>2024</v>
      </c>
      <c r="E39" s="247">
        <v>2025</v>
      </c>
      <c r="F39" s="247">
        <v>2026</v>
      </c>
      <c r="G39" s="247">
        <v>2027</v>
      </c>
      <c r="K39" s="248" t="s">
        <v>231</v>
      </c>
    </row>
    <row r="40" spans="1:11" x14ac:dyDescent="0.35">
      <c r="A40" s="245"/>
      <c r="B40" s="151" t="s">
        <v>88</v>
      </c>
      <c r="C40" s="184">
        <f>'HISTORICAL P&amp;L'!B22/'HISTORICAL P&amp;L'!B4</f>
        <v>8.4135649613262843E-3</v>
      </c>
      <c r="D40" s="151"/>
      <c r="E40" s="151"/>
      <c r="F40" s="151"/>
      <c r="G40" s="151"/>
      <c r="K40" s="248"/>
    </row>
    <row r="41" spans="1:11" x14ac:dyDescent="0.35">
      <c r="A41" s="245"/>
      <c r="B41" s="151" t="s">
        <v>90</v>
      </c>
      <c r="C41" s="184">
        <v>0.05</v>
      </c>
      <c r="D41" s="184">
        <v>0.05</v>
      </c>
      <c r="E41" s="184">
        <v>0.05</v>
      </c>
      <c r="F41" s="184">
        <v>0.05</v>
      </c>
      <c r="G41" s="184">
        <v>0.05</v>
      </c>
      <c r="K41" s="248"/>
    </row>
    <row r="42" spans="1:11" x14ac:dyDescent="0.35">
      <c r="A42" s="245"/>
      <c r="B42" s="151" t="s">
        <v>92</v>
      </c>
      <c r="C42" s="155">
        <f>'HISTORICAL P&amp;L'!B34/'HISTORICAL P&amp;L'!B4</f>
        <v>2.6082051380111482E-3</v>
      </c>
      <c r="D42" s="249">
        <v>5.0000000000000001E-3</v>
      </c>
      <c r="E42" s="249">
        <v>5.0000000000000001E-3</v>
      </c>
      <c r="F42" s="249">
        <v>5.0000000000000001E-3</v>
      </c>
      <c r="G42" s="249">
        <v>5.0000000000000001E-3</v>
      </c>
      <c r="K42" s="248"/>
    </row>
    <row r="43" spans="1:11" x14ac:dyDescent="0.35">
      <c r="A43" s="245"/>
      <c r="B43" s="151" t="s">
        <v>94</v>
      </c>
      <c r="C43" s="184">
        <v>0.2</v>
      </c>
      <c r="D43" s="225">
        <v>0.2</v>
      </c>
      <c r="E43" s="225">
        <v>0.2</v>
      </c>
      <c r="F43" s="225">
        <v>0.2</v>
      </c>
      <c r="G43" s="225">
        <v>0.2</v>
      </c>
      <c r="K43" s="248"/>
    </row>
    <row r="44" spans="1:11" x14ac:dyDescent="0.35">
      <c r="A44" s="245"/>
      <c r="B44" s="151" t="s">
        <v>96</v>
      </c>
      <c r="C44" s="184">
        <f>'HISTORICAL P&amp;L'!B56/'HISTORICAL P&amp;L'!B4</f>
        <v>2.1232778484219787E-2</v>
      </c>
      <c r="D44" s="151"/>
      <c r="E44" s="151"/>
      <c r="F44" s="151"/>
      <c r="G44" s="151"/>
      <c r="K44" s="248"/>
    </row>
    <row r="45" spans="1:11" x14ac:dyDescent="0.35">
      <c r="K45" s="248"/>
    </row>
    <row r="47" spans="1:11" x14ac:dyDescent="0.35">
      <c r="A47" s="250" t="s">
        <v>315</v>
      </c>
      <c r="B47" s="250"/>
      <c r="C47" s="250"/>
      <c r="D47" s="250"/>
      <c r="E47" s="250"/>
      <c r="F47" s="250"/>
      <c r="G47" s="250"/>
    </row>
    <row r="49" spans="2:8" x14ac:dyDescent="0.35">
      <c r="B49" s="251" t="s">
        <v>268</v>
      </c>
      <c r="C49" s="251">
        <v>2023</v>
      </c>
      <c r="D49" s="251">
        <v>2024</v>
      </c>
      <c r="E49" s="251">
        <v>2025</v>
      </c>
      <c r="F49" s="251">
        <v>2026</v>
      </c>
      <c r="G49" s="251">
        <v>2027</v>
      </c>
    </row>
    <row r="50" spans="2:8" x14ac:dyDescent="0.35">
      <c r="B50" s="89" t="s">
        <v>317</v>
      </c>
    </row>
    <row r="51" spans="2:8" x14ac:dyDescent="0.35">
      <c r="B51" s="89" t="s">
        <v>58</v>
      </c>
      <c r="C51" s="157">
        <f>'HISTORICAL BS'!$D$47</f>
        <v>40.183950300859209</v>
      </c>
      <c r="D51" s="157">
        <f>'HISTORICAL BS'!$D$47</f>
        <v>40.183950300859209</v>
      </c>
      <c r="E51" s="157">
        <f>'HISTORICAL BS'!$D$47</f>
        <v>40.183950300859209</v>
      </c>
      <c r="F51" s="157">
        <f>'HISTORICAL BS'!$D$47</f>
        <v>40.183950300859209</v>
      </c>
      <c r="G51" s="157">
        <f>'HISTORICAL BS'!$D$47</f>
        <v>40.183950300859209</v>
      </c>
    </row>
    <row r="52" spans="2:8" x14ac:dyDescent="0.35">
      <c r="B52" s="89" t="s">
        <v>415</v>
      </c>
      <c r="C52" s="157">
        <f>'HISTORICAL BS'!D49</f>
        <v>18.136922980637124</v>
      </c>
      <c r="D52" s="157">
        <f>C52</f>
        <v>18.136922980637124</v>
      </c>
      <c r="E52" s="157">
        <f t="shared" ref="E52:G52" si="0">D52</f>
        <v>18.136922980637124</v>
      </c>
      <c r="F52" s="157">
        <f t="shared" si="0"/>
        <v>18.136922980637124</v>
      </c>
      <c r="G52" s="157">
        <f t="shared" si="0"/>
        <v>18.136922980637124</v>
      </c>
    </row>
    <row r="53" spans="2:8" x14ac:dyDescent="0.35">
      <c r="B53" s="89" t="s">
        <v>276</v>
      </c>
      <c r="C53" s="157">
        <f>'HISTORICAL BS'!$D$50</f>
        <v>129.12645027850712</v>
      </c>
      <c r="D53" s="157">
        <f>'HISTORICAL BS'!$D$50</f>
        <v>129.12645027850712</v>
      </c>
      <c r="E53" s="157">
        <f>'HISTORICAL BS'!$D$50</f>
        <v>129.12645027850712</v>
      </c>
      <c r="F53" s="157">
        <f>'HISTORICAL BS'!$D$50</f>
        <v>129.12645027850712</v>
      </c>
      <c r="G53" s="157">
        <f>'HISTORICAL BS'!$D$50</f>
        <v>129.12645027850712</v>
      </c>
    </row>
    <row r="54" spans="2:8" x14ac:dyDescent="0.35">
      <c r="B54" s="89" t="s">
        <v>61</v>
      </c>
      <c r="C54" s="157">
        <f>C51+C52-C53</f>
        <v>-70.805576997010789</v>
      </c>
      <c r="D54" s="157">
        <f t="shared" ref="D54:G54" si="1">D51+D52-D53</f>
        <v>-70.805576997010789</v>
      </c>
      <c r="E54" s="157">
        <f t="shared" si="1"/>
        <v>-70.805576997010789</v>
      </c>
      <c r="F54" s="157">
        <f t="shared" si="1"/>
        <v>-70.805576997010789</v>
      </c>
      <c r="G54" s="157">
        <f t="shared" si="1"/>
        <v>-70.805576997010789</v>
      </c>
    </row>
    <row r="57" spans="2:8" x14ac:dyDescent="0.35">
      <c r="B57" s="251" t="s">
        <v>269</v>
      </c>
      <c r="C57" s="251">
        <f>C49</f>
        <v>2023</v>
      </c>
      <c r="D57" s="251">
        <f t="shared" ref="D57:G57" si="2">D49</f>
        <v>2024</v>
      </c>
      <c r="E57" s="251">
        <f t="shared" si="2"/>
        <v>2025</v>
      </c>
      <c r="F57" s="251">
        <f t="shared" si="2"/>
        <v>2026</v>
      </c>
      <c r="G57" s="251">
        <f t="shared" si="2"/>
        <v>2027</v>
      </c>
    </row>
    <row r="58" spans="2:8" x14ac:dyDescent="0.35">
      <c r="B58" s="252" t="s">
        <v>270</v>
      </c>
      <c r="C58" s="132">
        <f>'HISTORICAL BS'!D23</f>
        <v>1973.62</v>
      </c>
      <c r="D58" s="132">
        <f>C61</f>
        <v>1929.4124999999999</v>
      </c>
      <c r="E58" s="132">
        <f t="shared" ref="E58:G58" si="3">D61</f>
        <v>2218.8243749999997</v>
      </c>
      <c r="F58" s="132">
        <f t="shared" si="3"/>
        <v>2551.6480312499993</v>
      </c>
      <c r="G58" s="132">
        <f t="shared" si="3"/>
        <v>2934.3952359374989</v>
      </c>
      <c r="H58" s="89" t="s">
        <v>348</v>
      </c>
    </row>
    <row r="59" spans="2:8" x14ac:dyDescent="0.35">
      <c r="B59" s="252" t="s">
        <v>271</v>
      </c>
      <c r="C59" s="132">
        <f>C61+C60-C58</f>
        <v>264.49850000000015</v>
      </c>
      <c r="D59" s="132">
        <f t="shared" ref="D59:G59" si="4">D61+D60-D58</f>
        <v>644.42377499999975</v>
      </c>
      <c r="E59" s="132">
        <f t="shared" si="4"/>
        <v>741.08734124999955</v>
      </c>
      <c r="F59" s="132">
        <f t="shared" si="4"/>
        <v>852.25044243749926</v>
      </c>
      <c r="G59" s="132">
        <f t="shared" si="4"/>
        <v>980.08800880312447</v>
      </c>
      <c r="H59" s="89" t="s">
        <v>349</v>
      </c>
    </row>
    <row r="60" spans="2:8" x14ac:dyDescent="0.35">
      <c r="B60" s="252" t="s">
        <v>272</v>
      </c>
      <c r="C60" s="132">
        <f>C61*C63</f>
        <v>308.70600000000002</v>
      </c>
      <c r="D60" s="132">
        <f t="shared" ref="D60:G60" si="5">D61*D63</f>
        <v>355.01189999999997</v>
      </c>
      <c r="E60" s="132">
        <f t="shared" si="5"/>
        <v>408.2636849999999</v>
      </c>
      <c r="F60" s="132">
        <f t="shared" si="5"/>
        <v>469.50323774999981</v>
      </c>
      <c r="G60" s="132">
        <f t="shared" si="5"/>
        <v>539.92872341249972</v>
      </c>
    </row>
    <row r="61" spans="2:8" x14ac:dyDescent="0.35">
      <c r="B61" s="252" t="s">
        <v>273</v>
      </c>
      <c r="C61" s="132">
        <f>'Projected P&amp;L'!C6/'Assumption Sheet'!C62</f>
        <v>1929.4124999999999</v>
      </c>
      <c r="D61" s="132">
        <f>'Projected P&amp;L'!D6/'Assumption Sheet'!D62</f>
        <v>2218.8243749999997</v>
      </c>
      <c r="E61" s="132">
        <f>'Projected P&amp;L'!E6/'Assumption Sheet'!E62</f>
        <v>2551.6480312499993</v>
      </c>
      <c r="F61" s="132">
        <f>'Projected P&amp;L'!F6/'Assumption Sheet'!F62</f>
        <v>2934.3952359374989</v>
      </c>
      <c r="G61" s="132">
        <f>'Projected P&amp;L'!G6/'Assumption Sheet'!G62</f>
        <v>3374.5545213281234</v>
      </c>
    </row>
    <row r="62" spans="2:8" x14ac:dyDescent="0.35">
      <c r="B62" s="252" t="s">
        <v>274</v>
      </c>
      <c r="C62" s="89">
        <v>4</v>
      </c>
      <c r="D62" s="89">
        <v>4</v>
      </c>
      <c r="E62" s="89">
        <v>4</v>
      </c>
      <c r="F62" s="89">
        <v>4</v>
      </c>
      <c r="G62" s="89">
        <v>4</v>
      </c>
    </row>
    <row r="63" spans="2:8" x14ac:dyDescent="0.35">
      <c r="B63" s="252" t="s">
        <v>275</v>
      </c>
      <c r="C63" s="253">
        <v>0.16</v>
      </c>
      <c r="D63" s="253">
        <v>0.16</v>
      </c>
      <c r="E63" s="253">
        <v>0.16</v>
      </c>
      <c r="F63" s="253">
        <v>0.16</v>
      </c>
      <c r="G63" s="253">
        <v>0.16</v>
      </c>
    </row>
    <row r="65" spans="2:7" x14ac:dyDescent="0.35">
      <c r="B65" s="89" t="s">
        <v>277</v>
      </c>
      <c r="C65" s="253">
        <v>0.25</v>
      </c>
      <c r="D65" s="253">
        <v>0.25</v>
      </c>
      <c r="E65" s="253">
        <v>0.25</v>
      </c>
      <c r="F65" s="253">
        <v>0.25</v>
      </c>
      <c r="G65" s="253">
        <v>0.25</v>
      </c>
    </row>
  </sheetData>
  <mergeCells count="14">
    <mergeCell ref="A20:A24"/>
    <mergeCell ref="A27:A29"/>
    <mergeCell ref="A16:A17"/>
    <mergeCell ref="A10:A13"/>
    <mergeCell ref="A47:G47"/>
    <mergeCell ref="A39:A44"/>
    <mergeCell ref="A32:A34"/>
    <mergeCell ref="A31:G31"/>
    <mergeCell ref="A26:G26"/>
    <mergeCell ref="A3:A4"/>
    <mergeCell ref="A1:G1"/>
    <mergeCell ref="A9:G9"/>
    <mergeCell ref="A15:G15"/>
    <mergeCell ref="A19:G19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D19DC-9D01-4A4E-B8F2-8BFB6007D6EB}">
  <dimension ref="B2:J77"/>
  <sheetViews>
    <sheetView workbookViewId="0">
      <selection sqref="A1:XFD1048576"/>
    </sheetView>
  </sheetViews>
  <sheetFormatPr defaultRowHeight="15.5" x14ac:dyDescent="0.35"/>
  <cols>
    <col min="1" max="1" width="8.7265625" style="89"/>
    <col min="2" max="2" width="20.90625" style="89" customWidth="1"/>
    <col min="3" max="3" width="14.81640625" style="89" customWidth="1"/>
    <col min="4" max="4" width="16.54296875" style="89" bestFit="1" customWidth="1"/>
    <col min="5" max="7" width="13.81640625" style="89" bestFit="1" customWidth="1"/>
    <col min="8" max="8" width="16.08984375" style="89" customWidth="1"/>
    <col min="9" max="16384" width="8.7265625" style="89"/>
  </cols>
  <sheetData>
    <row r="2" spans="2:8" x14ac:dyDescent="0.35">
      <c r="B2" s="254" t="s">
        <v>175</v>
      </c>
    </row>
    <row r="3" spans="2:8" x14ac:dyDescent="0.35">
      <c r="B3" s="254" t="s">
        <v>176</v>
      </c>
    </row>
    <row r="4" spans="2:8" x14ac:dyDescent="0.35">
      <c r="B4" s="254" t="s">
        <v>177</v>
      </c>
    </row>
    <row r="6" spans="2:8" x14ac:dyDescent="0.35">
      <c r="B6" s="255" t="s">
        <v>0</v>
      </c>
      <c r="C6" s="177" t="s">
        <v>301</v>
      </c>
      <c r="D6" s="256" t="s">
        <v>296</v>
      </c>
      <c r="E6" s="256" t="s">
        <v>297</v>
      </c>
      <c r="F6" s="256" t="s">
        <v>298</v>
      </c>
      <c r="G6" s="256" t="s">
        <v>299</v>
      </c>
      <c r="H6" s="257" t="s">
        <v>300</v>
      </c>
    </row>
    <row r="7" spans="2:8" x14ac:dyDescent="0.35">
      <c r="B7" s="258" t="s">
        <v>182</v>
      </c>
      <c r="C7" s="151"/>
      <c r="D7" s="259">
        <f>'Final Revenue Build-Up'!F12*(1+'Assumption Sheet'!C4)</f>
        <v>84000000</v>
      </c>
      <c r="E7" s="259">
        <f>D7*(1+'Assumption Sheet'!D4)</f>
        <v>88200000</v>
      </c>
      <c r="F7" s="259">
        <f>E7*(1+'Assumption Sheet'!E4)</f>
        <v>92610000</v>
      </c>
      <c r="G7" s="259">
        <f>F7*(1+'Assumption Sheet'!F4)</f>
        <v>97240500</v>
      </c>
      <c r="H7" s="260">
        <f>G7*(1+'Assumption Sheet'!G4)</f>
        <v>102102525</v>
      </c>
    </row>
    <row r="8" spans="2:8" x14ac:dyDescent="0.35">
      <c r="B8" s="258" t="s">
        <v>228</v>
      </c>
      <c r="C8" s="151" t="s">
        <v>302</v>
      </c>
      <c r="D8" s="163"/>
      <c r="E8" s="261">
        <f>E7-D7</f>
        <v>4200000</v>
      </c>
      <c r="F8" s="163">
        <f>F7-E7</f>
        <v>4410000</v>
      </c>
      <c r="G8" s="163">
        <f>G7-F7</f>
        <v>4630500</v>
      </c>
      <c r="H8" s="180">
        <f>H7-G7</f>
        <v>4862025</v>
      </c>
    </row>
    <row r="9" spans="2:8" x14ac:dyDescent="0.35">
      <c r="B9" s="258" t="s">
        <v>239</v>
      </c>
      <c r="C9" s="151" t="s">
        <v>292</v>
      </c>
      <c r="D9" s="187">
        <f>'HISTORICAL P&amp;L'!H81*(1+'Assumption Sheet'!C5)</f>
        <v>7717.65</v>
      </c>
      <c r="E9" s="187">
        <f>D9*(1+'Assumption Sheet'!D5)</f>
        <v>8875.2974999999988</v>
      </c>
      <c r="F9" s="187">
        <f>E9*(1+'Assumption Sheet'!E5)</f>
        <v>10206.592124999997</v>
      </c>
      <c r="G9" s="187">
        <f>F9*(1+'Assumption Sheet'!F5)</f>
        <v>11737.580943749996</v>
      </c>
      <c r="H9" s="188">
        <f>G9*(1+'Assumption Sheet'!G5)</f>
        <v>13498.218085312494</v>
      </c>
    </row>
    <row r="10" spans="2:8" ht="31" x14ac:dyDescent="0.35">
      <c r="B10" s="258" t="s">
        <v>238</v>
      </c>
      <c r="C10" s="262" t="s">
        <v>293</v>
      </c>
      <c r="D10" s="163">
        <f>93+'Assumption Sheet'!C36</f>
        <v>93</v>
      </c>
      <c r="E10" s="163">
        <f>D10+2</f>
        <v>95</v>
      </c>
      <c r="F10" s="163">
        <f>E10+2</f>
        <v>97</v>
      </c>
      <c r="G10" s="163">
        <f>F10+2</f>
        <v>99</v>
      </c>
      <c r="H10" s="180">
        <f>G10+2</f>
        <v>101</v>
      </c>
    </row>
    <row r="11" spans="2:8" ht="31" x14ac:dyDescent="0.35">
      <c r="B11" s="263" t="s">
        <v>295</v>
      </c>
      <c r="C11" s="264" t="s">
        <v>294</v>
      </c>
      <c r="D11" s="265">
        <f>D9/D10</f>
        <v>82.985483870967741</v>
      </c>
      <c r="E11" s="265">
        <f>E9/E10</f>
        <v>93.424184210526306</v>
      </c>
      <c r="F11" s="265">
        <f>F9/F10</f>
        <v>105.22259922680409</v>
      </c>
      <c r="G11" s="265">
        <f>G9/G10</f>
        <v>118.56142367424238</v>
      </c>
      <c r="H11" s="266">
        <f>H9/H10</f>
        <v>133.64572361695539</v>
      </c>
    </row>
    <row r="28" spans="2:10" x14ac:dyDescent="0.35">
      <c r="B28" s="89" t="s">
        <v>199</v>
      </c>
    </row>
    <row r="29" spans="2:10" s="126" customFormat="1" ht="15" x14ac:dyDescent="0.3">
      <c r="B29" s="267" t="s">
        <v>200</v>
      </c>
      <c r="C29" s="268" t="s">
        <v>145</v>
      </c>
      <c r="D29" s="268">
        <v>2023</v>
      </c>
      <c r="E29" s="268">
        <v>2024</v>
      </c>
      <c r="F29" s="268">
        <v>2025</v>
      </c>
      <c r="G29" s="268">
        <v>2026</v>
      </c>
      <c r="H29" s="179">
        <v>2027</v>
      </c>
      <c r="J29" s="126" t="s">
        <v>233</v>
      </c>
    </row>
    <row r="30" spans="2:10" ht="28.5" customHeight="1" x14ac:dyDescent="0.35">
      <c r="B30" s="269" t="s">
        <v>136</v>
      </c>
      <c r="C30" s="270" t="s">
        <v>141</v>
      </c>
      <c r="D30" s="270">
        <f>'Final Revenue Build-Up'!F31*(1+0%)</f>
        <v>800</v>
      </c>
      <c r="E30" s="270">
        <f t="shared" ref="E30:F33" si="0">D30*(1+0%)</f>
        <v>800</v>
      </c>
      <c r="F30" s="270">
        <f t="shared" si="0"/>
        <v>800</v>
      </c>
      <c r="G30" s="270">
        <f>F30*(1+5%)</f>
        <v>840</v>
      </c>
      <c r="H30" s="271">
        <f>G30*(1+0%)</f>
        <v>840</v>
      </c>
    </row>
    <row r="31" spans="2:10" ht="14.5" customHeight="1" x14ac:dyDescent="0.35">
      <c r="B31" s="272"/>
      <c r="C31" s="89" t="s">
        <v>142</v>
      </c>
      <c r="D31" s="89">
        <f>'Final Revenue Build-Up'!F32*(1+0%)</f>
        <v>1400</v>
      </c>
      <c r="E31" s="89">
        <f t="shared" si="0"/>
        <v>1400</v>
      </c>
      <c r="F31" s="89">
        <f t="shared" si="0"/>
        <v>1400</v>
      </c>
      <c r="G31" s="89">
        <f>F31*(1+5%)</f>
        <v>1470</v>
      </c>
      <c r="H31" s="273">
        <f>G31*(1+0%)</f>
        <v>1470</v>
      </c>
    </row>
    <row r="32" spans="2:10" ht="14.5" customHeight="1" x14ac:dyDescent="0.35">
      <c r="B32" s="272"/>
      <c r="C32" s="89" t="s">
        <v>143</v>
      </c>
      <c r="D32" s="89">
        <f>'Final Revenue Build-Up'!F33*(1+0%)</f>
        <v>2400</v>
      </c>
      <c r="E32" s="89">
        <f t="shared" si="0"/>
        <v>2400</v>
      </c>
      <c r="F32" s="89">
        <f t="shared" si="0"/>
        <v>2400</v>
      </c>
      <c r="G32" s="89">
        <f>F32*(1+5%)</f>
        <v>2520</v>
      </c>
      <c r="H32" s="273">
        <f>G32*(1+0%)</f>
        <v>2520</v>
      </c>
    </row>
    <row r="33" spans="2:8" ht="14.5" customHeight="1" x14ac:dyDescent="0.35">
      <c r="B33" s="274"/>
      <c r="C33" s="275" t="s">
        <v>144</v>
      </c>
      <c r="D33" s="275">
        <f>'Final Revenue Build-Up'!F34*(1+0%)</f>
        <v>2600</v>
      </c>
      <c r="E33" s="275">
        <f t="shared" si="0"/>
        <v>2600</v>
      </c>
      <c r="F33" s="275">
        <f t="shared" si="0"/>
        <v>2600</v>
      </c>
      <c r="G33" s="275">
        <f>F33*(1+5%)</f>
        <v>2730</v>
      </c>
      <c r="H33" s="176">
        <f>G33*(1+0%)</f>
        <v>2730</v>
      </c>
    </row>
    <row r="34" spans="2:8" ht="14.5" customHeight="1" x14ac:dyDescent="0.35">
      <c r="B34" s="276" t="s">
        <v>201</v>
      </c>
      <c r="C34" s="270" t="s">
        <v>141</v>
      </c>
      <c r="D34" s="277">
        <f>'Final Revenue Build-Up'!E38*(1+'Assumption Sheet'!C20)</f>
        <v>749</v>
      </c>
      <c r="E34" s="277">
        <f>D34*(1+'Assumption Sheet'!D20)</f>
        <v>749</v>
      </c>
      <c r="F34" s="277">
        <f>E34*(1+'Assumption Sheet'!E20)</f>
        <v>749</v>
      </c>
      <c r="G34" s="277">
        <f>F34*(1+'Assumption Sheet'!F20)</f>
        <v>786.45</v>
      </c>
      <c r="H34" s="278">
        <f>G34*(1+'Assumption Sheet'!G20)</f>
        <v>786.45</v>
      </c>
    </row>
    <row r="35" spans="2:8" ht="14.5" customHeight="1" x14ac:dyDescent="0.35">
      <c r="B35" s="279"/>
      <c r="C35" s="89" t="s">
        <v>142</v>
      </c>
      <c r="D35" s="157">
        <f>'Final Revenue Build-Up'!E39*(1+'Assumption Sheet'!C21)</f>
        <v>1499</v>
      </c>
      <c r="E35" s="157">
        <f>D35*(1+'Assumption Sheet'!D21)</f>
        <v>1499</v>
      </c>
      <c r="F35" s="157">
        <f>E35*(1+'Assumption Sheet'!E21)</f>
        <v>1499</v>
      </c>
      <c r="G35" s="157">
        <f>F35*(1+'Assumption Sheet'!F21)</f>
        <v>1573.95</v>
      </c>
      <c r="H35" s="280">
        <f>G35*(1+'Assumption Sheet'!G21)</f>
        <v>1573.95</v>
      </c>
    </row>
    <row r="36" spans="2:8" ht="14.5" customHeight="1" x14ac:dyDescent="0.35">
      <c r="B36" s="279"/>
      <c r="C36" s="89" t="s">
        <v>148</v>
      </c>
      <c r="D36" s="157">
        <f>'Final Revenue Build-Up'!E40*(1+'Assumption Sheet'!C22)</f>
        <v>2999</v>
      </c>
      <c r="E36" s="157">
        <f>D36*(1+'Assumption Sheet'!D22)</f>
        <v>2999</v>
      </c>
      <c r="F36" s="157">
        <f>E36*(1+'Assumption Sheet'!E22)</f>
        <v>2999</v>
      </c>
      <c r="G36" s="157">
        <f>F36*(1+'Assumption Sheet'!F22)</f>
        <v>3148.9500000000003</v>
      </c>
      <c r="H36" s="280">
        <f>G36*(1+'Assumption Sheet'!G22)</f>
        <v>3148.9500000000003</v>
      </c>
    </row>
    <row r="37" spans="2:8" ht="14.5" customHeight="1" x14ac:dyDescent="0.35">
      <c r="B37" s="279"/>
      <c r="C37" s="89" t="s">
        <v>149</v>
      </c>
      <c r="D37" s="157">
        <f>'Final Revenue Build-Up'!E41*(1+'Assumption Sheet'!C23)</f>
        <v>4999</v>
      </c>
      <c r="E37" s="157">
        <f>D37*(1+'Assumption Sheet'!D23)</f>
        <v>4999</v>
      </c>
      <c r="F37" s="157">
        <f>E37*(1+'Assumption Sheet'!E23)</f>
        <v>4999</v>
      </c>
      <c r="G37" s="157">
        <f>F37*(1+'Assumption Sheet'!F23)</f>
        <v>5248.95</v>
      </c>
      <c r="H37" s="280">
        <f>G37*(1+'Assumption Sheet'!G23)</f>
        <v>5248.95</v>
      </c>
    </row>
    <row r="38" spans="2:8" ht="14.5" customHeight="1" x14ac:dyDescent="0.35">
      <c r="B38" s="281"/>
      <c r="C38" s="275" t="s">
        <v>150</v>
      </c>
      <c r="D38" s="282">
        <f>'Final Revenue Build-Up'!E42*(1+'Assumption Sheet'!C24)</f>
        <v>7999</v>
      </c>
      <c r="E38" s="282">
        <f>D38*(1+'Assumption Sheet'!D24)</f>
        <v>7999</v>
      </c>
      <c r="F38" s="282">
        <f>E38*(1+'Assumption Sheet'!E24)</f>
        <v>7999</v>
      </c>
      <c r="G38" s="282">
        <f>F38*(1+'Assumption Sheet'!F24)</f>
        <v>8398.9500000000007</v>
      </c>
      <c r="H38" s="283">
        <f>G38*(1+'Assumption Sheet'!G24)</f>
        <v>8398.9500000000007</v>
      </c>
    </row>
    <row r="39" spans="2:8" x14ac:dyDescent="0.35">
      <c r="B39" s="269" t="s">
        <v>202</v>
      </c>
      <c r="C39" s="270" t="s">
        <v>152</v>
      </c>
      <c r="D39" s="270">
        <f>'Final Revenue Build-Up'!E46*(1+'Assumption Sheet'!C27)</f>
        <v>58</v>
      </c>
      <c r="E39" s="277">
        <f>D39*(1+'Assumption Sheet'!D27)</f>
        <v>58</v>
      </c>
      <c r="F39" s="277">
        <f>E39*(1+'Assumption Sheet'!E27)</f>
        <v>58</v>
      </c>
      <c r="G39" s="277">
        <f>F39*(1+'Assumption Sheet'!F27)</f>
        <v>60.900000000000006</v>
      </c>
      <c r="H39" s="278">
        <f>G39*(1+'Assumption Sheet'!G27)</f>
        <v>60.900000000000006</v>
      </c>
    </row>
    <row r="40" spans="2:8" x14ac:dyDescent="0.35">
      <c r="B40" s="272"/>
      <c r="C40" s="89" t="s">
        <v>153</v>
      </c>
      <c r="D40" s="89">
        <f>'Final Revenue Build-Up'!E47*(1+'Assumption Sheet'!C28)</f>
        <v>199.00000000000003</v>
      </c>
      <c r="E40" s="157">
        <f>D40*(1+'Assumption Sheet'!D28)</f>
        <v>199.00000000000003</v>
      </c>
      <c r="F40" s="157">
        <f>E40*(1+'Assumption Sheet'!E28)</f>
        <v>199.00000000000003</v>
      </c>
      <c r="G40" s="157">
        <f>F40*(1+'Assumption Sheet'!F28)</f>
        <v>208.95000000000005</v>
      </c>
      <c r="H40" s="280">
        <f>G40*(1+'Assumption Sheet'!G28)</f>
        <v>208.95000000000005</v>
      </c>
    </row>
    <row r="41" spans="2:8" x14ac:dyDescent="0.35">
      <c r="B41" s="274"/>
      <c r="C41" s="275" t="s">
        <v>154</v>
      </c>
      <c r="D41" s="275">
        <f>'Final Revenue Build-Up'!E48*(1+'Assumption Sheet'!C29)</f>
        <v>99</v>
      </c>
      <c r="E41" s="282">
        <f>D41*(1+'Assumption Sheet'!D29)</f>
        <v>99</v>
      </c>
      <c r="F41" s="282">
        <f>E41*(1+'Assumption Sheet'!E29)</f>
        <v>99</v>
      </c>
      <c r="G41" s="282">
        <f>F41*(1+'Assumption Sheet'!F29)</f>
        <v>103.95</v>
      </c>
      <c r="H41" s="283">
        <f>G41*(1+'Assumption Sheet'!G29)</f>
        <v>103.95</v>
      </c>
    </row>
    <row r="42" spans="2:8" x14ac:dyDescent="0.35">
      <c r="B42" s="269" t="s">
        <v>203</v>
      </c>
      <c r="C42" s="270" t="s">
        <v>157</v>
      </c>
      <c r="D42" s="270">
        <v>0</v>
      </c>
      <c r="E42" s="270">
        <v>0</v>
      </c>
      <c r="F42" s="270">
        <v>0</v>
      </c>
      <c r="G42" s="277">
        <v>0</v>
      </c>
      <c r="H42" s="278">
        <v>0</v>
      </c>
    </row>
    <row r="43" spans="2:8" ht="29" customHeight="1" x14ac:dyDescent="0.35">
      <c r="B43" s="272"/>
      <c r="C43" s="89" t="s">
        <v>153</v>
      </c>
      <c r="D43" s="89">
        <f>'Final Revenue Build-Up'!E53*(1+'Assumption Sheet'!C33)</f>
        <v>350</v>
      </c>
      <c r="E43" s="157">
        <f>D43*(1+'Assumption Sheet'!D33)</f>
        <v>350</v>
      </c>
      <c r="F43" s="157">
        <f>E43*(1+'Assumption Sheet'!E33)</f>
        <v>350</v>
      </c>
      <c r="G43" s="157">
        <f>F43*(1+'Assumption Sheet'!F33)</f>
        <v>367.5</v>
      </c>
      <c r="H43" s="280">
        <f>G43*(1+'Assumption Sheet'!G33)</f>
        <v>367.5</v>
      </c>
    </row>
    <row r="44" spans="2:8" x14ac:dyDescent="0.35">
      <c r="B44" s="274"/>
      <c r="C44" s="275" t="s">
        <v>143</v>
      </c>
      <c r="D44" s="275">
        <f>'Final Revenue Build-Up'!E54*(1+'Assumption Sheet'!C34)</f>
        <v>700</v>
      </c>
      <c r="E44" s="282">
        <f>D44*(1+'Assumption Sheet'!D34)</f>
        <v>700</v>
      </c>
      <c r="F44" s="282">
        <f>E44*(1+'Assumption Sheet'!E34)</f>
        <v>700</v>
      </c>
      <c r="G44" s="282">
        <f>F44*(1+'Assumption Sheet'!F34)</f>
        <v>735</v>
      </c>
      <c r="H44" s="283">
        <f>G44*(1+'Assumption Sheet'!G34)</f>
        <v>735</v>
      </c>
    </row>
    <row r="45" spans="2:8" x14ac:dyDescent="0.35">
      <c r="B45" s="269" t="s">
        <v>223</v>
      </c>
      <c r="C45" s="270" t="s">
        <v>218</v>
      </c>
      <c r="D45" s="270">
        <f>'Final Revenue Build-Up'!E60*(1+'Assumption Sheet'!C16)</f>
        <v>3500</v>
      </c>
      <c r="E45" s="270">
        <f>D45*(1+'Assumption Sheet'!D16)</f>
        <v>3500</v>
      </c>
      <c r="F45" s="270">
        <f>E45*(1+'Assumption Sheet'!E16)</f>
        <v>3500</v>
      </c>
      <c r="G45" s="270">
        <f>F45*(1+'Assumption Sheet'!F16)</f>
        <v>3675</v>
      </c>
      <c r="H45" s="271">
        <f>G45*(1+'Assumption Sheet'!G16)</f>
        <v>3675</v>
      </c>
    </row>
    <row r="46" spans="2:8" x14ac:dyDescent="0.35">
      <c r="B46" s="274"/>
      <c r="C46" s="275" t="s">
        <v>219</v>
      </c>
      <c r="D46" s="275">
        <f>'Final Revenue Build-Up'!E61*(1+'Assumption Sheet'!C17)</f>
        <v>1800</v>
      </c>
      <c r="E46" s="275">
        <f>D46*(1+'Assumption Sheet'!D17)</f>
        <v>1800</v>
      </c>
      <c r="F46" s="275">
        <f>E46*(1+'Assumption Sheet'!E17)</f>
        <v>1800</v>
      </c>
      <c r="G46" s="275">
        <f>F46*(1+'Assumption Sheet'!F17)</f>
        <v>1890</v>
      </c>
      <c r="H46" s="176">
        <f>G46*(1+'Assumption Sheet'!G17)</f>
        <v>1890</v>
      </c>
    </row>
    <row r="47" spans="2:8" x14ac:dyDescent="0.35">
      <c r="B47" s="284"/>
    </row>
    <row r="49" spans="4:4" x14ac:dyDescent="0.35">
      <c r="D49" s="285"/>
    </row>
    <row r="75" spans="2:3" x14ac:dyDescent="0.35">
      <c r="B75" s="284" t="s">
        <v>232</v>
      </c>
      <c r="C75" s="89">
        <f>'Revenue Build-Up Projected'!D9*10^7/'Revenue Build-Up Projected'!D7</f>
        <v>918.76785714285711</v>
      </c>
    </row>
    <row r="76" spans="2:3" ht="31" x14ac:dyDescent="0.35">
      <c r="B76" s="284" t="s">
        <v>234</v>
      </c>
      <c r="C76" s="89">
        <f>'Revenue Build-Up Projected'!D9/87</f>
        <v>88.708620689655163</v>
      </c>
    </row>
    <row r="77" spans="2:3" x14ac:dyDescent="0.35">
      <c r="C77" s="89">
        <f>C76*(1+15%)</f>
        <v>102.01491379310343</v>
      </c>
    </row>
  </sheetData>
  <mergeCells count="5">
    <mergeCell ref="B45:B46"/>
    <mergeCell ref="B42:B44"/>
    <mergeCell ref="B30:B33"/>
    <mergeCell ref="B34:B38"/>
    <mergeCell ref="B39:B41"/>
  </mergeCells>
  <pageMargins left="0.7" right="0.7" top="0.75" bottom="0.75" header="0.3" footer="0.3"/>
  <pageSetup orientation="portrait" r:id="rId1"/>
  <ignoredErrors>
    <ignoredError sqref="G32" formula="1"/>
  </ignoredErrors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884B-3C48-4E56-B481-032EFF342DCC}">
  <dimension ref="A1:F9"/>
  <sheetViews>
    <sheetView zoomScale="104" workbookViewId="0">
      <selection sqref="A1:XFD1048576"/>
    </sheetView>
  </sheetViews>
  <sheetFormatPr defaultRowHeight="15.5" x14ac:dyDescent="0.35"/>
  <cols>
    <col min="1" max="1" width="26.81640625" style="89" bestFit="1" customWidth="1"/>
    <col min="2" max="16384" width="8.7265625" style="89"/>
  </cols>
  <sheetData>
    <row r="1" spans="1:6" ht="19" customHeight="1" thickBot="1" x14ac:dyDescent="0.4">
      <c r="A1" s="286"/>
      <c r="B1" s="286">
        <v>2023</v>
      </c>
      <c r="C1" s="286">
        <v>2024</v>
      </c>
      <c r="D1" s="286">
        <v>2025</v>
      </c>
      <c r="E1" s="286">
        <v>2026</v>
      </c>
      <c r="F1" s="286">
        <v>2027</v>
      </c>
    </row>
    <row r="2" spans="1:6" ht="16" thickTop="1" x14ac:dyDescent="0.35">
      <c r="A2" s="152" t="s">
        <v>190</v>
      </c>
      <c r="B2" s="151">
        <f>'Final Cost Build-Up'!F2*(1+'Assumption Sheet'!C41)</f>
        <v>1918.1400000000003</v>
      </c>
      <c r="C2" s="151">
        <f>B2*(1+'Assumption Sheet'!D41)</f>
        <v>2014.0470000000005</v>
      </c>
      <c r="D2" s="151">
        <f>C2*(1+'Assumption Sheet'!E41)</f>
        <v>2114.7493500000005</v>
      </c>
      <c r="E2" s="151">
        <f>D2*(1+'Assumption Sheet'!F41)</f>
        <v>2220.4868175000006</v>
      </c>
      <c r="F2" s="151">
        <f>E2*(1+'Assumption Sheet'!G41)</f>
        <v>2331.5111583750008</v>
      </c>
    </row>
    <row r="3" spans="1:6" x14ac:dyDescent="0.35">
      <c r="A3" s="151"/>
      <c r="B3" s="151"/>
      <c r="C3" s="151"/>
      <c r="D3" s="151"/>
      <c r="E3" s="151"/>
      <c r="F3" s="151"/>
    </row>
    <row r="4" spans="1:6" x14ac:dyDescent="0.35">
      <c r="A4" s="152" t="s">
        <v>265</v>
      </c>
      <c r="B4" s="163">
        <f>'HISTORICAL P&amp;L'!C48*(1+'Assumption Sheet'!C41)</f>
        <v>1226.1165000000003</v>
      </c>
      <c r="C4" s="163">
        <f>B4*(1+'Assumption Sheet'!D41)</f>
        <v>1287.4223250000005</v>
      </c>
      <c r="D4" s="163">
        <f>C4*(1+'Assumption Sheet'!E41)</f>
        <v>1351.7934412500006</v>
      </c>
      <c r="E4" s="163">
        <f>D4*(1+'Assumption Sheet'!F41)</f>
        <v>1419.3831133125007</v>
      </c>
      <c r="F4" s="163">
        <f>E4*(1+'Assumption Sheet'!G41)</f>
        <v>1490.3522689781257</v>
      </c>
    </row>
    <row r="5" spans="1:6" x14ac:dyDescent="0.35">
      <c r="A5" s="152"/>
      <c r="B5" s="163"/>
      <c r="C5" s="163"/>
      <c r="D5" s="163"/>
      <c r="E5" s="163"/>
      <c r="F5" s="163"/>
    </row>
    <row r="6" spans="1:6" x14ac:dyDescent="0.35">
      <c r="A6" s="152" t="s">
        <v>224</v>
      </c>
      <c r="B6" s="225">
        <f>'Assumption Sheet'!C63</f>
        <v>0.16</v>
      </c>
      <c r="C6" s="225">
        <f>'Assumption Sheet'!D63</f>
        <v>0.16</v>
      </c>
      <c r="D6" s="225">
        <f>'Assumption Sheet'!E63</f>
        <v>0.16</v>
      </c>
      <c r="E6" s="225">
        <f>'Assumption Sheet'!F63</f>
        <v>0.16</v>
      </c>
      <c r="F6" s="225">
        <f>'Assumption Sheet'!G63</f>
        <v>0.16</v>
      </c>
    </row>
    <row r="7" spans="1:6" x14ac:dyDescent="0.35">
      <c r="A7" s="151" t="s">
        <v>228</v>
      </c>
      <c r="B7" s="151"/>
      <c r="C7" s="151"/>
      <c r="D7" s="151"/>
      <c r="E7" s="129"/>
      <c r="F7" s="184"/>
    </row>
    <row r="9" spans="1:6" x14ac:dyDescent="0.35">
      <c r="A9" s="126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6077-D418-40CC-8A2E-A77735A0FAF9}">
  <dimension ref="B2:L21"/>
  <sheetViews>
    <sheetView topLeftCell="A7" workbookViewId="0">
      <selection activeCell="B7" sqref="B7"/>
    </sheetView>
  </sheetViews>
  <sheetFormatPr defaultRowHeight="15.5" x14ac:dyDescent="0.35"/>
  <cols>
    <col min="1" max="1" width="8.7265625" style="89"/>
    <col min="2" max="2" width="44.90625" style="89" customWidth="1"/>
    <col min="3" max="16384" width="8.7265625" style="89"/>
  </cols>
  <sheetData>
    <row r="2" spans="2:12" x14ac:dyDescent="0.35">
      <c r="B2" s="89" t="s">
        <v>326</v>
      </c>
    </row>
    <row r="5" spans="2:12" x14ac:dyDescent="0.35">
      <c r="B5" s="287" t="s">
        <v>327</v>
      </c>
      <c r="C5" s="295">
        <v>2023</v>
      </c>
      <c r="D5" s="295">
        <v>2024</v>
      </c>
      <c r="E5" s="295">
        <v>2025</v>
      </c>
      <c r="F5" s="295">
        <v>2026</v>
      </c>
      <c r="G5" s="295">
        <v>2027</v>
      </c>
    </row>
    <row r="6" spans="2:12" x14ac:dyDescent="0.35">
      <c r="B6" s="288" t="s">
        <v>328</v>
      </c>
      <c r="C6" s="163">
        <f>'Revenue Build-Up Projected'!D9</f>
        <v>7717.65</v>
      </c>
      <c r="D6" s="163">
        <f>'Revenue Build-Up Projected'!E9</f>
        <v>8875.2974999999988</v>
      </c>
      <c r="E6" s="163">
        <f>'Revenue Build-Up Projected'!F9</f>
        <v>10206.592124999997</v>
      </c>
      <c r="F6" s="163">
        <f>'Revenue Build-Up Projected'!G9</f>
        <v>11737.580943749996</v>
      </c>
      <c r="G6" s="163">
        <f>'Revenue Build-Up Projected'!H9</f>
        <v>13498.218085312494</v>
      </c>
    </row>
    <row r="7" spans="2:12" x14ac:dyDescent="0.35">
      <c r="B7" s="289" t="s">
        <v>329</v>
      </c>
      <c r="C7" s="151"/>
      <c r="D7" s="184">
        <f>D6/C6-1</f>
        <v>0.14999999999999991</v>
      </c>
      <c r="E7" s="184">
        <f t="shared" ref="E7:F7" si="0">E6/D6-1</f>
        <v>0.14999999999999991</v>
      </c>
      <c r="F7" s="184">
        <f t="shared" si="0"/>
        <v>0.14999999999999991</v>
      </c>
      <c r="G7" s="184">
        <f>G6/F6-1</f>
        <v>0.14999999999999991</v>
      </c>
    </row>
    <row r="8" spans="2:12" x14ac:dyDescent="0.35">
      <c r="B8" s="289" t="s">
        <v>111</v>
      </c>
      <c r="C8" s="151"/>
      <c r="D8" s="151"/>
      <c r="E8" s="151"/>
      <c r="F8" s="151"/>
      <c r="G8" s="184">
        <f>(G6/C6)^(1/4)-1</f>
        <v>0.14999999999999991</v>
      </c>
    </row>
    <row r="9" spans="2:12" x14ac:dyDescent="0.35">
      <c r="B9" s="290" t="s">
        <v>330</v>
      </c>
      <c r="C9" s="163">
        <f>'Cost Buildup- Projected '!B2</f>
        <v>1918.1400000000003</v>
      </c>
      <c r="D9" s="163">
        <f>'Cost Buildup- Projected '!C2</f>
        <v>2014.0470000000005</v>
      </c>
      <c r="E9" s="163">
        <f>'Cost Buildup- Projected '!D2</f>
        <v>2114.7493500000005</v>
      </c>
      <c r="F9" s="163">
        <f>'Cost Buildup- Projected '!E2</f>
        <v>2220.4868175000006</v>
      </c>
      <c r="G9" s="163">
        <f>'Cost Buildup- Projected '!F2</f>
        <v>2331.5111583750008</v>
      </c>
      <c r="H9" s="293"/>
      <c r="I9" s="293"/>
      <c r="J9" s="294"/>
      <c r="K9" s="293"/>
      <c r="L9" s="293"/>
    </row>
    <row r="10" spans="2:12" x14ac:dyDescent="0.35">
      <c r="B10" s="290" t="s">
        <v>331</v>
      </c>
      <c r="C10" s="163">
        <f>'Cost Buildup- Projected '!B4</f>
        <v>1226.1165000000003</v>
      </c>
      <c r="D10" s="163">
        <f>'Cost Buildup- Projected '!C4</f>
        <v>1287.4223250000005</v>
      </c>
      <c r="E10" s="163">
        <f>'Cost Buildup- Projected '!D4</f>
        <v>1351.7934412500006</v>
      </c>
      <c r="F10" s="163">
        <f>'Cost Buildup- Projected '!E4</f>
        <v>1419.3831133125007</v>
      </c>
      <c r="G10" s="163">
        <f>'Cost Buildup- Projected '!F4</f>
        <v>1490.3522689781257</v>
      </c>
    </row>
    <row r="11" spans="2:12" x14ac:dyDescent="0.35">
      <c r="B11" s="290"/>
      <c r="C11" s="151"/>
      <c r="D11" s="151"/>
      <c r="E11" s="151"/>
      <c r="F11" s="151"/>
      <c r="G11" s="151"/>
    </row>
    <row r="12" spans="2:12" x14ac:dyDescent="0.35">
      <c r="B12" s="290" t="s">
        <v>99</v>
      </c>
      <c r="C12" s="163">
        <f>C6-C9-C10</f>
        <v>4573.3934999999992</v>
      </c>
      <c r="D12" s="163">
        <f t="shared" ref="D12:G12" si="1">D6-D9-D10</f>
        <v>5573.8281749999978</v>
      </c>
      <c r="E12" s="163">
        <f t="shared" si="1"/>
        <v>6740.0493337499965</v>
      </c>
      <c r="F12" s="163">
        <f t="shared" si="1"/>
        <v>8097.7110129374942</v>
      </c>
      <c r="G12" s="163">
        <f t="shared" si="1"/>
        <v>9676.3546579593676</v>
      </c>
    </row>
    <row r="13" spans="2:12" x14ac:dyDescent="0.35">
      <c r="B13" s="291" t="s">
        <v>332</v>
      </c>
      <c r="C13" s="184">
        <f>C12/C6</f>
        <v>0.592588870964607</v>
      </c>
      <c r="D13" s="184">
        <f t="shared" ref="D13:G13" si="2">D12/D6</f>
        <v>0.62801592566333675</v>
      </c>
      <c r="E13" s="184">
        <f t="shared" si="2"/>
        <v>0.66036236691000305</v>
      </c>
      <c r="F13" s="184">
        <f t="shared" si="2"/>
        <v>0.68989607413522014</v>
      </c>
      <c r="G13" s="184">
        <f t="shared" si="2"/>
        <v>0.71686163290607052</v>
      </c>
    </row>
    <row r="14" spans="2:12" x14ac:dyDescent="0.35">
      <c r="B14" s="290"/>
      <c r="C14" s="151"/>
      <c r="D14" s="151"/>
      <c r="E14" s="151"/>
      <c r="F14" s="151"/>
      <c r="G14" s="151"/>
    </row>
    <row r="15" spans="2:12" x14ac:dyDescent="0.35">
      <c r="B15" s="290" t="s">
        <v>272</v>
      </c>
      <c r="C15" s="163">
        <f>'Assumption Sheet'!C60</f>
        <v>308.70600000000002</v>
      </c>
      <c r="D15" s="163">
        <f>'Assumption Sheet'!D60</f>
        <v>355.01189999999997</v>
      </c>
      <c r="E15" s="163">
        <f>'Assumption Sheet'!E60</f>
        <v>408.2636849999999</v>
      </c>
      <c r="F15" s="163">
        <f>'Assumption Sheet'!F60</f>
        <v>469.50323774999981</v>
      </c>
      <c r="G15" s="163">
        <f>'Assumption Sheet'!G60</f>
        <v>539.92872341249972</v>
      </c>
    </row>
    <row r="16" spans="2:12" x14ac:dyDescent="0.35">
      <c r="B16" s="290" t="s">
        <v>333</v>
      </c>
      <c r="C16" s="163">
        <f>C12-C15</f>
        <v>4264.6874999999991</v>
      </c>
      <c r="D16" s="163">
        <f t="shared" ref="D16:G16" si="3">D12-D15</f>
        <v>5218.8162749999974</v>
      </c>
      <c r="E16" s="163">
        <f t="shared" si="3"/>
        <v>6331.7856487499967</v>
      </c>
      <c r="F16" s="163">
        <f t="shared" si="3"/>
        <v>7628.207775187494</v>
      </c>
      <c r="G16" s="163">
        <f t="shared" si="3"/>
        <v>9136.4259345468672</v>
      </c>
    </row>
    <row r="17" spans="2:7" x14ac:dyDescent="0.35">
      <c r="B17" s="290"/>
      <c r="C17" s="151"/>
      <c r="D17" s="151"/>
      <c r="E17" s="151"/>
      <c r="F17" s="151"/>
      <c r="G17" s="151"/>
    </row>
    <row r="18" spans="2:7" x14ac:dyDescent="0.35">
      <c r="B18" s="290"/>
      <c r="C18" s="151"/>
      <c r="D18" s="151"/>
      <c r="E18" s="151"/>
      <c r="F18" s="151"/>
      <c r="G18" s="151"/>
    </row>
    <row r="19" spans="2:7" x14ac:dyDescent="0.35">
      <c r="B19" s="290" t="s">
        <v>334</v>
      </c>
      <c r="C19" s="163">
        <f>'Projected P&amp;L'!C16*'Assumption Sheet'!C65</f>
        <v>1066.1718749999998</v>
      </c>
      <c r="D19" s="163">
        <f>'Projected P&amp;L'!D16*'Assumption Sheet'!D65</f>
        <v>1304.7040687499994</v>
      </c>
      <c r="E19" s="163">
        <f>'Projected P&amp;L'!E16*'Assumption Sheet'!E65</f>
        <v>1582.9464121874992</v>
      </c>
      <c r="F19" s="163">
        <f>'Projected P&amp;L'!F16*'Assumption Sheet'!F65</f>
        <v>1907.0519437968735</v>
      </c>
      <c r="G19" s="163">
        <f>'Projected P&amp;L'!G16*'Assumption Sheet'!G65</f>
        <v>2284.1064836367168</v>
      </c>
    </row>
    <row r="20" spans="2:7" x14ac:dyDescent="0.35">
      <c r="B20" s="290" t="s">
        <v>55</v>
      </c>
      <c r="C20" s="163">
        <f>C16-C19</f>
        <v>3198.5156249999991</v>
      </c>
      <c r="D20" s="163">
        <f t="shared" ref="D20:G20" si="4">D16-D19</f>
        <v>3914.1122062499981</v>
      </c>
      <c r="E20" s="163">
        <f t="shared" si="4"/>
        <v>4748.8392365624977</v>
      </c>
      <c r="F20" s="163">
        <f t="shared" si="4"/>
        <v>5721.1558313906207</v>
      </c>
      <c r="G20" s="163">
        <f t="shared" si="4"/>
        <v>6852.3194509101504</v>
      </c>
    </row>
    <row r="21" spans="2:7" x14ac:dyDescent="0.35">
      <c r="B21" s="178" t="s">
        <v>335</v>
      </c>
      <c r="C21" s="184">
        <f>C20/C6</f>
        <v>0.41444165322345522</v>
      </c>
      <c r="D21" s="184">
        <f t="shared" ref="D21:G21" si="5">D20/D6</f>
        <v>0.44101194424750251</v>
      </c>
      <c r="E21" s="184">
        <f t="shared" si="5"/>
        <v>0.46527177518250235</v>
      </c>
      <c r="F21" s="184">
        <f t="shared" si="5"/>
        <v>0.48742205560141511</v>
      </c>
      <c r="G21" s="184">
        <f t="shared" si="5"/>
        <v>0.50764622467955289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HISTORICAL P&amp;L</vt:lpstr>
      <vt:lpstr>HISTORICAL BS</vt:lpstr>
      <vt:lpstr>HISTORICAL CF</vt:lpstr>
      <vt:lpstr>Final Revenue Build-Up</vt:lpstr>
      <vt:lpstr>Final Cost Build-Up</vt:lpstr>
      <vt:lpstr>Assumption Sheet</vt:lpstr>
      <vt:lpstr>Revenue Build-Up Projected</vt:lpstr>
      <vt:lpstr>Cost Buildup- Projected </vt:lpstr>
      <vt:lpstr>Projected P&amp;L</vt:lpstr>
      <vt:lpstr>Projected BS</vt:lpstr>
      <vt:lpstr>Projected Cashflow</vt:lpstr>
      <vt:lpstr>FCFE</vt:lpstr>
      <vt:lpstr>CCM</vt:lpstr>
      <vt:lpstr>summary</vt:lpstr>
      <vt:lpstr>wacc</vt:lpstr>
      <vt:lpstr>IGNORE Revenue Buildup</vt:lpstr>
      <vt:lpstr>CAPEXSALES Ashwat </vt:lpstr>
      <vt:lpstr>TASKS</vt:lpstr>
      <vt:lpstr>IGNORE Cost build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Advaita Ganesh Kumar</dc:creator>
  <cp:lastModifiedBy>Advaita Ganesh Kumar</cp:lastModifiedBy>
  <dcterms:created xsi:type="dcterms:W3CDTF">2023-03-20T10:29:20Z</dcterms:created>
  <dcterms:modified xsi:type="dcterms:W3CDTF">2024-04-16T06:50:31Z</dcterms:modified>
</cp:coreProperties>
</file>