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ace\Documents\Deworming\Cost-Effectiveness\"/>
    </mc:Choice>
  </mc:AlternateContent>
  <bookViews>
    <workbookView xWindow="0" yWindow="0" windowWidth="6750" windowHeight="4788" activeTab="8"/>
  </bookViews>
  <sheets>
    <sheet name="Intro" sheetId="4" r:id="rId1"/>
    <sheet name="Results" sheetId="3" r:id="rId2"/>
    <sheet name="Inputs " sheetId="1" r:id="rId3"/>
    <sheet name="Kenya Prevalence Data" sheetId="5" r:id="rId4"/>
    <sheet name="Prevalence Inputs " sheetId="8" r:id="rId5"/>
    <sheet name="School Attendance" sheetId="7" r:id="rId6"/>
    <sheet name="Other Inputs " sheetId="9" r:id="rId7"/>
    <sheet name="Education Outcomes" sheetId="10" r:id="rId8"/>
    <sheet name="Health Outcomes" sheetId="11" r:id="rId9"/>
    <sheet name="Income Outcomes" sheetId="1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 i="11" l="1"/>
  <c r="O33" i="11"/>
  <c r="N33" i="11"/>
  <c r="M33" i="11"/>
  <c r="L33" i="11"/>
  <c r="K33" i="11"/>
  <c r="J33" i="11"/>
  <c r="I33" i="11"/>
  <c r="H33" i="11"/>
  <c r="G33" i="11"/>
  <c r="F33" i="11"/>
  <c r="E33" i="11"/>
  <c r="D33" i="11"/>
  <c r="C17" i="11"/>
  <c r="D17" i="11"/>
  <c r="D21" i="11" s="1"/>
  <c r="E17" i="11"/>
  <c r="E21" i="11" s="1"/>
  <c r="F17" i="11"/>
  <c r="F21" i="11" s="1"/>
  <c r="G17" i="11"/>
  <c r="G21" i="11" s="1"/>
  <c r="H17" i="11"/>
  <c r="H21" i="11" s="1"/>
  <c r="I17" i="11"/>
  <c r="I21" i="11" s="1"/>
  <c r="J17" i="11"/>
  <c r="J21" i="11" s="1"/>
  <c r="K17" i="11"/>
  <c r="K21" i="11" s="1"/>
  <c r="L17" i="11"/>
  <c r="L21" i="11" s="1"/>
  <c r="M17" i="11"/>
  <c r="M21" i="11" s="1"/>
  <c r="N17" i="11"/>
  <c r="N21" i="11" s="1"/>
  <c r="O17" i="11"/>
  <c r="O21" i="11" s="1"/>
  <c r="P17" i="11"/>
  <c r="P21" i="11" s="1"/>
  <c r="H4" i="9" l="1"/>
  <c r="G4" i="9"/>
  <c r="I4" i="9"/>
  <c r="H72" i="8" l="1"/>
  <c r="H51" i="8"/>
  <c r="P3" i="11"/>
  <c r="O3" i="11"/>
  <c r="N3" i="11"/>
  <c r="M3" i="11"/>
  <c r="L3" i="11"/>
  <c r="K3" i="11"/>
  <c r="J3" i="11"/>
  <c r="I3" i="11"/>
  <c r="H3" i="11"/>
  <c r="G3" i="11"/>
  <c r="F3" i="11"/>
  <c r="E3" i="11"/>
  <c r="D3" i="11"/>
  <c r="C3" i="11"/>
  <c r="B23" i="9" l="1"/>
  <c r="K4" i="9" l="1"/>
  <c r="L4" i="9"/>
  <c r="J4" i="9"/>
  <c r="P2" i="11"/>
  <c r="O2" i="11"/>
  <c r="N2" i="11"/>
  <c r="M2" i="11"/>
  <c r="L2" i="11"/>
  <c r="K2" i="11"/>
  <c r="J2" i="11"/>
  <c r="I2" i="11"/>
  <c r="H2" i="11"/>
  <c r="G2" i="11"/>
  <c r="F2" i="11"/>
  <c r="E2" i="11"/>
  <c r="D2" i="11"/>
  <c r="C2" i="11"/>
  <c r="C12" i="11" l="1"/>
  <c r="C9" i="11"/>
  <c r="I6" i="11"/>
  <c r="J6" i="11"/>
  <c r="N6" i="11"/>
  <c r="G6" i="11"/>
  <c r="K6" i="11"/>
  <c r="D6" i="11"/>
  <c r="H6" i="11"/>
  <c r="L6" i="11"/>
  <c r="P6" i="11"/>
  <c r="E6" i="11"/>
  <c r="M6" i="11"/>
  <c r="F6" i="11"/>
  <c r="C6" i="11"/>
  <c r="O6" i="11"/>
  <c r="E34" i="10"/>
  <c r="D34" i="10"/>
  <c r="P6" i="10" l="1"/>
  <c r="O6" i="10"/>
  <c r="N6" i="10"/>
  <c r="M6" i="10"/>
  <c r="L6" i="10"/>
  <c r="K6" i="10"/>
  <c r="J6" i="10"/>
  <c r="I6" i="10"/>
  <c r="H6" i="10"/>
  <c r="G6" i="10"/>
  <c r="F6" i="10"/>
  <c r="E6" i="10"/>
  <c r="D6" i="10"/>
  <c r="C6" i="10"/>
  <c r="E30" i="7"/>
  <c r="N8" i="10" l="1"/>
  <c r="G8" i="10"/>
  <c r="K8" i="10"/>
  <c r="O8" i="10"/>
  <c r="F8" i="10"/>
  <c r="D8" i="10"/>
  <c r="P8" i="10"/>
  <c r="J8" i="10"/>
  <c r="C8" i="10"/>
  <c r="H8" i="10"/>
  <c r="L8" i="10"/>
  <c r="E8" i="10"/>
  <c r="I8" i="10"/>
  <c r="M8" i="10"/>
  <c r="E33" i="7" l="1"/>
  <c r="D33" i="7"/>
  <c r="B33" i="7"/>
  <c r="D30" i="7"/>
  <c r="C30" i="7"/>
  <c r="P10" i="10" l="1"/>
  <c r="O10" i="10"/>
  <c r="N10" i="10"/>
  <c r="M10" i="10"/>
  <c r="L10" i="10"/>
  <c r="K10" i="10"/>
  <c r="J10" i="10"/>
  <c r="I10" i="10"/>
  <c r="H10" i="10"/>
  <c r="G10" i="10"/>
  <c r="F10" i="10"/>
  <c r="E10" i="10"/>
  <c r="D10" i="10"/>
  <c r="M4" i="10"/>
  <c r="L4" i="10"/>
  <c r="J4" i="10"/>
  <c r="I4" i="10"/>
  <c r="H4" i="10"/>
  <c r="G4" i="10"/>
  <c r="F4" i="10"/>
  <c r="E4" i="10"/>
  <c r="D4" i="10"/>
  <c r="P3" i="10"/>
  <c r="O3" i="10"/>
  <c r="N3" i="10"/>
  <c r="M3" i="10"/>
  <c r="L3" i="10"/>
  <c r="K3" i="10"/>
  <c r="J3" i="10"/>
  <c r="I3" i="10"/>
  <c r="H3" i="10"/>
  <c r="G3" i="10"/>
  <c r="F3" i="10"/>
  <c r="E3" i="10"/>
  <c r="D3" i="10"/>
  <c r="H7" i="8"/>
  <c r="H8" i="8"/>
  <c r="H9" i="8"/>
  <c r="E7" i="8"/>
  <c r="E8" i="8"/>
  <c r="E9" i="8"/>
  <c r="B7" i="8"/>
  <c r="B8" i="8"/>
  <c r="B9" i="8"/>
  <c r="D33" i="8"/>
  <c r="F40" i="8"/>
  <c r="D37" i="8"/>
  <c r="B37" i="8"/>
  <c r="D36" i="8"/>
  <c r="B36" i="8"/>
  <c r="B35" i="8"/>
  <c r="K7" i="9" l="1"/>
  <c r="H7" i="9"/>
  <c r="E19" i="10" s="1"/>
  <c r="E20" i="10" s="1"/>
  <c r="E23" i="10" s="1"/>
  <c r="L8" i="9"/>
  <c r="I8" i="9"/>
  <c r="F25" i="10" s="1"/>
  <c r="F26" i="10" s="1"/>
  <c r="F29" i="10" s="1"/>
  <c r="J7" i="9"/>
  <c r="E5" i="11" s="1"/>
  <c r="G7" i="9"/>
  <c r="E13" i="10" s="1"/>
  <c r="E14" i="10" s="1"/>
  <c r="E15" i="10" s="1"/>
  <c r="J8" i="9"/>
  <c r="F5" i="11" s="1"/>
  <c r="G8" i="9"/>
  <c r="F13" i="10" s="1"/>
  <c r="F14" i="10" s="1"/>
  <c r="F15" i="10" s="1"/>
  <c r="L7" i="9"/>
  <c r="I7" i="9"/>
  <c r="E25" i="10" s="1"/>
  <c r="E26" i="10" s="1"/>
  <c r="E29" i="10" s="1"/>
  <c r="K9" i="9"/>
  <c r="H9" i="9"/>
  <c r="G19" i="10" s="1"/>
  <c r="G20" i="10" s="1"/>
  <c r="G23" i="10" s="1"/>
  <c r="L9" i="9"/>
  <c r="I9" i="9"/>
  <c r="G25" i="10" s="1"/>
  <c r="G26" i="10" s="1"/>
  <c r="G29" i="10" s="1"/>
  <c r="J9" i="9"/>
  <c r="G5" i="11" s="1"/>
  <c r="G9" i="9"/>
  <c r="G13" i="10" s="1"/>
  <c r="G14" i="10" s="1"/>
  <c r="G17" i="10" s="1"/>
  <c r="K8" i="9"/>
  <c r="H8" i="9"/>
  <c r="F19" i="10" s="1"/>
  <c r="F20" i="10" s="1"/>
  <c r="F21" i="10" s="1"/>
  <c r="F5" i="10"/>
  <c r="E5" i="10"/>
  <c r="E9" i="10" s="1"/>
  <c r="G5" i="10"/>
  <c r="G9" i="10" s="1"/>
  <c r="L72" i="8"/>
  <c r="J72" i="8"/>
  <c r="L51" i="8"/>
  <c r="J51" i="8"/>
  <c r="G7" i="11" l="1"/>
  <c r="G8" i="11" s="1"/>
  <c r="G9" i="11"/>
  <c r="F7" i="11"/>
  <c r="F8" i="11" s="1"/>
  <c r="F9" i="11"/>
  <c r="E7" i="11"/>
  <c r="E8" i="11" s="1"/>
  <c r="E9" i="11"/>
  <c r="E17" i="10"/>
  <c r="E21" i="10"/>
  <c r="F23" i="10"/>
  <c r="F27" i="10"/>
  <c r="F28" i="10" s="1"/>
  <c r="G15" i="10"/>
  <c r="G16" i="10" s="1"/>
  <c r="E27" i="10"/>
  <c r="E28" i="10" s="1"/>
  <c r="G21" i="10"/>
  <c r="G22" i="10" s="1"/>
  <c r="G27" i="10"/>
  <c r="G28" i="10" s="1"/>
  <c r="F17" i="10"/>
  <c r="F22" i="10"/>
  <c r="F9" i="10"/>
  <c r="F16" i="10"/>
  <c r="E16" i="10"/>
  <c r="E22" i="10"/>
  <c r="H9" i="7"/>
  <c r="H10" i="7"/>
  <c r="H11" i="7"/>
  <c r="H12" i="7"/>
  <c r="H13" i="7"/>
  <c r="H14" i="7"/>
  <c r="H15" i="7"/>
  <c r="H16" i="7"/>
  <c r="F15" i="11" l="1"/>
  <c r="F12" i="11"/>
  <c r="E15" i="11"/>
  <c r="E12" i="11"/>
  <c r="G15" i="11"/>
  <c r="G12" i="11"/>
  <c r="F10" i="11"/>
  <c r="F11" i="11"/>
  <c r="E10" i="11"/>
  <c r="E11" i="11" s="1"/>
  <c r="G10" i="11"/>
  <c r="G11" i="11" s="1"/>
  <c r="C10" i="10"/>
  <c r="E18" i="9"/>
  <c r="P4" i="10" s="1"/>
  <c r="E13" i="11" l="1"/>
  <c r="E14" i="11" s="1"/>
  <c r="E18" i="11" s="1"/>
  <c r="G13" i="11"/>
  <c r="G14" i="11" s="1"/>
  <c r="G18" i="11" s="1"/>
  <c r="F13" i="11"/>
  <c r="F14" i="11" s="1"/>
  <c r="F18" i="11" s="1"/>
  <c r="E17" i="9"/>
  <c r="O4" i="10" s="1"/>
  <c r="E16" i="9"/>
  <c r="N4" i="10" s="1"/>
  <c r="E13" i="9"/>
  <c r="K4" i="10" s="1"/>
  <c r="C4" i="7"/>
  <c r="C5" i="7"/>
  <c r="C6" i="7"/>
  <c r="B4" i="7"/>
  <c r="B5" i="7"/>
  <c r="B6" i="7"/>
  <c r="B7" i="7"/>
  <c r="B8" i="7"/>
  <c r="B9" i="7"/>
  <c r="B10" i="7"/>
  <c r="B11" i="7"/>
  <c r="B12" i="7"/>
  <c r="B13" i="7"/>
  <c r="B14" i="7"/>
  <c r="B15" i="7"/>
  <c r="B16" i="7"/>
  <c r="B3" i="7"/>
  <c r="F19" i="11" l="1"/>
  <c r="F20" i="11" s="1"/>
  <c r="G19" i="11"/>
  <c r="G20" i="11"/>
  <c r="G27" i="11"/>
  <c r="E19" i="11"/>
  <c r="E20" i="11" s="1"/>
  <c r="F72" i="8"/>
  <c r="D72" i="8"/>
  <c r="B72" i="8"/>
  <c r="F51" i="8"/>
  <c r="D51" i="8"/>
  <c r="B51" i="8"/>
  <c r="F28" i="8"/>
  <c r="D28" i="8"/>
  <c r="B28" i="8"/>
  <c r="F24" i="11" l="1"/>
  <c r="F22" i="11"/>
  <c r="F23" i="11" s="1"/>
  <c r="F27" i="11"/>
  <c r="E24" i="11"/>
  <c r="E22" i="11"/>
  <c r="E23" i="11" s="1"/>
  <c r="E27" i="11"/>
  <c r="G24" i="11"/>
  <c r="G22" i="11"/>
  <c r="G23" i="11" s="1"/>
  <c r="K73" i="8"/>
  <c r="K77" i="8"/>
  <c r="K78" i="8"/>
  <c r="K79" i="8"/>
  <c r="K80" i="8"/>
  <c r="K81" i="8"/>
  <c r="K82" i="8"/>
  <c r="K83" i="8"/>
  <c r="K84" i="8"/>
  <c r="K85" i="8"/>
  <c r="K72" i="8"/>
  <c r="G73" i="8"/>
  <c r="G77" i="8"/>
  <c r="G78" i="8"/>
  <c r="G79" i="8"/>
  <c r="G80" i="8"/>
  <c r="G81" i="8"/>
  <c r="G82" i="8"/>
  <c r="G83" i="8"/>
  <c r="G84" i="8"/>
  <c r="G85" i="8"/>
  <c r="G72" i="8"/>
  <c r="E73" i="8"/>
  <c r="E77" i="8"/>
  <c r="E78" i="8"/>
  <c r="E79" i="8"/>
  <c r="E80" i="8"/>
  <c r="E81" i="8"/>
  <c r="E82" i="8"/>
  <c r="E83" i="8"/>
  <c r="E84" i="8"/>
  <c r="E85" i="8"/>
  <c r="E72" i="8"/>
  <c r="C73" i="8"/>
  <c r="C77" i="8"/>
  <c r="C78" i="8"/>
  <c r="C79" i="8"/>
  <c r="C80" i="8"/>
  <c r="C81" i="8"/>
  <c r="C82" i="8"/>
  <c r="C83" i="8"/>
  <c r="C84" i="8"/>
  <c r="C85" i="8"/>
  <c r="C72" i="8"/>
  <c r="B5" i="8" s="1"/>
  <c r="K52" i="8"/>
  <c r="K56" i="8"/>
  <c r="K64" i="8"/>
  <c r="K51" i="8"/>
  <c r="G52" i="8"/>
  <c r="G56" i="8"/>
  <c r="G57" i="8"/>
  <c r="G58" i="8"/>
  <c r="G59" i="8"/>
  <c r="G60" i="8"/>
  <c r="G61" i="8"/>
  <c r="G62" i="8"/>
  <c r="G63" i="8"/>
  <c r="G64" i="8"/>
  <c r="G51" i="8"/>
  <c r="E52" i="8"/>
  <c r="E56" i="8"/>
  <c r="E57" i="8"/>
  <c r="E58" i="8"/>
  <c r="E59" i="8"/>
  <c r="E60" i="8"/>
  <c r="E61" i="8"/>
  <c r="E62" i="8"/>
  <c r="E63" i="8"/>
  <c r="E64" i="8"/>
  <c r="E51" i="8"/>
  <c r="C52" i="8"/>
  <c r="C56" i="8"/>
  <c r="E10" i="8" s="1"/>
  <c r="C57" i="8"/>
  <c r="C58" i="8"/>
  <c r="C59" i="8"/>
  <c r="C60" i="8"/>
  <c r="E14" i="8" s="1"/>
  <c r="C61" i="8"/>
  <c r="C62" i="8"/>
  <c r="C63" i="8"/>
  <c r="C64" i="8"/>
  <c r="E18" i="8" s="1"/>
  <c r="C51" i="8"/>
  <c r="G29" i="8"/>
  <c r="G33" i="8"/>
  <c r="G34" i="8"/>
  <c r="G35" i="8"/>
  <c r="G36" i="8"/>
  <c r="G37" i="8"/>
  <c r="G38" i="8"/>
  <c r="G39" i="8"/>
  <c r="G40" i="8"/>
  <c r="G41" i="8"/>
  <c r="G28" i="8"/>
  <c r="E29" i="8"/>
  <c r="E33" i="8"/>
  <c r="E34" i="8"/>
  <c r="E35" i="8"/>
  <c r="E36" i="8"/>
  <c r="E37" i="8"/>
  <c r="E38" i="8"/>
  <c r="E39" i="8"/>
  <c r="E40" i="8"/>
  <c r="E41" i="8"/>
  <c r="E28" i="8"/>
  <c r="C29" i="8"/>
  <c r="H6" i="8" s="1"/>
  <c r="C33" i="8"/>
  <c r="C34" i="8"/>
  <c r="C35" i="8"/>
  <c r="C36" i="8"/>
  <c r="H13" i="8" s="1"/>
  <c r="C37" i="8"/>
  <c r="C38" i="8"/>
  <c r="C39" i="8"/>
  <c r="C40" i="8"/>
  <c r="H17" i="8" s="1"/>
  <c r="C41" i="8"/>
  <c r="C28" i="8"/>
  <c r="D5" i="10"/>
  <c r="H5" i="10"/>
  <c r="I5" i="10"/>
  <c r="J5" i="10"/>
  <c r="K5" i="10"/>
  <c r="L5" i="10"/>
  <c r="M5" i="10"/>
  <c r="N5" i="10"/>
  <c r="O5" i="10"/>
  <c r="P5" i="10"/>
  <c r="C4" i="10"/>
  <c r="C3" i="10"/>
  <c r="E25" i="11" l="1"/>
  <c r="E26" i="11" s="1"/>
  <c r="E30" i="11" s="1"/>
  <c r="G25" i="11"/>
  <c r="G26" i="11" s="1"/>
  <c r="F25" i="11"/>
  <c r="F26" i="11" s="1"/>
  <c r="F30" i="11" s="1"/>
  <c r="E5" i="8"/>
  <c r="K6" i="9"/>
  <c r="H6" i="9"/>
  <c r="D19" i="10" s="1"/>
  <c r="D20" i="10" s="1"/>
  <c r="J18" i="9"/>
  <c r="P5" i="11" s="1"/>
  <c r="G18" i="9"/>
  <c r="P13" i="10" s="1"/>
  <c r="P14" i="10" s="1"/>
  <c r="J14" i="9"/>
  <c r="L5" i="11" s="1"/>
  <c r="G14" i="9"/>
  <c r="L13" i="10" s="1"/>
  <c r="L14" i="10" s="1"/>
  <c r="J10" i="9"/>
  <c r="H5" i="11" s="1"/>
  <c r="G10" i="9"/>
  <c r="H13" i="10" s="1"/>
  <c r="H14" i="10" s="1"/>
  <c r="L5" i="9"/>
  <c r="C29" i="11" s="1"/>
  <c r="I5" i="9"/>
  <c r="C25" i="10" s="1"/>
  <c r="C26" i="10" s="1"/>
  <c r="C29" i="10" s="1"/>
  <c r="K13" i="9"/>
  <c r="H13" i="9"/>
  <c r="K19" i="10" s="1"/>
  <c r="K20" i="10" s="1"/>
  <c r="K17" i="9"/>
  <c r="H17" i="9"/>
  <c r="O19" i="10" s="1"/>
  <c r="O20" i="10" s="1"/>
  <c r="J5" i="9"/>
  <c r="C5" i="11" s="1"/>
  <c r="G5" i="9"/>
  <c r="C13" i="10" s="1"/>
  <c r="C14" i="10" s="1"/>
  <c r="C17" i="10" s="1"/>
  <c r="D35" i="10"/>
  <c r="E35" i="10"/>
  <c r="C5" i="10"/>
  <c r="E13" i="8"/>
  <c r="B10" i="8"/>
  <c r="H5" i="8"/>
  <c r="H15" i="8"/>
  <c r="H11" i="8"/>
  <c r="E16" i="8"/>
  <c r="E12" i="8"/>
  <c r="B6" i="8"/>
  <c r="H16" i="8"/>
  <c r="H12" i="8"/>
  <c r="E17" i="8"/>
  <c r="E6" i="8"/>
  <c r="H18" i="8"/>
  <c r="H14" i="8"/>
  <c r="H10" i="8"/>
  <c r="E15" i="8"/>
  <c r="E11" i="8"/>
  <c r="O9" i="10"/>
  <c r="K9" i="10"/>
  <c r="J9" i="10"/>
  <c r="M9" i="10"/>
  <c r="I9" i="10"/>
  <c r="P9" i="10"/>
  <c r="L9" i="10"/>
  <c r="D9" i="10"/>
  <c r="B11" i="8"/>
  <c r="B18" i="8"/>
  <c r="B17" i="8"/>
  <c r="B16" i="8"/>
  <c r="B15" i="8"/>
  <c r="B14" i="8"/>
  <c r="B13" i="8"/>
  <c r="B12" i="8"/>
  <c r="C14" i="7"/>
  <c r="N9" i="10" s="1"/>
  <c r="C8" i="7"/>
  <c r="H9" i="10" s="1"/>
  <c r="C7" i="7"/>
  <c r="G30" i="11" l="1"/>
  <c r="E31" i="11"/>
  <c r="E32" i="11" s="1"/>
  <c r="F31" i="11"/>
  <c r="F32" i="11" s="1"/>
  <c r="C10" i="11"/>
  <c r="C13" i="11"/>
  <c r="H7" i="11"/>
  <c r="H8" i="11" s="1"/>
  <c r="H9" i="11"/>
  <c r="P7" i="11"/>
  <c r="P8" i="11" s="1"/>
  <c r="P9" i="11"/>
  <c r="L7" i="11"/>
  <c r="L8" i="11" s="1"/>
  <c r="L9" i="11"/>
  <c r="C7" i="11"/>
  <c r="K10" i="9"/>
  <c r="H10" i="9"/>
  <c r="H19" i="10" s="1"/>
  <c r="H20" i="10" s="1"/>
  <c r="J17" i="9"/>
  <c r="O5" i="11" s="1"/>
  <c r="G17" i="9"/>
  <c r="O13" i="10" s="1"/>
  <c r="O14" i="10" s="1"/>
  <c r="J12" i="9"/>
  <c r="J5" i="11" s="1"/>
  <c r="G12" i="9"/>
  <c r="J13" i="10" s="1"/>
  <c r="J14" i="10" s="1"/>
  <c r="K5" i="9"/>
  <c r="H5" i="9"/>
  <c r="C19" i="10" s="1"/>
  <c r="C20" i="10" s="1"/>
  <c r="K23" i="10"/>
  <c r="K21" i="10"/>
  <c r="K22" i="10" s="1"/>
  <c r="H15" i="10"/>
  <c r="H16" i="10" s="1"/>
  <c r="H17" i="10"/>
  <c r="P17" i="10"/>
  <c r="P15" i="10"/>
  <c r="P16" i="10" s="1"/>
  <c r="L14" i="9"/>
  <c r="I14" i="9"/>
  <c r="L25" i="10" s="1"/>
  <c r="L26" i="10" s="1"/>
  <c r="L18" i="9"/>
  <c r="I18" i="9"/>
  <c r="P25" i="10" s="1"/>
  <c r="P26" i="10" s="1"/>
  <c r="K14" i="9"/>
  <c r="H14" i="9"/>
  <c r="L19" i="10" s="1"/>
  <c r="L20" i="10" s="1"/>
  <c r="K12" i="9"/>
  <c r="H12" i="9"/>
  <c r="J19" i="10" s="1"/>
  <c r="J20" i="10" s="1"/>
  <c r="J16" i="9"/>
  <c r="N5" i="11" s="1"/>
  <c r="G16" i="9"/>
  <c r="N13" i="10" s="1"/>
  <c r="N14" i="10" s="1"/>
  <c r="L10" i="9"/>
  <c r="I10" i="9"/>
  <c r="H25" i="10" s="1"/>
  <c r="H26" i="10" s="1"/>
  <c r="L13" i="9"/>
  <c r="I13" i="9"/>
  <c r="K25" i="10" s="1"/>
  <c r="K26" i="10" s="1"/>
  <c r="L15" i="9"/>
  <c r="I15" i="9"/>
  <c r="M25" i="10" s="1"/>
  <c r="M26" i="10" s="1"/>
  <c r="J11" i="9"/>
  <c r="I5" i="11" s="1"/>
  <c r="G11" i="9"/>
  <c r="I13" i="10" s="1"/>
  <c r="I14" i="10" s="1"/>
  <c r="K18" i="9"/>
  <c r="H18" i="9"/>
  <c r="P19" i="10" s="1"/>
  <c r="P20" i="10" s="1"/>
  <c r="K16" i="9"/>
  <c r="H16" i="9"/>
  <c r="N19" i="10" s="1"/>
  <c r="N20" i="10" s="1"/>
  <c r="K11" i="9"/>
  <c r="H11" i="9"/>
  <c r="I19" i="10" s="1"/>
  <c r="I20" i="10" s="1"/>
  <c r="J13" i="9"/>
  <c r="K5" i="11" s="1"/>
  <c r="G13" i="9"/>
  <c r="K13" i="10" s="1"/>
  <c r="K14" i="10" s="1"/>
  <c r="L17" i="10"/>
  <c r="L15" i="10"/>
  <c r="L16" i="10" s="1"/>
  <c r="D21" i="10"/>
  <c r="D22" i="10" s="1"/>
  <c r="D23" i="10"/>
  <c r="L17" i="9"/>
  <c r="I17" i="9"/>
  <c r="O25" i="10" s="1"/>
  <c r="O26" i="10" s="1"/>
  <c r="L11" i="9"/>
  <c r="I11" i="9"/>
  <c r="I25" i="10" s="1"/>
  <c r="I26" i="10" s="1"/>
  <c r="L12" i="9"/>
  <c r="I12" i="9"/>
  <c r="J25" i="10" s="1"/>
  <c r="J26" i="10" s="1"/>
  <c r="L16" i="9"/>
  <c r="I16" i="9"/>
  <c r="N25" i="10" s="1"/>
  <c r="N26" i="10" s="1"/>
  <c r="J15" i="9"/>
  <c r="M5" i="11" s="1"/>
  <c r="G15" i="9"/>
  <c r="M13" i="10" s="1"/>
  <c r="M14" i="10" s="1"/>
  <c r="J6" i="9"/>
  <c r="D5" i="11" s="1"/>
  <c r="G6" i="9"/>
  <c r="D13" i="10" s="1"/>
  <c r="D14" i="10" s="1"/>
  <c r="L6" i="9"/>
  <c r="I6" i="9"/>
  <c r="D25" i="10" s="1"/>
  <c r="D26" i="10" s="1"/>
  <c r="K15" i="9"/>
  <c r="H15" i="9"/>
  <c r="M19" i="10" s="1"/>
  <c r="M20" i="10" s="1"/>
  <c r="C27" i="10"/>
  <c r="C28" i="10" s="1"/>
  <c r="O23" i="10"/>
  <c r="O21" i="10"/>
  <c r="O22" i="10" s="1"/>
  <c r="C15" i="10"/>
  <c r="C16" i="10" s="1"/>
  <c r="D37" i="10"/>
  <c r="E37" i="10"/>
  <c r="C9" i="10"/>
  <c r="E36" i="10" s="1"/>
  <c r="B55" i="5"/>
  <c r="B54" i="5"/>
  <c r="B53" i="5"/>
  <c r="B52" i="5"/>
  <c r="B56" i="5" s="1"/>
  <c r="B49" i="5"/>
  <c r="B42" i="5"/>
  <c r="B43" i="5"/>
  <c r="X11" i="5"/>
  <c r="R11" i="5"/>
  <c r="L11" i="5"/>
  <c r="V11" i="5"/>
  <c r="P11" i="5"/>
  <c r="J11" i="5"/>
  <c r="V19" i="5"/>
  <c r="J19" i="5"/>
  <c r="D19" i="5"/>
  <c r="B48" i="5"/>
  <c r="B50" i="5" s="1"/>
  <c r="B47" i="5"/>
  <c r="B46" i="5"/>
  <c r="B41" i="5"/>
  <c r="B40" i="5"/>
  <c r="U32" i="5"/>
  <c r="U33" i="5"/>
  <c r="U34" i="5"/>
  <c r="U35" i="5"/>
  <c r="U36" i="5"/>
  <c r="U37" i="5"/>
  <c r="T37" i="5"/>
  <c r="T36" i="5"/>
  <c r="T34" i="5"/>
  <c r="T33" i="5"/>
  <c r="T32" i="5"/>
  <c r="T35" i="5" s="1"/>
  <c r="O32" i="5"/>
  <c r="O35" i="5" s="1"/>
  <c r="O33" i="5"/>
  <c r="O34" i="5"/>
  <c r="O36" i="5"/>
  <c r="O37" i="5"/>
  <c r="N37" i="5"/>
  <c r="N36" i="5"/>
  <c r="N34" i="5"/>
  <c r="N33" i="5"/>
  <c r="N32" i="5"/>
  <c r="I32" i="5"/>
  <c r="I33" i="5"/>
  <c r="I34" i="5"/>
  <c r="I36" i="5"/>
  <c r="I37" i="5"/>
  <c r="H37" i="5"/>
  <c r="H36" i="5"/>
  <c r="H34" i="5"/>
  <c r="H33" i="5"/>
  <c r="H32" i="5"/>
  <c r="H35" i="5" s="1"/>
  <c r="C32" i="5"/>
  <c r="C35" i="5" s="1"/>
  <c r="C33" i="5"/>
  <c r="C34" i="5"/>
  <c r="C36" i="5"/>
  <c r="C37" i="5"/>
  <c r="B37" i="5"/>
  <c r="B36" i="5"/>
  <c r="B34" i="5"/>
  <c r="B33" i="5"/>
  <c r="B32" i="5"/>
  <c r="X18" i="5"/>
  <c r="R18" i="5"/>
  <c r="L18" i="5"/>
  <c r="F18" i="5"/>
  <c r="V16" i="5"/>
  <c r="V17" i="5"/>
  <c r="V18" i="5"/>
  <c r="V15" i="5"/>
  <c r="P16" i="5"/>
  <c r="P18" i="5"/>
  <c r="P15" i="5"/>
  <c r="J16" i="5"/>
  <c r="J17" i="5"/>
  <c r="J18" i="5"/>
  <c r="J15" i="5"/>
  <c r="D16" i="5"/>
  <c r="D17" i="5"/>
  <c r="D18" i="5"/>
  <c r="D15" i="5"/>
  <c r="V6" i="5"/>
  <c r="V7" i="5"/>
  <c r="V8" i="5"/>
  <c r="V9" i="5"/>
  <c r="V10" i="5"/>
  <c r="V5" i="5"/>
  <c r="P6" i="5"/>
  <c r="P7" i="5"/>
  <c r="P8" i="5"/>
  <c r="P9" i="5"/>
  <c r="P10" i="5"/>
  <c r="P5" i="5"/>
  <c r="J6" i="5"/>
  <c r="J7" i="5"/>
  <c r="J8" i="5"/>
  <c r="J9" i="5"/>
  <c r="J10" i="5"/>
  <c r="J5" i="5"/>
  <c r="F36" i="11" l="1"/>
  <c r="F34" i="11"/>
  <c r="F35" i="11" s="1"/>
  <c r="F39" i="11"/>
  <c r="E36" i="11"/>
  <c r="E34" i="11"/>
  <c r="E35" i="11" s="1"/>
  <c r="E39" i="11"/>
  <c r="G31" i="11"/>
  <c r="G32" i="11"/>
  <c r="P15" i="11"/>
  <c r="P12" i="11"/>
  <c r="L15" i="11"/>
  <c r="L12" i="11"/>
  <c r="H15" i="11"/>
  <c r="H12" i="11"/>
  <c r="M7" i="11"/>
  <c r="M8" i="11" s="1"/>
  <c r="M9" i="11"/>
  <c r="J7" i="11"/>
  <c r="J8" i="11" s="1"/>
  <c r="J9" i="11"/>
  <c r="L10" i="11"/>
  <c r="L11" i="11" s="1"/>
  <c r="D7" i="11"/>
  <c r="D8" i="11" s="1"/>
  <c r="D9" i="11"/>
  <c r="K7" i="11"/>
  <c r="K8" i="11" s="1"/>
  <c r="K9" i="11"/>
  <c r="I7" i="11"/>
  <c r="I8" i="11" s="1"/>
  <c r="I9" i="11"/>
  <c r="N7" i="11"/>
  <c r="N8" i="11" s="1"/>
  <c r="N9" i="11"/>
  <c r="O7" i="11"/>
  <c r="O8" i="11" s="1"/>
  <c r="O9" i="11"/>
  <c r="P10" i="11"/>
  <c r="P11" i="11" s="1"/>
  <c r="H10" i="11"/>
  <c r="H11" i="11" s="1"/>
  <c r="E38" i="10"/>
  <c r="C8" i="11"/>
  <c r="D15" i="10"/>
  <c r="D16" i="10" s="1"/>
  <c r="D17" i="10"/>
  <c r="I29" i="10"/>
  <c r="I27" i="10"/>
  <c r="I28" i="10" s="1"/>
  <c r="N23" i="10"/>
  <c r="N21" i="10"/>
  <c r="N22" i="10" s="1"/>
  <c r="I15" i="10"/>
  <c r="I16" i="10" s="1"/>
  <c r="I17" i="10"/>
  <c r="K29" i="10"/>
  <c r="K27" i="10"/>
  <c r="K28" i="10" s="1"/>
  <c r="N17" i="10"/>
  <c r="N15" i="10"/>
  <c r="N16" i="10" s="1"/>
  <c r="L23" i="10"/>
  <c r="L21" i="10"/>
  <c r="L22" i="10" s="1"/>
  <c r="L29" i="10"/>
  <c r="L27" i="10"/>
  <c r="L28" i="10" s="1"/>
  <c r="C23" i="10"/>
  <c r="C21" i="10"/>
  <c r="C22" i="10" s="1"/>
  <c r="O17" i="10"/>
  <c r="O15" i="10"/>
  <c r="O16" i="10" s="1"/>
  <c r="M23" i="10"/>
  <c r="M21" i="10"/>
  <c r="M22" i="10" s="1"/>
  <c r="N29" i="10"/>
  <c r="N27" i="10"/>
  <c r="N28" i="10" s="1"/>
  <c r="K17" i="10"/>
  <c r="K15" i="10"/>
  <c r="K16" i="10" s="1"/>
  <c r="D27" i="10"/>
  <c r="D28" i="10" s="1"/>
  <c r="D29" i="10"/>
  <c r="M17" i="10"/>
  <c r="M15" i="10"/>
  <c r="M16" i="10" s="1"/>
  <c r="I23" i="10"/>
  <c r="I21" i="10"/>
  <c r="I22" i="10" s="1"/>
  <c r="P23" i="10"/>
  <c r="P21" i="10"/>
  <c r="P22" i="10" s="1"/>
  <c r="M29" i="10"/>
  <c r="M27" i="10"/>
  <c r="M28" i="10" s="1"/>
  <c r="H27" i="10"/>
  <c r="H28" i="10" s="1"/>
  <c r="H29" i="10"/>
  <c r="J23" i="10"/>
  <c r="J21" i="10"/>
  <c r="J22" i="10" s="1"/>
  <c r="P29" i="10"/>
  <c r="P27" i="10"/>
  <c r="P28" i="10" s="1"/>
  <c r="J17" i="10"/>
  <c r="J15" i="10"/>
  <c r="J16" i="10" s="1"/>
  <c r="H23" i="10"/>
  <c r="H21" i="10"/>
  <c r="H22" i="10" s="1"/>
  <c r="J29" i="10"/>
  <c r="J27" i="10"/>
  <c r="J28" i="10" s="1"/>
  <c r="O29" i="10"/>
  <c r="O27" i="10"/>
  <c r="O28" i="10" s="1"/>
  <c r="D36" i="10"/>
  <c r="D38" i="10" s="1"/>
  <c r="D40" i="10" s="1"/>
  <c r="B44" i="5"/>
  <c r="B35" i="5"/>
  <c r="I35" i="5"/>
  <c r="N35" i="5"/>
  <c r="G36" i="11" l="1"/>
  <c r="G34" i="11"/>
  <c r="G35" i="11" s="1"/>
  <c r="G39" i="11"/>
  <c r="E38" i="11"/>
  <c r="E37" i="11"/>
  <c r="F37" i="11"/>
  <c r="F38" i="11" s="1"/>
  <c r="N15" i="11"/>
  <c r="N12" i="11"/>
  <c r="K15" i="11"/>
  <c r="K12" i="11"/>
  <c r="H13" i="11"/>
  <c r="H14" i="11" s="1"/>
  <c r="H18" i="11" s="1"/>
  <c r="P13" i="11"/>
  <c r="P14" i="11" s="1"/>
  <c r="P18" i="11" s="1"/>
  <c r="J15" i="11"/>
  <c r="J12" i="11"/>
  <c r="O15" i="11"/>
  <c r="O12" i="11"/>
  <c r="I15" i="11"/>
  <c r="I12" i="11"/>
  <c r="D15" i="11"/>
  <c r="D12" i="11"/>
  <c r="L13" i="11"/>
  <c r="L14" i="11" s="1"/>
  <c r="L18" i="11" s="1"/>
  <c r="M15" i="11"/>
  <c r="M12" i="11"/>
  <c r="O10" i="11"/>
  <c r="O11" i="11" s="1"/>
  <c r="D10" i="11"/>
  <c r="D11" i="11" s="1"/>
  <c r="N10" i="11"/>
  <c r="N11" i="11" s="1"/>
  <c r="K10" i="11"/>
  <c r="K11" i="11" s="1"/>
  <c r="M10" i="11"/>
  <c r="M11" i="11" s="1"/>
  <c r="I10" i="11"/>
  <c r="I11" i="11" s="1"/>
  <c r="J10" i="11"/>
  <c r="J11" i="11" s="1"/>
  <c r="C11" i="11"/>
  <c r="C14" i="11" s="1"/>
  <c r="X8" i="5"/>
  <c r="R8" i="5"/>
  <c r="L8" i="5"/>
  <c r="G37" i="11" l="1"/>
  <c r="G38" i="11"/>
  <c r="L19" i="11"/>
  <c r="L20" i="11"/>
  <c r="L27" i="11" s="1"/>
  <c r="C21" i="11"/>
  <c r="C24" i="11"/>
  <c r="C18" i="11"/>
  <c r="H19" i="11"/>
  <c r="H20" i="11" s="1"/>
  <c r="P19" i="11"/>
  <c r="P20" i="11" s="1"/>
  <c r="C15" i="11"/>
  <c r="M13" i="11"/>
  <c r="M14" i="11" s="1"/>
  <c r="M18" i="11" s="1"/>
  <c r="D13" i="11"/>
  <c r="D14" i="11" s="1"/>
  <c r="D18" i="11" s="1"/>
  <c r="O13" i="11"/>
  <c r="O14" i="11" s="1"/>
  <c r="O18" i="11" s="1"/>
  <c r="K13" i="11"/>
  <c r="K14" i="11" s="1"/>
  <c r="K18" i="11" s="1"/>
  <c r="I13" i="11"/>
  <c r="I14" i="11" s="1"/>
  <c r="I18" i="11" s="1"/>
  <c r="J13" i="11"/>
  <c r="J14" i="11" s="1"/>
  <c r="J18" i="11" s="1"/>
  <c r="N13" i="11"/>
  <c r="N14" i="11" s="1"/>
  <c r="N18" i="11" s="1"/>
  <c r="D10" i="5"/>
  <c r="D9" i="5"/>
  <c r="D6" i="5"/>
  <c r="D7" i="5"/>
  <c r="D8" i="5"/>
  <c r="D5" i="5"/>
  <c r="F8" i="5"/>
  <c r="P24" i="11" l="1"/>
  <c r="P22" i="11"/>
  <c r="P23" i="11" s="1"/>
  <c r="P27" i="11"/>
  <c r="H24" i="11"/>
  <c r="H22" i="11"/>
  <c r="H23" i="11" s="1"/>
  <c r="H27" i="11"/>
  <c r="M19" i="11"/>
  <c r="M20" i="11" s="1"/>
  <c r="K19" i="11"/>
  <c r="K20" i="11" s="1"/>
  <c r="K27" i="11" s="1"/>
  <c r="N19" i="11"/>
  <c r="N20" i="11" s="1"/>
  <c r="L24" i="11"/>
  <c r="L22" i="11"/>
  <c r="L23" i="11" s="1"/>
  <c r="I19" i="11"/>
  <c r="I20" i="11" s="1"/>
  <c r="I27" i="11" s="1"/>
  <c r="C25" i="11"/>
  <c r="C26" i="11"/>
  <c r="C22" i="11"/>
  <c r="C23" i="11" s="1"/>
  <c r="O19" i="11"/>
  <c r="O20" i="11"/>
  <c r="J19" i="11"/>
  <c r="J20" i="11" s="1"/>
  <c r="D19" i="11"/>
  <c r="D20" i="11" s="1"/>
  <c r="C19" i="11"/>
  <c r="C20" i="11" s="1"/>
  <c r="C27" i="11" l="1"/>
  <c r="C33" i="11"/>
  <c r="C36" i="11"/>
  <c r="C30" i="11"/>
  <c r="M24" i="11"/>
  <c r="M22" i="11"/>
  <c r="M23" i="11" s="1"/>
  <c r="M27" i="11"/>
  <c r="N24" i="11"/>
  <c r="N22" i="11"/>
  <c r="N23" i="11" s="1"/>
  <c r="N27" i="11"/>
  <c r="J24" i="11"/>
  <c r="J22" i="11"/>
  <c r="J23" i="11" s="1"/>
  <c r="J27" i="11"/>
  <c r="I24" i="11"/>
  <c r="I22" i="11"/>
  <c r="I23" i="11" s="1"/>
  <c r="D24" i="11"/>
  <c r="D22" i="11"/>
  <c r="D23" i="11" s="1"/>
  <c r="D27" i="11"/>
  <c r="L25" i="11"/>
  <c r="L26" i="11"/>
  <c r="K24" i="11"/>
  <c r="K22" i="11"/>
  <c r="K23" i="11" s="1"/>
  <c r="H25" i="11"/>
  <c r="H26" i="11"/>
  <c r="H30" i="11" s="1"/>
  <c r="O22" i="11"/>
  <c r="O23" i="11" s="1"/>
  <c r="O24" i="11"/>
  <c r="O27" i="11"/>
  <c r="P25" i="11"/>
  <c r="P26" i="11" s="1"/>
  <c r="P30" i="11" s="1"/>
  <c r="H31" i="11" l="1"/>
  <c r="H32" i="11"/>
  <c r="H39" i="11"/>
  <c r="P31" i="11"/>
  <c r="P32" i="11" s="1"/>
  <c r="L30" i="11"/>
  <c r="C37" i="11"/>
  <c r="C38" i="11" s="1"/>
  <c r="C34" i="11"/>
  <c r="C35" i="11" s="1"/>
  <c r="C31" i="11"/>
  <c r="C32" i="11"/>
  <c r="D25" i="11"/>
  <c r="D26" i="11"/>
  <c r="D30" i="11" s="1"/>
  <c r="J25" i="11"/>
  <c r="J26" i="11" s="1"/>
  <c r="J30" i="11" s="1"/>
  <c r="O25" i="11"/>
  <c r="O26" i="11" s="1"/>
  <c r="O30" i="11" s="1"/>
  <c r="N25" i="11"/>
  <c r="N26" i="11" s="1"/>
  <c r="N30" i="11" s="1"/>
  <c r="I25" i="11"/>
  <c r="I26" i="11" s="1"/>
  <c r="K25" i="11"/>
  <c r="K26" i="11" s="1"/>
  <c r="M25" i="11"/>
  <c r="M26" i="11" s="1"/>
  <c r="M30" i="11" s="1"/>
  <c r="P36" i="11" l="1"/>
  <c r="P34" i="11"/>
  <c r="P35" i="11" s="1"/>
  <c r="P39" i="11"/>
  <c r="C39" i="11"/>
  <c r="M31" i="11"/>
  <c r="M32" i="11" s="1"/>
  <c r="J31" i="11"/>
  <c r="J32" i="11" s="1"/>
  <c r="D31" i="11"/>
  <c r="D32" i="11"/>
  <c r="D39" i="11" s="1"/>
  <c r="H36" i="11"/>
  <c r="H34" i="11"/>
  <c r="H35" i="11" s="1"/>
  <c r="O31" i="11"/>
  <c r="O32" i="11"/>
  <c r="K30" i="11"/>
  <c r="I30" i="11"/>
  <c r="L31" i="11"/>
  <c r="L32" i="11"/>
  <c r="N31" i="11"/>
  <c r="N32" i="11" s="1"/>
  <c r="J36" i="11" l="1"/>
  <c r="J34" i="11"/>
  <c r="J35" i="11" s="1"/>
  <c r="J39" i="11"/>
  <c r="N36" i="11"/>
  <c r="N34" i="11"/>
  <c r="N35" i="11" s="1"/>
  <c r="N39" i="11"/>
  <c r="M36" i="11"/>
  <c r="M34" i="11"/>
  <c r="M35" i="11" s="1"/>
  <c r="M39" i="11"/>
  <c r="H37" i="11"/>
  <c r="H38" i="11" s="1"/>
  <c r="O34" i="11"/>
  <c r="O35" i="11" s="1"/>
  <c r="O36" i="11"/>
  <c r="I32" i="11"/>
  <c r="I31" i="11"/>
  <c r="D36" i="11"/>
  <c r="D34" i="11"/>
  <c r="D35" i="11" s="1"/>
  <c r="L36" i="11"/>
  <c r="L34" i="11"/>
  <c r="L35" i="11" s="1"/>
  <c r="L39" i="11"/>
  <c r="K31" i="11"/>
  <c r="K32" i="11"/>
  <c r="O39" i="11"/>
  <c r="P37" i="11"/>
  <c r="P38" i="11" s="1"/>
  <c r="N37" i="11" l="1"/>
  <c r="N38" i="11" s="1"/>
  <c r="M37" i="11"/>
  <c r="M38" i="11" s="1"/>
  <c r="K34" i="11"/>
  <c r="K35" i="11" s="1"/>
  <c r="K36" i="11"/>
  <c r="K39" i="11"/>
  <c r="D37" i="11"/>
  <c r="D38" i="11" s="1"/>
  <c r="L37" i="11"/>
  <c r="L38" i="11"/>
  <c r="I36" i="11"/>
  <c r="I34" i="11"/>
  <c r="I35" i="11" s="1"/>
  <c r="I39" i="11"/>
  <c r="O37" i="11"/>
  <c r="O38" i="11"/>
  <c r="J37" i="11"/>
  <c r="J38" i="11" s="1"/>
  <c r="I37" i="11" l="1"/>
  <c r="I38" i="11" s="1"/>
  <c r="K37" i="11"/>
  <c r="K38" i="11"/>
</calcChain>
</file>

<file path=xl/comments1.xml><?xml version="1.0" encoding="utf-8"?>
<comments xmlns="http://schemas.openxmlformats.org/spreadsheetml/2006/main">
  <authors>
    <author>Grace</author>
  </authors>
  <commentList>
    <comment ref="A3" authorId="0" shapeId="0">
      <text>
        <r>
          <rPr>
            <b/>
            <sz val="9"/>
            <color indexed="81"/>
            <rFont val="Tahoma"/>
            <family val="2"/>
          </rPr>
          <t>Grace:</t>
        </r>
        <r>
          <rPr>
            <sz val="9"/>
            <color indexed="81"/>
            <rFont val="Tahoma"/>
            <family val="2"/>
          </rPr>
          <t xml:space="preserve">
The assumed treatment effect will vary based on this input due to diminishing returns of treatment benefits</t>
        </r>
      </text>
    </comment>
    <comment ref="A8" authorId="0" shapeId="0">
      <text>
        <r>
          <rPr>
            <b/>
            <sz val="9"/>
            <color indexed="81"/>
            <rFont val="Tahoma"/>
            <family val="2"/>
          </rPr>
          <t>Grace:</t>
        </r>
        <r>
          <rPr>
            <sz val="9"/>
            <color indexed="81"/>
            <rFont val="Tahoma"/>
            <family val="2"/>
          </rPr>
          <t xml:space="preserve">
age specific, if possible
</t>
        </r>
      </text>
    </comment>
    <comment ref="A9" authorId="0" shapeId="0">
      <text>
        <r>
          <rPr>
            <b/>
            <sz val="9"/>
            <color indexed="81"/>
            <rFont val="Tahoma"/>
            <family val="2"/>
          </rPr>
          <t>Grace:</t>
        </r>
        <r>
          <rPr>
            <sz val="9"/>
            <color indexed="81"/>
            <rFont val="Tahoma"/>
            <family val="2"/>
          </rPr>
          <t xml:space="preserve">
age-specific, if possible</t>
        </r>
      </text>
    </comment>
    <comment ref="A14" authorId="0" shapeId="0">
      <text>
        <r>
          <rPr>
            <b/>
            <sz val="9"/>
            <color indexed="81"/>
            <rFont val="Tahoma"/>
            <family val="2"/>
          </rPr>
          <t>Grace:</t>
        </r>
        <r>
          <rPr>
            <sz val="9"/>
            <color indexed="81"/>
            <rFont val="Tahoma"/>
            <family val="2"/>
          </rPr>
          <t xml:space="preserve">
age-specific, if possible</t>
        </r>
      </text>
    </comment>
  </commentList>
</comments>
</file>

<file path=xl/comments2.xml><?xml version="1.0" encoding="utf-8"?>
<comments xmlns="http://schemas.openxmlformats.org/spreadsheetml/2006/main">
  <authors>
    <author>Grace</author>
  </authors>
  <commentList>
    <comment ref="A4" authorId="0" shapeId="0">
      <text>
        <r>
          <rPr>
            <b/>
            <sz val="9"/>
            <color indexed="81"/>
            <rFont val="Tahoma"/>
            <family val="2"/>
          </rPr>
          <t>Grace:</t>
        </r>
        <r>
          <rPr>
            <sz val="9"/>
            <color indexed="81"/>
            <rFont val="Tahoma"/>
            <family val="2"/>
          </rPr>
          <t xml:space="preserve">
Y5 KEMRI Impact Analysis Report Table 2</t>
        </r>
      </text>
    </comment>
    <comment ref="A14" authorId="0" shapeId="0">
      <text>
        <r>
          <rPr>
            <b/>
            <sz val="9"/>
            <color indexed="81"/>
            <rFont val="Tahoma"/>
            <family val="2"/>
          </rPr>
          <t>Grace:</t>
        </r>
        <r>
          <rPr>
            <sz val="9"/>
            <color indexed="81"/>
            <rFont val="Tahoma"/>
            <family val="2"/>
          </rPr>
          <t xml:space="preserve">
What epg thresholds are used to calculate this prevalence? Need to make sure it's the same what was used in M&amp;K</t>
        </r>
      </text>
    </comment>
    <comment ref="A37" authorId="0" shapeId="0">
      <text>
        <r>
          <rPr>
            <b/>
            <sz val="9"/>
            <color indexed="81"/>
            <rFont val="Tahoma"/>
            <family val="2"/>
          </rPr>
          <t>Grace:</t>
        </r>
        <r>
          <rPr>
            <sz val="9"/>
            <color indexed="81"/>
            <rFont val="Tahoma"/>
            <family val="2"/>
          </rPr>
          <t xml:space="preserve">
Is the S.haematobium infection threshold the same as S.mansoni? M&amp;K only presented S.mansoni infections </t>
        </r>
      </text>
    </comment>
  </commentList>
</comments>
</file>

<file path=xl/comments3.xml><?xml version="1.0" encoding="utf-8"?>
<comments xmlns="http://schemas.openxmlformats.org/spreadsheetml/2006/main">
  <authors>
    <author>Grace</author>
  </authors>
  <commentList>
    <comment ref="B5" authorId="0" shapeId="0">
      <text>
        <r>
          <rPr>
            <b/>
            <sz val="9"/>
            <color indexed="81"/>
            <rFont val="Tahoma"/>
            <charset val="1"/>
          </rPr>
          <t>Grace:</t>
        </r>
        <r>
          <rPr>
            <sz val="9"/>
            <color indexed="81"/>
            <rFont val="Tahoma"/>
            <charset val="1"/>
          </rPr>
          <t xml:space="preserve">
Need to incorporate S. Haemotobim into equation</t>
        </r>
      </text>
    </comment>
    <comment ref="H5" authorId="0" shapeId="0">
      <text>
        <r>
          <rPr>
            <b/>
            <sz val="9"/>
            <color indexed="81"/>
            <rFont val="Tahoma"/>
            <family val="2"/>
          </rPr>
          <t>Grace:</t>
        </r>
        <r>
          <rPr>
            <sz val="9"/>
            <color indexed="81"/>
            <rFont val="Tahoma"/>
            <family val="2"/>
          </rPr>
          <t xml:space="preserve">
Need to incorporate schisto into equation</t>
        </r>
      </text>
    </comment>
    <comment ref="B27" authorId="0" shapeId="0">
      <text>
        <r>
          <rPr>
            <b/>
            <sz val="9"/>
            <color indexed="81"/>
            <rFont val="Tahoma"/>
            <family val="2"/>
          </rPr>
          <t xml:space="preserve">Grace:
</t>
        </r>
        <r>
          <rPr>
            <sz val="9"/>
            <color indexed="81"/>
            <rFont val="Tahoma"/>
            <family val="2"/>
          </rPr>
          <t>Guide to Replication: Table II: Prevalence of moderate-heavy infection</t>
        </r>
      </text>
    </comment>
  </commentList>
</comments>
</file>

<file path=xl/comments4.xml><?xml version="1.0" encoding="utf-8"?>
<comments xmlns="http://schemas.openxmlformats.org/spreadsheetml/2006/main">
  <authors>
    <author>Grace</author>
  </authors>
  <commentList>
    <comment ref="F9" authorId="0" shapeId="0">
      <text>
        <r>
          <rPr>
            <b/>
            <sz val="9"/>
            <color indexed="81"/>
            <rFont val="Tahoma"/>
            <family val="2"/>
          </rPr>
          <t>Grace:</t>
        </r>
        <r>
          <rPr>
            <sz val="9"/>
            <color indexed="81"/>
            <rFont val="Tahoma"/>
            <family val="2"/>
          </rPr>
          <t xml:space="preserve">
"Average attendance on DD and MUD was 53%" - Bihar 2015 PMCV report </t>
        </r>
      </text>
    </comment>
    <comment ref="F10" authorId="0" shapeId="0">
      <text>
        <r>
          <rPr>
            <b/>
            <sz val="9"/>
            <color indexed="81"/>
            <rFont val="Tahoma"/>
            <family val="2"/>
          </rPr>
          <t>Grace:</t>
        </r>
        <r>
          <rPr>
            <sz val="9"/>
            <color indexed="81"/>
            <rFont val="Tahoma"/>
            <family val="2"/>
          </rPr>
          <t xml:space="preserve">
"On average, attendance during deworming days (either DD or MUD) was 63.8% according to data from DD monitoring, MUD monitoring and CV monitoring" -MP 2015 PMCV report </t>
        </r>
      </text>
    </comment>
    <comment ref="F11" authorId="0" shapeId="0">
      <text>
        <r>
          <rPr>
            <b/>
            <sz val="9"/>
            <color indexed="81"/>
            <rFont val="Tahoma"/>
            <family val="2"/>
          </rPr>
          <t>Grace:</t>
        </r>
        <r>
          <rPr>
            <sz val="9"/>
            <color indexed="81"/>
            <rFont val="Tahoma"/>
            <family val="2"/>
          </rPr>
          <t xml:space="preserve">
"attendance data showed that 63% of the total school enrolled children were in attendance"--UP 2016 PMCV report </t>
        </r>
      </text>
    </comment>
    <comment ref="F12" authorId="0" shapeId="0">
      <text>
        <r>
          <rPr>
            <b/>
            <sz val="9"/>
            <color indexed="81"/>
            <rFont val="Tahoma"/>
            <family val="2"/>
          </rPr>
          <t>Grace:</t>
        </r>
        <r>
          <rPr>
            <sz val="9"/>
            <color indexed="81"/>
            <rFont val="Tahoma"/>
            <family val="2"/>
          </rPr>
          <t xml:space="preserve">
"On average, attendance during deworming days (either DD or MUD) was 68%"- Chattisgarh 2015 PMCV report</t>
        </r>
      </text>
    </comment>
    <comment ref="F13" authorId="0" shapeId="0">
      <text>
        <r>
          <rPr>
            <b/>
            <sz val="9"/>
            <color indexed="81"/>
            <rFont val="Tahoma"/>
            <family val="2"/>
          </rPr>
          <t>Grace:</t>
        </r>
        <r>
          <rPr>
            <sz val="9"/>
            <color indexed="81"/>
            <rFont val="Tahoma"/>
            <family val="2"/>
          </rPr>
          <t xml:space="preserve">
"On average, attendance during deworming days (either DD or MUD) was 72.3%" -Rajasthan PMCV report 2015</t>
        </r>
      </text>
    </comment>
    <comment ref="F14" authorId="0" shapeId="0">
      <text>
        <r>
          <rPr>
            <b/>
            <sz val="9"/>
            <color indexed="81"/>
            <rFont val="Tahoma"/>
            <family val="2"/>
          </rPr>
          <t>Grace:</t>
        </r>
        <r>
          <rPr>
            <sz val="9"/>
            <color indexed="81"/>
            <rFont val="Tahoma"/>
            <family val="2"/>
          </rPr>
          <t xml:space="preserve">
"92% of the total school enrolled children were in attendance" -Telangana 2016 PMCV report</t>
        </r>
      </text>
    </comment>
    <comment ref="F15" authorId="0" shapeId="0">
      <text>
        <r>
          <rPr>
            <b/>
            <sz val="9"/>
            <color indexed="81"/>
            <rFont val="Tahoma"/>
            <family val="2"/>
          </rPr>
          <t>Grace:</t>
        </r>
        <r>
          <rPr>
            <sz val="9"/>
            <color indexed="81"/>
            <rFont val="Tahoma"/>
            <family val="2"/>
          </rPr>
          <t xml:space="preserve">
"Attendance data showed that 82% of the total school enrolled children were in attendance"- Tripura 2016 PMCV report</t>
        </r>
      </text>
    </comment>
    <comment ref="F16" authorId="0" shapeId="0">
      <text>
        <r>
          <rPr>
            <b/>
            <sz val="9"/>
            <color indexed="81"/>
            <rFont val="Tahoma"/>
            <family val="2"/>
          </rPr>
          <t>Grace:</t>
        </r>
        <r>
          <rPr>
            <sz val="9"/>
            <color indexed="81"/>
            <rFont val="Tahoma"/>
            <family val="2"/>
          </rPr>
          <t xml:space="preserve">
"a maximum of 83% of total enrolled school children were in attendance" -Jharkhand 2016 PMCV report</t>
        </r>
      </text>
    </comment>
  </commentList>
</comments>
</file>

<file path=xl/comments5.xml><?xml version="1.0" encoding="utf-8"?>
<comments xmlns="http://schemas.openxmlformats.org/spreadsheetml/2006/main">
  <authors>
    <author>Grace</author>
  </authors>
  <commentList>
    <comment ref="E6" authorId="0" shapeId="0">
      <text>
        <r>
          <rPr>
            <b/>
            <sz val="9"/>
            <color indexed="81"/>
            <rFont val="Tahoma"/>
            <family val="2"/>
          </rPr>
          <t>Grace:</t>
        </r>
        <r>
          <rPr>
            <sz val="9"/>
            <color indexed="81"/>
            <rFont val="Tahoma"/>
            <family val="2"/>
          </rPr>
          <t xml:space="preserve">
enrolled and non-enrolled treatment data is not disaggregated 
</t>
        </r>
      </text>
    </comment>
    <comment ref="E7" authorId="0" shapeId="0">
      <text>
        <r>
          <rPr>
            <b/>
            <sz val="9"/>
            <color indexed="81"/>
            <rFont val="Tahoma"/>
            <family val="2"/>
          </rPr>
          <t>Grace:</t>
        </r>
        <r>
          <rPr>
            <sz val="9"/>
            <color indexed="81"/>
            <rFont val="Tahoma"/>
            <family val="2"/>
          </rPr>
          <t xml:space="preserve">
enrolled and non-enrolled treatment data is not disaggregated 
</t>
        </r>
      </text>
    </comment>
    <comment ref="E8" authorId="0" shapeId="0">
      <text>
        <r>
          <rPr>
            <b/>
            <sz val="9"/>
            <color indexed="81"/>
            <rFont val="Tahoma"/>
            <family val="2"/>
          </rPr>
          <t>Grace:</t>
        </r>
        <r>
          <rPr>
            <sz val="9"/>
            <color indexed="81"/>
            <rFont val="Tahoma"/>
            <family val="2"/>
          </rPr>
          <t xml:space="preserve">
enrolled and non-enrolled treatment data is not disaggregated 
</t>
        </r>
      </text>
    </comment>
    <comment ref="E9" authorId="0" shapeId="0">
      <text>
        <r>
          <rPr>
            <b/>
            <sz val="9"/>
            <color indexed="81"/>
            <rFont val="Tahoma"/>
            <family val="2"/>
          </rPr>
          <t>Grace:</t>
        </r>
        <r>
          <rPr>
            <sz val="9"/>
            <color indexed="81"/>
            <rFont val="Tahoma"/>
            <family val="2"/>
          </rPr>
          <t xml:space="preserve">
enrolled and non-enrolled treatment data is not disaggregated 
</t>
        </r>
      </text>
    </comment>
    <comment ref="A10" authorId="0" shapeId="0">
      <text>
        <r>
          <rPr>
            <b/>
            <sz val="9"/>
            <color indexed="81"/>
            <rFont val="Tahoma"/>
            <family val="2"/>
          </rPr>
          <t>Grace:</t>
        </r>
        <r>
          <rPr>
            <sz val="9"/>
            <color indexed="81"/>
            <rFont val="Tahoma"/>
            <family val="2"/>
          </rPr>
          <t xml:space="preserve">
Biannual deworming- took the smaller of the two rounds assuming that this many children would have been treated twice </t>
        </r>
      </text>
    </comment>
    <comment ref="C11" authorId="0" shapeId="0">
      <text>
        <r>
          <rPr>
            <b/>
            <sz val="9"/>
            <color indexed="81"/>
            <rFont val="Tahoma"/>
            <family val="2"/>
          </rPr>
          <t>Grace:</t>
        </r>
        <r>
          <rPr>
            <sz val="9"/>
            <color indexed="81"/>
            <rFont val="Tahoma"/>
            <family val="2"/>
          </rPr>
          <t xml:space="preserve">
Biannual deworming was intended to occur in coordination with LF, however 4 LF deworming rounds were missed during the period that required biannual deworming, so the ideal treatment strategy did not occur </t>
        </r>
      </text>
    </comment>
    <comment ref="E11" authorId="0" shapeId="0">
      <text>
        <r>
          <rPr>
            <b/>
            <sz val="9"/>
            <color indexed="81"/>
            <rFont val="Tahoma"/>
            <charset val="1"/>
          </rPr>
          <t>Grace:</t>
        </r>
        <r>
          <rPr>
            <sz val="9"/>
            <color indexed="81"/>
            <rFont val="Tahoma"/>
            <charset val="1"/>
          </rPr>
          <t xml:space="preserve">
Bihar Compilation treatment data sheet- provided to Nathan Lo</t>
        </r>
      </text>
    </comment>
    <comment ref="F11" authorId="0" shapeId="0">
      <text>
        <r>
          <rPr>
            <b/>
            <sz val="9"/>
            <color indexed="81"/>
            <rFont val="Tahoma"/>
            <family val="2"/>
          </rPr>
          <t>Grace:</t>
        </r>
        <r>
          <rPr>
            <sz val="9"/>
            <color indexed="81"/>
            <rFont val="Tahoma"/>
            <family val="2"/>
          </rPr>
          <t xml:space="preserve">
Used 2014 costs rather than 2011 due to data availability</t>
        </r>
      </text>
    </comment>
    <comment ref="E13" authorId="0" shapeId="0">
      <text>
        <r>
          <rPr>
            <b/>
            <sz val="9"/>
            <color indexed="81"/>
            <rFont val="Tahoma"/>
            <family val="2"/>
          </rPr>
          <t>Grace:</t>
        </r>
        <r>
          <rPr>
            <sz val="9"/>
            <color indexed="81"/>
            <rFont val="Tahoma"/>
            <family val="2"/>
          </rPr>
          <t xml:space="preserve">
UP 2016 Program Report- Number of enrolled children treated 1-19</t>
        </r>
      </text>
    </comment>
    <comment ref="F15" authorId="0" shapeId="0">
      <text>
        <r>
          <rPr>
            <b/>
            <sz val="9"/>
            <color indexed="81"/>
            <rFont val="Tahoma"/>
            <family val="2"/>
          </rPr>
          <t>Grace:</t>
        </r>
        <r>
          <rPr>
            <sz val="9"/>
            <color indexed="81"/>
            <rFont val="Tahoma"/>
            <family val="2"/>
          </rPr>
          <t xml:space="preserve">
Used 2014 data rather than 2012 due to data availability</t>
        </r>
      </text>
    </comment>
    <comment ref="E16" authorId="0" shapeId="0">
      <text>
        <r>
          <rPr>
            <b/>
            <sz val="9"/>
            <color indexed="81"/>
            <rFont val="Tahoma"/>
            <family val="2"/>
          </rPr>
          <t>Grace:</t>
        </r>
        <r>
          <rPr>
            <sz val="9"/>
            <color indexed="81"/>
            <rFont val="Tahoma"/>
            <family val="2"/>
          </rPr>
          <t xml:space="preserve">
2016 Telangana Program Report enrolled children treated 1-19</t>
        </r>
      </text>
    </comment>
    <comment ref="E17" authorId="0" shapeId="0">
      <text>
        <r>
          <rPr>
            <b/>
            <sz val="9"/>
            <color indexed="81"/>
            <rFont val="Tahoma"/>
            <family val="2"/>
          </rPr>
          <t xml:space="preserve">Grace:
</t>
        </r>
        <r>
          <rPr>
            <sz val="9"/>
            <color indexed="81"/>
            <rFont val="Tahoma"/>
            <family val="2"/>
          </rPr>
          <t>Tripura Aug 2016 Program Report enrolled children treated 1-19</t>
        </r>
      </text>
    </comment>
    <comment ref="E18" authorId="0" shapeId="0">
      <text>
        <r>
          <rPr>
            <b/>
            <sz val="9"/>
            <color indexed="81"/>
            <rFont val="Tahoma"/>
            <family val="2"/>
          </rPr>
          <t>Grace:</t>
        </r>
        <r>
          <rPr>
            <sz val="9"/>
            <color indexed="81"/>
            <rFont val="Tahoma"/>
            <family val="2"/>
          </rPr>
          <t xml:space="preserve">
Jharkhand Aug 2016 Common Reporting Form Aggregated by EA</t>
        </r>
      </text>
    </comment>
    <comment ref="F18" authorId="0" shapeId="0">
      <text>
        <r>
          <rPr>
            <b/>
            <sz val="9"/>
            <color indexed="81"/>
            <rFont val="Tahoma"/>
            <family val="2"/>
          </rPr>
          <t>Grace:</t>
        </r>
        <r>
          <rPr>
            <sz val="9"/>
            <color indexed="81"/>
            <rFont val="Tahoma"/>
            <family val="2"/>
          </rPr>
          <t xml:space="preserve">
Used 2017 data rather than 2016 due to data availability </t>
        </r>
      </text>
    </comment>
    <comment ref="C23" authorId="0" shapeId="0">
      <text>
        <r>
          <rPr>
            <b/>
            <sz val="9"/>
            <color indexed="81"/>
            <rFont val="Tahoma"/>
            <family val="2"/>
          </rPr>
          <t>Grace:</t>
        </r>
        <r>
          <rPr>
            <sz val="9"/>
            <color indexed="81"/>
            <rFont val="Tahoma"/>
            <family val="2"/>
          </rPr>
          <t xml:space="preserve">
Unsure if I should be pulling from column 2 instead to incorporate schisto ? </t>
        </r>
      </text>
    </comment>
    <comment ref="C24" authorId="0" shapeId="0">
      <text>
        <r>
          <rPr>
            <b/>
            <sz val="9"/>
            <color indexed="81"/>
            <rFont val="Tahoma"/>
            <family val="2"/>
          </rPr>
          <t>Grace:</t>
        </r>
        <r>
          <rPr>
            <sz val="9"/>
            <color indexed="81"/>
            <rFont val="Tahoma"/>
            <family val="2"/>
          </rPr>
          <t xml:space="preserve">
Unsure if I should be pulling from the "mean of dependent variable" row in table VII or from table II</t>
        </r>
      </text>
    </comment>
    <comment ref="C26" authorId="0" shapeId="0">
      <text>
        <r>
          <rPr>
            <b/>
            <sz val="9"/>
            <color indexed="81"/>
            <rFont val="Tahoma"/>
            <family val="2"/>
          </rPr>
          <t>Grace:</t>
        </r>
        <r>
          <rPr>
            <sz val="9"/>
            <color indexed="81"/>
            <rFont val="Tahoma"/>
            <family val="2"/>
          </rPr>
          <t xml:space="preserve">
Unsure if this is the correct place to be pulling the baseline school attendance</t>
        </r>
      </text>
    </comment>
  </commentList>
</comments>
</file>

<file path=xl/sharedStrings.xml><?xml version="1.0" encoding="utf-8"?>
<sst xmlns="http://schemas.openxmlformats.org/spreadsheetml/2006/main" count="742" uniqueCount="302">
  <si>
    <t xml:space="preserve">Deworming Cost-Effectiveness Model </t>
  </si>
  <si>
    <t xml:space="preserve">Ascaris lumbricoides </t>
  </si>
  <si>
    <t xml:space="preserve">Trichuris trichirua </t>
  </si>
  <si>
    <t>Hookworm</t>
  </si>
  <si>
    <t xml:space="preserve">Baseline Prevalence Data </t>
  </si>
  <si>
    <t xml:space="preserve">Albenzaole STH Treatment Effectiveness </t>
  </si>
  <si>
    <t>Mebendazole STH Treatment Effectiveness</t>
  </si>
  <si>
    <t>Cost Data</t>
  </si>
  <si>
    <t>Praziquantel Schisto Treatment Effectiveness</t>
  </si>
  <si>
    <t>Schistosomiasis</t>
  </si>
  <si>
    <t>Disability Weights</t>
  </si>
  <si>
    <t>Source</t>
  </si>
  <si>
    <t>Hall &amp; Horton 2008</t>
  </si>
  <si>
    <t xml:space="preserve">Cost per child per treatment round </t>
  </si>
  <si>
    <t xml:space="preserve">Cost per infected child per treatment round </t>
  </si>
  <si>
    <t xml:space="preserve">Prevalence after 1 deworming round </t>
  </si>
  <si>
    <t xml:space="preserve">Cognitive impairment </t>
  </si>
  <si>
    <t xml:space="preserve">Mild anemia </t>
  </si>
  <si>
    <t xml:space="preserve">Moderate anemia </t>
  </si>
  <si>
    <t xml:space="preserve">Severe anemia or iron deficiency anemia </t>
  </si>
  <si>
    <t>Intensity of Infection (ratio in comparison to Miguel &amp; Kremer 2004)</t>
  </si>
  <si>
    <t>Input</t>
  </si>
  <si>
    <t>Intensity of infection in treatment schools (eggs per gram)</t>
  </si>
  <si>
    <t xml:space="preserve">Demographic &amp; Treatment Data </t>
  </si>
  <si>
    <t xml:space="preserve">Number of children targeted </t>
  </si>
  <si>
    <t xml:space="preserve">Coverage % </t>
  </si>
  <si>
    <t>Number of children treated</t>
  </si>
  <si>
    <t xml:space="preserve">Baseline Intensity of Infection Data </t>
  </si>
  <si>
    <t xml:space="preserve">Number of Infections after 1 round of deworming </t>
  </si>
  <si>
    <t>Number of Infections averted</t>
  </si>
  <si>
    <t xml:space="preserve">DALYs averted </t>
  </si>
  <si>
    <t xml:space="preserve">Cost per infection averted </t>
  </si>
  <si>
    <t xml:space="preserve">Discount Rate </t>
  </si>
  <si>
    <t>Standard, WHO guidelines</t>
  </si>
  <si>
    <t xml:space="preserve"># of years of expected treatment </t>
  </si>
  <si>
    <t>.005-.02</t>
  </si>
  <si>
    <t>Lo et al 2015</t>
  </si>
  <si>
    <t xml:space="preserve">Moderate </t>
  </si>
  <si>
    <t>Heavy</t>
  </si>
  <si>
    <t>Wasting</t>
  </si>
  <si>
    <t>2004 GBD</t>
  </si>
  <si>
    <t xml:space="preserve">Health Benefits </t>
  </si>
  <si>
    <t xml:space="preserve">Education Benefits </t>
  </si>
  <si>
    <t xml:space="preserve">Economic Benefits </t>
  </si>
  <si>
    <t xml:space="preserve">Cost per DALY averted </t>
  </si>
  <si>
    <t xml:space="preserve">Cost per anemia case averted </t>
  </si>
  <si>
    <t xml:space="preserve">Cost per additional $1 wage increase </t>
  </si>
  <si>
    <t xml:space="preserve">Treatment Cost Indicators </t>
  </si>
  <si>
    <t>Cost per child per treatment round</t>
  </si>
  <si>
    <t>Cost per school treated</t>
  </si>
  <si>
    <t xml:space="preserve">Cost per infected child treated </t>
  </si>
  <si>
    <t>Kenya</t>
  </si>
  <si>
    <t>S. mansoni</t>
  </si>
  <si>
    <t>S. haematobium</t>
  </si>
  <si>
    <t xml:space="preserve">Number of years deworming has been occuring </t>
  </si>
  <si>
    <t xml:space="preserve">Number of deworming rounds in 1 year </t>
  </si>
  <si>
    <t xml:space="preserve">Cost per averted STH moderate-heavy infection </t>
  </si>
  <si>
    <t>Infections averted</t>
  </si>
  <si>
    <t xml:space="preserve"># treated </t>
  </si>
  <si>
    <t xml:space="preserve">STH combined </t>
  </si>
  <si>
    <t xml:space="preserve">Educational Outcomes </t>
  </si>
  <si>
    <t xml:space="preserve">Total additional years of schooling gained </t>
  </si>
  <si>
    <t xml:space="preserve">Notes </t>
  </si>
  <si>
    <t>Calculation: (number of children treated * treatment effect on additional school years gained)</t>
  </si>
  <si>
    <t xml:space="preserve">Cost per additional year of schooling </t>
  </si>
  <si>
    <t>Y1 post-MDA prevalence</t>
  </si>
  <si>
    <t>Baseline prevalence Y1</t>
  </si>
  <si>
    <t xml:space="preserve"># children treated </t>
  </si>
  <si>
    <t xml:space="preserve">Y2 pre-MDA </t>
  </si>
  <si>
    <t xml:space="preserve">Y2 post-MDA </t>
  </si>
  <si>
    <t xml:space="preserve">Y3 pre-MDA </t>
  </si>
  <si>
    <t xml:space="preserve">Y3 post-MDA </t>
  </si>
  <si>
    <t xml:space="preserve">Y4 pre-MDA </t>
  </si>
  <si>
    <t xml:space="preserve">Y4 post-MDA </t>
  </si>
  <si>
    <t xml:space="preserve">Schistosomiasis </t>
  </si>
  <si>
    <t xml:space="preserve">Year 1 (2013) </t>
  </si>
  <si>
    <t>Year 2 (2014)</t>
  </si>
  <si>
    <t>Year 3 (2015)</t>
  </si>
  <si>
    <t>Year 4 (2016)</t>
  </si>
  <si>
    <t>% relative reduction in prevalence</t>
  </si>
  <si>
    <t>All Prevalence (light, moderate, heavy infection)</t>
  </si>
  <si>
    <t>Moderate-heavy intensity of infection</t>
  </si>
  <si>
    <t>-</t>
  </si>
  <si>
    <t>Intensity of infection normalized to infection thresholds used in M&amp;K (eggs per gram)</t>
  </si>
  <si>
    <t>STH combined (average)</t>
  </si>
  <si>
    <t xml:space="preserve">Ratio of intensity of infection to M&amp;K study population </t>
  </si>
  <si>
    <t xml:space="preserve">Ratio of prevalence of all infection to M&amp;K study population </t>
  </si>
  <si>
    <t xml:space="preserve">Ratio of prevalence of moderate-heavy infection to M&amp;K study population </t>
  </si>
  <si>
    <t xml:space="preserve">missing </t>
  </si>
  <si>
    <t xml:space="preserve">unknown </t>
  </si>
  <si>
    <t>missing</t>
  </si>
  <si>
    <t xml:space="preserve">Geography </t>
  </si>
  <si>
    <t xml:space="preserve">Data Source </t>
  </si>
  <si>
    <t xml:space="preserve">Baseline School Attendance  pre-deworming </t>
  </si>
  <si>
    <t xml:space="preserve">Hicks, Kremer, Miguel 2014 </t>
  </si>
  <si>
    <t>Notes</t>
  </si>
  <si>
    <t>Need to confirm this- chart in paper says something different</t>
  </si>
  <si>
    <t xml:space="preserve">Nigeria </t>
  </si>
  <si>
    <t xml:space="preserve">Vietnam </t>
  </si>
  <si>
    <t xml:space="preserve">Bihar </t>
  </si>
  <si>
    <t>MP</t>
  </si>
  <si>
    <t xml:space="preserve">UP </t>
  </si>
  <si>
    <t xml:space="preserve">Chhattisgarh </t>
  </si>
  <si>
    <t xml:space="preserve">Rajasthan </t>
  </si>
  <si>
    <t>Telangana</t>
  </si>
  <si>
    <t>Tripura</t>
  </si>
  <si>
    <t>Jharkhand</t>
  </si>
  <si>
    <t xml:space="preserve">UNICEF (2008-2012) </t>
  </si>
  <si>
    <t xml:space="preserve">primary school participation, net attendance ratio; average btw male &amp; female </t>
  </si>
  <si>
    <t>NFHS 3- (2005-2006)</t>
  </si>
  <si>
    <t xml:space="preserve">Ages 6-17 years attending school in the 2005-2006 school year.  Ages 6-10= 61%; ages 11-14=64%; ages 15-17=34% </t>
  </si>
  <si>
    <t>Ages 6-17 years attending school in the 2005-2006 school year.</t>
  </si>
  <si>
    <t xml:space="preserve">Report unavailable- used average of other EA India states </t>
  </si>
  <si>
    <t>N/A</t>
  </si>
  <si>
    <t>Year deworming first occurred in geography</t>
  </si>
  <si>
    <t xml:space="preserve">Enrolled children treated year 1 </t>
  </si>
  <si>
    <t xml:space="preserve">Baseline Hookworm Moderate-Heavy Infection Prevalence </t>
  </si>
  <si>
    <t>Baseline Whipworm Moderate-Heavy Infection Prevalence</t>
  </si>
  <si>
    <t xml:space="preserve">Baseline Roundworm Moderate-Heavy Infection Prevalence </t>
  </si>
  <si>
    <t xml:space="preserve">Hookworm </t>
  </si>
  <si>
    <t xml:space="preserve">Roundworm </t>
  </si>
  <si>
    <t>Whipworm</t>
  </si>
  <si>
    <t xml:space="preserve">Miguel &amp; Kremer </t>
  </si>
  <si>
    <t>Panel A: Assuming All Students Treated at the beginning of a school year</t>
  </si>
  <si>
    <t>Number of Enrolled Students Treated</t>
  </si>
  <si>
    <t>Potential School Days to be Attended, Enrolled Students</t>
  </si>
  <si>
    <t>Days Missed</t>
  </si>
  <si>
    <t>Percentage</t>
  </si>
  <si>
    <t>Number</t>
  </si>
  <si>
    <t>Gain in days of school attendance after 1 year per student, adjusted for prevalence/intensity</t>
  </si>
  <si>
    <t>Total number of school days gained</t>
  </si>
  <si>
    <t>Percentage of school year gained</t>
  </si>
  <si>
    <t>Notes/Source</t>
  </si>
  <si>
    <t>189 school days per year x Num Enrolled</t>
  </si>
  <si>
    <t>Pct missed x Potential School Days</t>
  </si>
  <si>
    <t>Gain per student x number of enrolled students</t>
  </si>
  <si>
    <t>Total school days gained / potential school days</t>
  </si>
  <si>
    <t xml:space="preserve">Kenya </t>
  </si>
  <si>
    <t xml:space="preserve"> </t>
  </si>
  <si>
    <t xml:space="preserve">Number of Treated Children (Y1 of program) </t>
  </si>
  <si>
    <t xml:space="preserve">Number of children treated year 1 </t>
  </si>
  <si>
    <t xml:space="preserve">Cross River, Nigeria </t>
  </si>
  <si>
    <t xml:space="preserve">(1 - baseline school attendance) </t>
  </si>
  <si>
    <t>Was it biannual or annual deworming during the first year of the program?</t>
  </si>
  <si>
    <t xml:space="preserve">Annual </t>
  </si>
  <si>
    <t xml:space="preserve">Biannual </t>
  </si>
  <si>
    <t>Rivers, Nigeria</t>
  </si>
  <si>
    <t>Ogun, Nigeria</t>
  </si>
  <si>
    <t xml:space="preserve">Oyo, Nigeria </t>
  </si>
  <si>
    <t xml:space="preserve">Cost per child treated during year 1 of program </t>
  </si>
  <si>
    <t>Cost per school day gained</t>
  </si>
  <si>
    <t>Baseline Whipworm Prevalence</t>
  </si>
  <si>
    <t xml:space="preserve">Baseline Roundworm Prevalence </t>
  </si>
  <si>
    <t xml:space="preserve">Baseline Hookworm Prevalence </t>
  </si>
  <si>
    <t xml:space="preserve">Worm burden relative to Miguel &amp; Kremer </t>
  </si>
  <si>
    <t>Any Infection Prevalence</t>
  </si>
  <si>
    <t xml:space="preserve">Eggs per gram </t>
  </si>
  <si>
    <t xml:space="preserve">Weight given to worm species </t>
  </si>
  <si>
    <t xml:space="preserve">Cost per child treated </t>
  </si>
  <si>
    <t xml:space="preserve">Notes on Inputs </t>
  </si>
  <si>
    <t>Cross River, Nigeria</t>
  </si>
  <si>
    <t xml:space="preserve">UNICEF-  (2008-2012) Nigeria </t>
  </si>
  <si>
    <t>Cross Check: School Attendance as measured via child interviews by monitors during CV (maximum number of children present on DD or Mop-up Day)</t>
  </si>
  <si>
    <t xml:space="preserve">Can't find treatment report </t>
  </si>
  <si>
    <t xml:space="preserve">Data not disaggregated by enrollment status </t>
  </si>
  <si>
    <r>
      <t xml:space="preserve">Annual vs Biannual Deworming Round: </t>
    </r>
    <r>
      <rPr>
        <sz val="11"/>
        <color theme="1"/>
        <rFont val="Prensa Book"/>
        <family val="3"/>
      </rPr>
      <t xml:space="preserve">Because we use effect sizes from Miguel &amp; Kremer's work, we need to take into account the number of deworming rounds adminstered in Miguel &amp; Kremer's study versus the treatment populations that we're assessing. Miguel &amp; Kremer's study treated twice within the first year of treatment. Therefore, in geographies where only annual deworming treatment is taking place, we would expect a lesser effect. For the purposes of this analysis, we divide Miguel &amp; Kremer's effect size by 2 for areas that implement annual deworming. </t>
    </r>
  </si>
  <si>
    <r>
      <rPr>
        <b/>
        <sz val="11"/>
        <color theme="1"/>
        <rFont val="Prensa Book"/>
        <family val="3"/>
      </rPr>
      <t xml:space="preserve">Cost per Child Treated: </t>
    </r>
    <r>
      <rPr>
        <sz val="11"/>
        <color theme="1"/>
        <rFont val="Prensa Book"/>
        <family val="3"/>
      </rPr>
      <t>We used the most relevant available data on cost per child treated inputs. In geographies where we did not have cost per child inputs from the first year of deworming, we used the closest year's data that we had available (e.g. we did not cost out Bihar until 2014 even though the first round of deworming happened in 2011 when Evidence Action was not involved. We used the cost per child treated from our 2014 costing exercise even though the model is meant to reflect the cost per school day gained from the first year of the program, assuming that costs were similar across rounds. For India in particular, this is a reasonable assumption. The geographies where the year of costing data does not match year of analysis are Bihar, Rajasthan, and Jharkhand.</t>
    </r>
  </si>
  <si>
    <r>
      <rPr>
        <b/>
        <sz val="11"/>
        <color theme="1"/>
        <rFont val="Prensa Book"/>
        <family val="3"/>
      </rPr>
      <t>Year deworming first occurred in geography:</t>
    </r>
    <r>
      <rPr>
        <b/>
        <i/>
        <sz val="11"/>
        <color theme="1"/>
        <rFont val="Prensa Book"/>
        <family val="3"/>
      </rPr>
      <t xml:space="preserve"> </t>
    </r>
    <r>
      <rPr>
        <sz val="11"/>
        <color theme="1"/>
        <rFont val="Prensa Book"/>
        <family val="3"/>
      </rPr>
      <t xml:space="preserve">Although there may have been informal deworming ocurring in geographies prior to the date listed, we used the date of the first known National (or 'official' government deworming day) rolled out within each geography. The analysis measures the cost-effectiveness of the first year of a deworming program because we use effect sizes from Miguel &amp; Kremer's study, which measured the effect of the first year of deworming on a population. Therefore, results are most relevant to apply to the first year that deworming occurs in a geography. </t>
    </r>
  </si>
  <si>
    <r>
      <rPr>
        <b/>
        <sz val="11"/>
        <color theme="1"/>
        <rFont val="Prensa Book"/>
        <family val="3"/>
      </rPr>
      <t xml:space="preserve">Number of children treated: </t>
    </r>
    <r>
      <rPr>
        <sz val="11"/>
        <color theme="1"/>
        <rFont val="Prensa Book"/>
        <family val="3"/>
      </rPr>
      <t xml:space="preserve">We used government reported data from the year deworming first occurred in each geography. Age groups vary by geography. </t>
    </r>
  </si>
  <si>
    <r>
      <t xml:space="preserve">Enrolled children treated: </t>
    </r>
    <r>
      <rPr>
        <sz val="11"/>
        <color theme="1"/>
        <rFont val="Prensa Book"/>
        <family val="3"/>
      </rPr>
      <t xml:space="preserve">We collected the number of enrolled children treated from government reports. In some geographies, data was not disaggregated by enrollment status, so we assumed a static enrollment rate based on national level UNICEF data. </t>
    </r>
  </si>
  <si>
    <r>
      <rPr>
        <b/>
        <sz val="11"/>
        <color theme="1"/>
        <rFont val="Prensa Book"/>
        <family val="3"/>
      </rPr>
      <t>Baseline School Attendance:</t>
    </r>
    <r>
      <rPr>
        <sz val="11"/>
        <color theme="1"/>
        <rFont val="Prensa Book"/>
        <family val="3"/>
      </rPr>
      <t xml:space="preserve"> Ideally we would want baseline school attendance data from right before deworming first occurred in a geography. Based on availalble data, we used data that made the most sense for that geography (selecting earlier data as the baseline rather than data that was measured post deworming if available) </t>
    </r>
  </si>
  <si>
    <t>School Attendance Inputs</t>
  </si>
  <si>
    <t xml:space="preserve">Year of Data Extracted </t>
  </si>
  <si>
    <t xml:space="preserve">Note: Should we use external data on baseline attendnace rate, or internal data? Don't want to raise questions as to why we aren't using our own data on this. But at the same time, using an external source creates standardization and brings some credibility to the analysis. We also don't have internal data for all geographies needed, so in that sense using external data would be more of a standardized approach </t>
  </si>
  <si>
    <t xml:space="preserve">Difference Between Baseline School Attendance and CV School Attendance (Unicef/NFHS vs EA data) </t>
  </si>
  <si>
    <t>Can't find any CV data presented in 2013 report?</t>
  </si>
  <si>
    <t xml:space="preserve">Have not conducted CV </t>
  </si>
  <si>
    <t xml:space="preserve">Did not directly collect attendance data during CV </t>
  </si>
  <si>
    <r>
      <t xml:space="preserve">Cross Check: </t>
    </r>
    <r>
      <rPr>
        <sz val="11"/>
        <color theme="1"/>
        <rFont val="Prensa Book"/>
        <family val="3"/>
      </rPr>
      <t xml:space="preserve">In order to cross-check school attendance values/ranges, we looked at the school attendance rate as measured via child interviews during coverage validation suveying within each geography. We wouldn't expect the baseline school attendance value to match the coverage validated school attendnace value if it was measured one year (or more) after deworming had been taking place in a geography (since through this analysis we are assuming that school attendnace would improve after deworming has taken place). However, if we have coverage validation survey results that were collected during the first year that deworming took place in a geography, we would expect the baseline school attendance value to approximately match the coverage-validated school attendance value. There are other reasons why these values may not match up, however, including difference in population surveyed and other external factors that led to school attendance changes. We used the earliest available coverage validation reports, although these do not always match the year in which deworming first took place since Evidence Action was not always involved during the first year of deworming within a geography. For example, in Rajasthan, DtW did not produce a coverage validation report until 2015, but deworming was taking place since 2012. For this reason (and the others listed), there may be variation in the baseline school attendance value used and the coverage-validated school attendance value. In Vietnam and Nigeria, we did not collect child attendance data through child interviews during coverage validation, so this comparison was not possible for these geographies. </t>
    </r>
  </si>
  <si>
    <t>Deworming Cost-effectiveness Model</t>
  </si>
  <si>
    <t>The benefits of deworming are multiple, spanning sectors of health, education, and economy. Therefore, we estimate various measures of cost-effectiveness including the cost per disability-adjusted life year, the cost per school year gained, and a cost per kg weight gain</t>
  </si>
  <si>
    <t xml:space="preserve">This model is intended to provide estimates of different cost-effectiveness outcomes for the deworming programs that Deworm the World supports globally. Based on inputs such as  worm prevalence, program target population, treatment coverage, and estimated treatment effect, this model estimates different measures of cost-effectiveness for deworming as an intervention. Although the analysis focuses on DtW's supported program geographies, we are not estimating the cost-effectiveness of Evidence Action's support of these programs; but rather the cost-effectiveness of deworming as an intervention more broadly. </t>
  </si>
  <si>
    <t xml:space="preserve">India </t>
  </si>
  <si>
    <t xml:space="preserve">Geography: </t>
  </si>
  <si>
    <t xml:space="preserve">Summary Results </t>
  </si>
  <si>
    <t>Schisto mansoni</t>
  </si>
  <si>
    <t>Schisto haematobium</t>
  </si>
  <si>
    <t xml:space="preserve">Baseline Schisto Haematobium Prevalence </t>
  </si>
  <si>
    <t>Sources</t>
  </si>
  <si>
    <t xml:space="preserve">Miguel &amp; Kremer 2004: Group 1 schools; 1998 pre-treatment </t>
  </si>
  <si>
    <t xml:space="preserve">Baseline Schisto Mansoni Prevalence </t>
  </si>
  <si>
    <t xml:space="preserve">Baseline Schisto Mansoni Moderate-Heavy Infection Prevalence </t>
  </si>
  <si>
    <t>Y5 KEMRI Impact Analysis Report- Table 2 Appendix for STH; Table 6 Appendix for Schisto
https://evidenceaction.box.com/s/2veiusm4whc8bjh7tthaydh1vli6a258</t>
  </si>
  <si>
    <t>Y5 KEMRI Impact Analysis Report- Table 2 Appendix for STH; Table 6 Appendix for Schisto 
https://evidenceaction.box.com/s/2veiusm4whc8bjh7tthaydh1vli6a258</t>
  </si>
  <si>
    <t>2011 Bihar Prevalence Survey Report- Table 3 
https://evidenceaction.box.com/s/a81qtww6agpbv6ecmf5ovsbncb02xady</t>
  </si>
  <si>
    <t>Baseline Hookworm Epg</t>
  </si>
  <si>
    <t>Baseline Roundworm Epg</t>
  </si>
  <si>
    <t>Baseline Whipworm Epg</t>
  </si>
  <si>
    <t>Baseline Schisto Mansoni Epg</t>
  </si>
  <si>
    <t>Baseline Schisto Haematobium Epg</t>
  </si>
  <si>
    <t xml:space="preserve">Data_Bihar_prevalence_summary_NL 
https://evidenceaction.box.com/s/mfwvdpv6xj97d89xij4qdkk0np7mfx8y
Calculated a non-weighted average </t>
  </si>
  <si>
    <t xml:space="preserve">Results presented here are from the baseline prevalence survey conducted in Jan 2011; These results were collected after a community LF albendazole program, so not a 'true' baseline. A follow-up prevalence survey was conducted in Jan-Feb 2015 </t>
  </si>
  <si>
    <t xml:space="preserve">Prevalence survey conducted in Sep-Oct 2014, timed to ensure no overlap with LF MDA. Albendazole was provided under the first round of the WIFS program in MP in Feb 2014. Since 2004, ALB+DEC has been provided annually under the LF program </t>
  </si>
  <si>
    <t>MP 2015 Prevalence Survey Report 
https://evidenceaction.box.com/s/oklybyt9fsuzyphytz5gxukdi8uth71y</t>
  </si>
  <si>
    <t xml:space="preserve">Not presented in the report- need to find data </t>
  </si>
  <si>
    <t>Survey was conducted in 2 phases: May and July of 2015. Since 2004, ALB+DEC has been provided annually under the LF program. Survey was timed accordingly so as not to have bias from the LF program</t>
  </si>
  <si>
    <t>UP 2016 Prevalence Survey Report 
https://evidenceaction.box.com/s/trfc4txd39qpp6a78tj1cehwr3bqowad</t>
  </si>
  <si>
    <t>UP 2016 Prevalence Survey Report Table 7
https://evidenceaction.box.com/s/trfc4txd39qpp6a78tj1cehwr3bqowad</t>
  </si>
  <si>
    <t xml:space="preserve"> Prevalence survey conducted in Nov-Dec 2015. Survey was timed accordingly so as not to have bias from the LF program. Since 2004, ALB+DEC has been provided annually under LF program. WIFS program gave biannual albenazole to children aged 10-19 since 2013. </t>
  </si>
  <si>
    <t>Chhattisgarh 2016 Prevalence Survey Report 
https://evidenceaction.box.com/s/pxacdmu2z8hky5ms2pqny2c6xnrgjbko</t>
  </si>
  <si>
    <t xml:space="preserve">Prevalence survey conducted in July 2012; state deworming program was first conducted October 2012. </t>
  </si>
  <si>
    <t>Rajasthan 2014 Prevalence Survey Report 
https://evidenceaction.box.com/s/poslq0hhn4z69eikbi5jp0lxko1qe008</t>
  </si>
  <si>
    <t>Not presented in report</t>
  </si>
  <si>
    <t xml:space="preserve">Prevalence survey conducted December 2015 prior to LF MDA. </t>
  </si>
  <si>
    <t>Telangana 2016 Prevalence Survey Report 
https://evidenceaction.box.com/s/wm8lfcm8xohwzw5chfilprvujg48n8dq</t>
  </si>
  <si>
    <t>Tripura 2016 Prevalence Survey Report
https://evidenceaction.box.com/s/7neu30ab633un2wpjmryt54f2bjhx495</t>
  </si>
  <si>
    <t>Prevalence survey conducted in Feb 2016. Tripura had conducted deworming in select pockets over the years, but coverage was not well documented. The state participated in the comprehensive NDD program in 2015, but with low reported coverage (65%) so the state was considered as having an untreated population. The state planned a second round of MDA as part of Feb 2016 NDD. This prevalence survey was conducted immediatley prior to that MDA</t>
  </si>
  <si>
    <t>A prevalence survey was conducted in 4 provinces in Vietnam in 2016.</t>
  </si>
  <si>
    <t>Vietnam 2016 Prevalence Survey Report 
https://evidenceaction.box.com/s/62chs5jk80qfbnc066fxn5g91d54tr8g</t>
  </si>
  <si>
    <t>Rivers, Nigiera</t>
  </si>
  <si>
    <t xml:space="preserve">Intensity Adjustment using Ratio of All Infection </t>
  </si>
  <si>
    <t>Oyo, Nigiera</t>
  </si>
  <si>
    <t>Intensity Adjustment using Ratio of Moderate-Heavy Infection</t>
  </si>
  <si>
    <t>Worm intensity adjustment - EPG Ratio</t>
  </si>
  <si>
    <t>Worm intensity adjustment - All Infection Ratio</t>
  </si>
  <si>
    <t>Worm intensity adjustment - Moderate-Heavy Infection Ratio</t>
  </si>
  <si>
    <t>Intensity Adjustment using Ratio of EPG</t>
  </si>
  <si>
    <t>Oyo, Nigeria</t>
  </si>
  <si>
    <t>Panel C: Prevalence of Moderate-to-Heavy Infection Ratio</t>
  </si>
  <si>
    <t>Panel D: Prevalence of EPG Ratio</t>
  </si>
  <si>
    <t>Panel B: Prevalence of Any Infection Ratio</t>
  </si>
  <si>
    <t xml:space="preserve">Schisto </t>
  </si>
  <si>
    <r>
      <t xml:space="preserve">Moderate-Heavy Infection Prevalence- </t>
    </r>
    <r>
      <rPr>
        <sz val="12"/>
        <color theme="1"/>
        <rFont val="Prensa Book"/>
        <family val="3"/>
      </rPr>
      <t xml:space="preserve">% of population with moderate/heavy infection (not % moderate/heavy infection out of total infections) </t>
    </r>
  </si>
  <si>
    <t>Baseline Attendance</t>
  </si>
  <si>
    <t xml:space="preserve">Increase in attendance </t>
  </si>
  <si>
    <t xml:space="preserve">Endline Attendance </t>
  </si>
  <si>
    <t xml:space="preserve">Baseline Absenteeism </t>
  </si>
  <si>
    <t xml:space="preserve">Endline Absenteeism </t>
  </si>
  <si>
    <t xml:space="preserve">Baseline School Attendance </t>
  </si>
  <si>
    <t xml:space="preserve">% Increase in school attendance after 1 year per student, adjusted for prevalence/intensity </t>
  </si>
  <si>
    <r>
      <t xml:space="preserve">% Increase in school attendance due to deworming: </t>
    </r>
    <r>
      <rPr>
        <sz val="11"/>
        <color theme="1"/>
        <rFont val="Prensa Book"/>
        <family val="3"/>
      </rPr>
      <t>In Miguel &amp; Kremer's 2004 study, school attendance increased by 6.3 percentage points from a baseline attendance rate of 79.3% after the first year of treatment.</t>
    </r>
    <r>
      <rPr>
        <b/>
        <sz val="11"/>
        <color theme="1"/>
        <rFont val="Prensa Book"/>
        <family val="3"/>
      </rPr>
      <t xml:space="preserve"> </t>
    </r>
    <r>
      <rPr>
        <sz val="11"/>
        <color theme="1"/>
        <rFont val="Prensa Book"/>
        <family val="3"/>
      </rPr>
      <t xml:space="preserve">This corresponds to an 8% increase in school attendance. To adapt this treatment effect to other populations, we considered the difference in number of rounds of deworming received within the 1 year time period between the Miguel &amp; Kremer study and the populations being analyzed and the differences in baseline worm prevalence/intensity. If a geography provided annual deworming in the first round of treatment, we divide the effect size by 2 to account for the fact that Miguel &amp; Kremer's study provided biannual deworming. This is an imperfect adjustment, but one that we believe is conservative. We then scale the effect size based upon the ratio of prevalence (or intensity) of worms in Miguel &amp; Kremer's study to the treatment population being analyzed. </t>
    </r>
  </si>
  <si>
    <t>Annual deworming</t>
  </si>
  <si>
    <t xml:space="preserve">Using adjustment factor </t>
  </si>
  <si>
    <t xml:space="preserve">(baseline school attendance) x (% increase in school attendance adjusted for all infection prevalence) x 189 school days per year </t>
  </si>
  <si>
    <t xml:space="preserve">(baseline school attendance) x (% increase in school attendance adjusted for moderate-to-heavy infection) x 189 school days per year </t>
  </si>
  <si>
    <t xml:space="preserve">(baseline school attendance) x (% increase in school attendance adjusted for intensity) x 189 school days per year </t>
  </si>
  <si>
    <t xml:space="preserve">Cost per school day gained </t>
  </si>
  <si>
    <t xml:space="preserve">Other Inputs: Non-Geography specific </t>
  </si>
  <si>
    <t xml:space="preserve">Other Inputs: Geography specific </t>
  </si>
  <si>
    <t xml:space="preserve">Point Estimate </t>
  </si>
  <si>
    <t xml:space="preserve">Miguel &amp; Kremer Guide to Replication- Table VII column 8 </t>
  </si>
  <si>
    <t>Prevalence of Any Infection Ratio</t>
  </si>
  <si>
    <t>Cost per child treated during year 1 of program</t>
  </si>
  <si>
    <t xml:space="preserve">Cost per worm infection averted </t>
  </si>
  <si>
    <t>Prevalence of Moderate-to-Heavy Infection Ratio</t>
  </si>
  <si>
    <t xml:space="preserve">Prevalence reduction, adjusted for baseline moderate-heavy worm prevalence differences </t>
  </si>
  <si>
    <t>Prevalence of EPG Ratio</t>
  </si>
  <si>
    <t xml:space="preserve">Prevalence reduction, adjusted for baseline infection intensity (EPG) differences </t>
  </si>
  <si>
    <t xml:space="preserve">Any STH Prevalence </t>
  </si>
  <si>
    <t xml:space="preserve">Baseline Any STH Prevalence </t>
  </si>
  <si>
    <t>Worm burden relative to Miguel &amp; Kremer</t>
  </si>
  <si>
    <t xml:space="preserve">Baseline Moderate-Heavy STH Prevalence </t>
  </si>
  <si>
    <t>Baseline STH epg</t>
  </si>
  <si>
    <t>Assumed percetage point increase in school attendnace from deworming treatment</t>
  </si>
  <si>
    <t xml:space="preserve">Miguel &amp; Kremer Guide to Replication- Table IX column 2 </t>
  </si>
  <si>
    <t xml:space="preserve">Miguel &amp; Kremer Guide to Replication- Table IX-column 4 "Mean of dependent variable" </t>
  </si>
  <si>
    <t xml:space="preserve">Baseline Moderate-Heavy STH prevalence </t>
  </si>
  <si>
    <t xml:space="preserve">Miguel &amp; Kremer Guide to Replication- Table II middle column "Prevalence of moderate-heavy infection"; "At least one infection" </t>
  </si>
  <si>
    <t xml:space="preserve">Assumed percentage point decrease in Moderate-Heavy STH Prevalence from deworming treatment </t>
  </si>
  <si>
    <t>(81% prevalence reduction) x (all infection prevalence/PSDP all infection prevalence) weighted by worm species</t>
  </si>
  <si>
    <t>(8% increase in school attendance) x (all infection prevalence/PSDP all infection prevalence) weighted by worm species</t>
  </si>
  <si>
    <t>(Cost per child treated) x (Number of children treated) / (# of averted worm infections)</t>
  </si>
  <si>
    <t xml:space="preserve">(8% increase in school attendance) x (moderate/heavy prevalence/PSDP moderate-heavy prevalence) weighted by worm species </t>
  </si>
  <si>
    <t xml:space="preserve">(8% increase in school attendance) x (intensity of infection/PSDP intensity of infection) weighted by worm species </t>
  </si>
  <si>
    <t xml:space="preserve">(81% prevalence reduction) x (moderate/heavy prevalence/PSDP moderate-heavy prevalence) weighted by worm species </t>
  </si>
  <si>
    <t xml:space="preserve">(81% prevalence reduction) x (intensity of infection/PSDP intensity of infection) weighted by worm species </t>
  </si>
  <si>
    <t xml:space="preserve">Education Outcome: % increase in school attendance due to deworming </t>
  </si>
  <si>
    <t>Health Outcome: % decrease in worm prevalence due to deworming</t>
  </si>
  <si>
    <t>Adjusted by all infection prevalence</t>
  </si>
  <si>
    <t xml:space="preserve">Adjusted by intensity </t>
  </si>
  <si>
    <t>Adjusted by moderate-heavy infection prevalence</t>
  </si>
  <si>
    <t>Adjusted by intensity</t>
  </si>
  <si>
    <r>
      <t xml:space="preserve">% Decrease in worm prevalence due to deworming: </t>
    </r>
    <r>
      <rPr>
        <sz val="11"/>
        <color theme="1"/>
        <rFont val="Prensa Book"/>
        <family val="3"/>
      </rPr>
      <t xml:space="preserve">In Miguel &amp; Kremer's 2004 study, STH worm prevalence decreased by 30 percentage points from a baseline prevalence of 37% after treatment. This corresponds to an 81% decrease in prevalence. We pulled the treatment effect on STH prevalence from Miguel &amp; Kremer's 2004 Guide to Replication (Table VII column 7). We only considered the effects on treated children in treatment schools and did not take into account spillover effects for untreated children in treatment schools or the effects on children in closeby untreated schools. This is also not taking into account Schisto reductions in prevalence. We scale this effect in the same way that we scaled the school attendance treatment effect. </t>
    </r>
  </si>
  <si>
    <t xml:space="preserve">Moderate-Heavy Prevalence reduction, adjusted for baseline all infection prevalence differences </t>
  </si>
  <si>
    <t xml:space="preserve"># moderate-heavy hookworm infections without treatment </t>
  </si>
  <si>
    <t xml:space="preserve"># of moderate-heavy hookworm infections with treatment </t>
  </si>
  <si>
    <t># of moderate-heavy averted hookworm infections</t>
  </si>
  <si>
    <t xml:space="preserve"># moderate-heavy roundworm infections without treatment </t>
  </si>
  <si>
    <t xml:space="preserve"># of moderate-heavy roundworm infections with treatment </t>
  </si>
  <si>
    <t># of moderate-heavy averted roundworm infections</t>
  </si>
  <si>
    <t xml:space="preserve"># moderate-heavy ringworm infections without treatment </t>
  </si>
  <si>
    <t xml:space="preserve"># of moderate-heavy ringworm infections with treatment </t>
  </si>
  <si>
    <t># of moderate-heavy averted ringworm infections</t>
  </si>
  <si>
    <t xml:space="preserve">(# of children treated) x (baseline hookworm prevalence) </t>
  </si>
  <si>
    <t>(# of hookworm infections without treatments) x (1-% reduction)</t>
  </si>
  <si>
    <t xml:space="preserve">(# of hookworm infections without treatment) - (# of hookworm infections with treatment) </t>
  </si>
  <si>
    <t xml:space="preserve">(# of children treated) x (baseline roundworm prevalence) </t>
  </si>
  <si>
    <t>(# of roundworm infections without treatments) x (1-% reduction)</t>
  </si>
  <si>
    <t xml:space="preserve">(# of roundworm infections without treatment) - (# of roundworm infections with treatment) </t>
  </si>
  <si>
    <t xml:space="preserve">(# of children treated) x (baseline ringworm prevalence) </t>
  </si>
  <si>
    <t>(# of ringworm infections without treatments) x (1-% reduction)</t>
  </si>
  <si>
    <t xml:space="preserve">(# of ringworm infections without treatment) - (# of ringworm infections with treatment)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</si>
</sst>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_(* #,##0_);_(* \(#,##0\);_(* &quot;-&quot;??_);_(@_)"/>
    <numFmt numFmtId="166" formatCode="0.000000000000000%"/>
    <numFmt numFmtId="167" formatCode="_(* #,##0_);_(* \(#,##0\);_(* &quot;-&quot;???_);_(@_)"/>
    <numFmt numFmtId="168" formatCode="0.000%"/>
    <numFmt numFmtId="169" formatCode="0.0000%"/>
    <numFmt numFmtId="170" formatCode="0.0000"/>
    <numFmt numFmtId="171" formatCode="&quot;$&quot;#,##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5"/>
      <color theme="1"/>
      <name val="Prensa Book"/>
      <family val="3"/>
    </font>
    <font>
      <sz val="9"/>
      <color indexed="81"/>
      <name val="Tahoma"/>
      <family val="2"/>
    </font>
    <font>
      <b/>
      <sz val="9"/>
      <color indexed="81"/>
      <name val="Tahoma"/>
      <family val="2"/>
    </font>
    <font>
      <sz val="13"/>
      <color theme="1"/>
      <name val="TSTAR Mono Round"/>
      <family val="3"/>
    </font>
    <font>
      <sz val="11"/>
      <color theme="1"/>
      <name val="Prensa Book"/>
      <family val="3"/>
    </font>
    <font>
      <i/>
      <sz val="11"/>
      <color theme="1"/>
      <name val="Calibri"/>
      <family val="2"/>
      <scheme val="minor"/>
    </font>
    <font>
      <sz val="15"/>
      <color theme="0"/>
      <name val="Prensa Book"/>
      <family val="3"/>
    </font>
    <font>
      <b/>
      <sz val="11"/>
      <color theme="1"/>
      <name val="Prensa Book"/>
      <family val="3"/>
    </font>
    <font>
      <b/>
      <sz val="10"/>
      <color rgb="FF000000"/>
      <name val="Times New Roman"/>
      <family val="1"/>
    </font>
    <font>
      <sz val="10"/>
      <color rgb="FF000000"/>
      <name val="Times New Roman"/>
      <family val="1"/>
    </font>
    <font>
      <sz val="20"/>
      <color theme="1"/>
      <name val="Prensa Book"/>
      <family val="3"/>
    </font>
    <font>
      <b/>
      <i/>
      <sz val="11"/>
      <color theme="1"/>
      <name val="Prensa Book"/>
      <family val="3"/>
    </font>
    <font>
      <sz val="9"/>
      <color indexed="81"/>
      <name val="Tahoma"/>
      <charset val="1"/>
    </font>
    <font>
      <b/>
      <sz val="9"/>
      <color indexed="81"/>
      <name val="Tahoma"/>
      <charset val="1"/>
    </font>
    <font>
      <sz val="12"/>
      <color theme="1"/>
      <name val="Prensa Book"/>
      <family val="3"/>
    </font>
    <font>
      <sz val="10"/>
      <color theme="1"/>
      <name val="Times New Roman"/>
      <family val="1"/>
    </font>
    <font>
      <sz val="11"/>
      <color theme="1"/>
      <name val="Times New Roman"/>
      <family val="1"/>
    </font>
    <font>
      <sz val="11"/>
      <color rgb="FFFF0000"/>
      <name val="Prensa Book"/>
      <family val="3"/>
    </font>
    <font>
      <b/>
      <sz val="13"/>
      <color rgb="FF000000"/>
      <name val="Times New Roman"/>
      <family val="1"/>
    </font>
  </fonts>
  <fills count="11">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1"/>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2">
    <xf numFmtId="0" fontId="0" fillId="0" borderId="0" xfId="0"/>
    <xf numFmtId="0" fontId="0" fillId="0" borderId="0" xfId="0" applyAlignment="1">
      <alignment horizontal="left" indent="1"/>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0" fillId="0" borderId="0" xfId="0" applyFont="1" applyAlignment="1">
      <alignment horizontal="left" indent="2"/>
    </xf>
    <xf numFmtId="9" fontId="0" fillId="0" borderId="0" xfId="1" applyFont="1"/>
    <xf numFmtId="0" fontId="2" fillId="0" borderId="0" xfId="0" applyFont="1" applyAlignment="1">
      <alignment wrapText="1"/>
    </xf>
    <xf numFmtId="0" fontId="0" fillId="0" borderId="0" xfId="0" applyAlignment="1">
      <alignment horizontal="left" indent="2"/>
    </xf>
    <xf numFmtId="9" fontId="0" fillId="0" borderId="0" xfId="0" applyNumberFormat="1"/>
    <xf numFmtId="0" fontId="0" fillId="0" borderId="0" xfId="0" applyAlignment="1">
      <alignment horizontal="left" indent="3"/>
    </xf>
    <xf numFmtId="164" fontId="0" fillId="0" borderId="0" xfId="1" applyNumberFormat="1" applyFont="1"/>
    <xf numFmtId="1" fontId="0" fillId="0" borderId="0" xfId="1" applyNumberFormat="1" applyFont="1"/>
    <xf numFmtId="165" fontId="0" fillId="0" borderId="0" xfId="2" applyNumberFormat="1" applyFont="1"/>
    <xf numFmtId="0" fontId="0" fillId="0" borderId="1" xfId="0" applyBorder="1"/>
    <xf numFmtId="0" fontId="0" fillId="0" borderId="0" xfId="0" applyBorder="1"/>
    <xf numFmtId="10" fontId="0" fillId="0" borderId="0" xfId="1" applyNumberFormat="1" applyFont="1"/>
    <xf numFmtId="0" fontId="0" fillId="0" borderId="0" xfId="0" applyFont="1" applyAlignment="1">
      <alignment horizontal="left" indent="1"/>
    </xf>
    <xf numFmtId="0" fontId="0" fillId="0" borderId="0" xfId="1" applyNumberFormat="1" applyFont="1"/>
    <xf numFmtId="0" fontId="0" fillId="4" borderId="0" xfId="0" applyFill="1"/>
    <xf numFmtId="0" fontId="0" fillId="6" borderId="0" xfId="0" applyFill="1"/>
    <xf numFmtId="165" fontId="0" fillId="0" borderId="0" xfId="0" applyNumberFormat="1"/>
    <xf numFmtId="43" fontId="0" fillId="0" borderId="0" xfId="0" applyNumberFormat="1"/>
    <xf numFmtId="0" fontId="8" fillId="0" borderId="0" xfId="0" applyFont="1" applyAlignment="1">
      <alignment wrapText="1"/>
    </xf>
    <xf numFmtId="0" fontId="8" fillId="0" borderId="0" xfId="0" applyFont="1" applyAlignment="1">
      <alignment horizontal="left" wrapText="1"/>
    </xf>
    <xf numFmtId="9" fontId="0" fillId="0" borderId="0" xfId="1" applyNumberFormat="1" applyFont="1"/>
    <xf numFmtId="165" fontId="0" fillId="0" borderId="0" xfId="0" applyNumberFormat="1" applyAlignment="1">
      <alignment horizontal="left" indent="2"/>
    </xf>
    <xf numFmtId="0" fontId="0" fillId="3" borderId="0" xfId="0" applyFill="1" applyAlignment="1">
      <alignment horizontal="left" indent="1"/>
    </xf>
    <xf numFmtId="166" fontId="0" fillId="0" borderId="0" xfId="0" applyNumberFormat="1"/>
    <xf numFmtId="0" fontId="8" fillId="3" borderId="0" xfId="0" applyFont="1" applyFill="1" applyAlignment="1">
      <alignment horizontal="left" wrapText="1"/>
    </xf>
    <xf numFmtId="0" fontId="7" fillId="0" borderId="0" xfId="0" applyFont="1"/>
    <xf numFmtId="0" fontId="10" fillId="0" borderId="0" xfId="0" applyFont="1"/>
    <xf numFmtId="0" fontId="10" fillId="0" borderId="0" xfId="0" applyFont="1" applyAlignment="1">
      <alignment wrapText="1"/>
    </xf>
    <xf numFmtId="0" fontId="7" fillId="0" borderId="0" xfId="0" applyFont="1" applyAlignment="1">
      <alignment wrapText="1"/>
    </xf>
    <xf numFmtId="9" fontId="7" fillId="0" borderId="0" xfId="1" applyFont="1"/>
    <xf numFmtId="9" fontId="7" fillId="0" borderId="0" xfId="0" applyNumberFormat="1" applyFont="1"/>
    <xf numFmtId="0" fontId="12" fillId="0" borderId="0" xfId="0" applyFont="1" applyAlignment="1">
      <alignment wrapText="1"/>
    </xf>
    <xf numFmtId="0" fontId="12" fillId="0" borderId="0" xfId="0" applyFont="1" applyAlignment="1">
      <alignment horizontal="right" wrapText="1"/>
    </xf>
    <xf numFmtId="167" fontId="0" fillId="0" borderId="0" xfId="0" applyNumberFormat="1"/>
    <xf numFmtId="165" fontId="7" fillId="0" borderId="0" xfId="2" applyNumberFormat="1" applyFont="1"/>
    <xf numFmtId="165" fontId="7" fillId="0" borderId="0" xfId="0" applyNumberFormat="1" applyFont="1"/>
    <xf numFmtId="43" fontId="7" fillId="0" borderId="0" xfId="0" applyNumberFormat="1" applyFont="1"/>
    <xf numFmtId="0" fontId="7" fillId="7" borderId="0" xfId="0" applyFont="1" applyFill="1"/>
    <xf numFmtId="165" fontId="7" fillId="7" borderId="0" xfId="2" applyNumberFormat="1" applyFont="1" applyFill="1"/>
    <xf numFmtId="0" fontId="12" fillId="0" borderId="0" xfId="0" applyFont="1" applyFill="1" applyBorder="1" applyAlignment="1">
      <alignment wrapText="1"/>
    </xf>
    <xf numFmtId="0" fontId="12" fillId="0" borderId="0" xfId="0" applyFont="1" applyBorder="1" applyAlignment="1">
      <alignment wrapText="1"/>
    </xf>
    <xf numFmtId="0" fontId="11" fillId="0" borderId="2" xfId="0" applyFont="1" applyBorder="1" applyAlignment="1">
      <alignment wrapText="1"/>
    </xf>
    <xf numFmtId="0" fontId="0" fillId="0" borderId="2" xfId="0" applyBorder="1"/>
    <xf numFmtId="0" fontId="7" fillId="0" borderId="2" xfId="0" applyFont="1" applyBorder="1"/>
    <xf numFmtId="0" fontId="12" fillId="0" borderId="0" xfId="0" applyFont="1" applyBorder="1"/>
    <xf numFmtId="0" fontId="13" fillId="0" borderId="0" xfId="0" applyFont="1"/>
    <xf numFmtId="0" fontId="7" fillId="0" borderId="3" xfId="0" applyFont="1" applyBorder="1"/>
    <xf numFmtId="9" fontId="7" fillId="0" borderId="3" xfId="1" applyFont="1" applyBorder="1"/>
    <xf numFmtId="0" fontId="0" fillId="0" borderId="3" xfId="0" applyBorder="1"/>
    <xf numFmtId="0" fontId="10" fillId="0" borderId="3" xfId="0" applyFont="1" applyBorder="1"/>
    <xf numFmtId="0" fontId="7" fillId="0" borderId="3" xfId="0" applyFont="1" applyBorder="1" applyAlignment="1">
      <alignment wrapText="1"/>
    </xf>
    <xf numFmtId="0" fontId="7" fillId="0" borderId="1" xfId="0" applyFont="1" applyBorder="1"/>
    <xf numFmtId="0" fontId="7" fillId="0" borderId="0" xfId="0" applyFont="1" applyBorder="1"/>
    <xf numFmtId="164" fontId="7" fillId="0" borderId="3" xfId="1" applyNumberFormat="1" applyFont="1" applyBorder="1"/>
    <xf numFmtId="10" fontId="7" fillId="0" borderId="3" xfId="0" applyNumberFormat="1" applyFont="1" applyBorder="1"/>
    <xf numFmtId="0" fontId="7" fillId="7" borderId="3" xfId="0" applyFont="1" applyFill="1" applyBorder="1"/>
    <xf numFmtId="0" fontId="7" fillId="0" borderId="3" xfId="1" applyNumberFormat="1" applyFont="1" applyBorder="1"/>
    <xf numFmtId="0" fontId="7" fillId="0" borderId="3" xfId="0" applyNumberFormat="1" applyFont="1" applyBorder="1"/>
    <xf numFmtId="0" fontId="0" fillId="0" borderId="0" xfId="0" applyNumberFormat="1"/>
    <xf numFmtId="9" fontId="7" fillId="0" borderId="3" xfId="1" applyNumberFormat="1" applyFont="1" applyBorder="1"/>
    <xf numFmtId="9" fontId="7" fillId="0" borderId="3" xfId="0" applyNumberFormat="1" applyFont="1" applyBorder="1"/>
    <xf numFmtId="1" fontId="7" fillId="0" borderId="3" xfId="1" applyNumberFormat="1" applyFont="1" applyBorder="1"/>
    <xf numFmtId="44" fontId="7" fillId="0" borderId="0" xfId="3" applyFont="1"/>
    <xf numFmtId="44" fontId="7" fillId="0" borderId="0" xfId="0" applyNumberFormat="1" applyFont="1"/>
    <xf numFmtId="165" fontId="7" fillId="0" borderId="0" xfId="2" applyNumberFormat="1" applyFont="1" applyFill="1"/>
    <xf numFmtId="9" fontId="7" fillId="0" borderId="0" xfId="0" applyNumberFormat="1" applyFont="1" applyAlignment="1">
      <alignment horizontal="right"/>
    </xf>
    <xf numFmtId="0" fontId="7" fillId="6" borderId="0" xfId="0" applyFont="1" applyFill="1" applyAlignment="1">
      <alignment horizontal="left" wrapText="1"/>
    </xf>
    <xf numFmtId="0" fontId="0" fillId="0" borderId="0" xfId="0" applyFill="1"/>
    <xf numFmtId="0" fontId="0" fillId="0" borderId="6" xfId="0" applyBorder="1"/>
    <xf numFmtId="0" fontId="0" fillId="0" borderId="9" xfId="0" applyBorder="1"/>
    <xf numFmtId="0" fontId="0" fillId="6" borderId="0" xfId="0" applyFill="1" applyBorder="1"/>
    <xf numFmtId="0" fontId="7" fillId="6" borderId="0" xfId="0" applyFont="1" applyFill="1"/>
    <xf numFmtId="0" fontId="10" fillId="0" borderId="7" xfId="0" applyFont="1" applyBorder="1"/>
    <xf numFmtId="0" fontId="10" fillId="0" borderId="5" xfId="0" applyFont="1" applyBorder="1"/>
    <xf numFmtId="0" fontId="7" fillId="0" borderId="1" xfId="0" applyFont="1" applyBorder="1" applyAlignment="1">
      <alignment horizontal="left" wrapText="1" indent="2"/>
    </xf>
    <xf numFmtId="0" fontId="7" fillId="0" borderId="1" xfId="0" applyFont="1" applyBorder="1" applyAlignment="1">
      <alignment horizontal="left" indent="2"/>
    </xf>
    <xf numFmtId="0" fontId="7" fillId="0" borderId="9" xfId="0" applyFont="1" applyBorder="1" applyAlignment="1">
      <alignment horizontal="left" wrapText="1" indent="2"/>
    </xf>
    <xf numFmtId="0" fontId="6" fillId="2" borderId="2" xfId="0" applyFont="1" applyFill="1" applyBorder="1" applyAlignment="1">
      <alignment wrapText="1"/>
    </xf>
    <xf numFmtId="0" fontId="6" fillId="2" borderId="8" xfId="0" applyFont="1" applyFill="1" applyBorder="1" applyAlignment="1">
      <alignment wrapText="1"/>
    </xf>
    <xf numFmtId="0" fontId="6" fillId="2" borderId="10" xfId="0" applyFont="1" applyFill="1" applyBorder="1" applyAlignment="1">
      <alignment wrapText="1"/>
    </xf>
    <xf numFmtId="0" fontId="6" fillId="2" borderId="0" xfId="0" applyFont="1" applyFill="1" applyBorder="1" applyAlignment="1"/>
    <xf numFmtId="0" fontId="6" fillId="2" borderId="1" xfId="0" applyFont="1" applyFill="1" applyBorder="1" applyAlignment="1"/>
    <xf numFmtId="0" fontId="6" fillId="2" borderId="11" xfId="0" applyFont="1" applyFill="1" applyBorder="1" applyAlignment="1"/>
    <xf numFmtId="0" fontId="7" fillId="0" borderId="3" xfId="0" applyFont="1" applyFill="1" applyBorder="1" applyAlignment="1">
      <alignment wrapText="1"/>
    </xf>
    <xf numFmtId="0" fontId="0" fillId="0" borderId="3" xfId="0" applyNumberFormat="1" applyBorder="1"/>
    <xf numFmtId="1" fontId="7" fillId="0" borderId="3" xfId="0" applyNumberFormat="1" applyFont="1" applyBorder="1"/>
    <xf numFmtId="9" fontId="7" fillId="7" borderId="0" xfId="1" applyFont="1" applyFill="1"/>
    <xf numFmtId="9" fontId="7" fillId="7" borderId="3" xfId="1" applyFont="1" applyFill="1" applyBorder="1"/>
    <xf numFmtId="9" fontId="7" fillId="0" borderId="3" xfId="1" applyFont="1" applyFill="1" applyBorder="1"/>
    <xf numFmtId="9" fontId="7" fillId="0" borderId="3" xfId="1" applyNumberFormat="1" applyFont="1" applyFill="1" applyBorder="1"/>
    <xf numFmtId="9" fontId="7" fillId="0" borderId="3" xfId="0" applyNumberFormat="1" applyFont="1" applyFill="1" applyBorder="1"/>
    <xf numFmtId="0" fontId="7" fillId="0" borderId="3" xfId="0" applyFont="1" applyFill="1" applyBorder="1"/>
    <xf numFmtId="168" fontId="7" fillId="0" borderId="3" xfId="1" applyNumberFormat="1" applyFont="1" applyFill="1" applyBorder="1"/>
    <xf numFmtId="164" fontId="7" fillId="0" borderId="3" xfId="1" applyNumberFormat="1" applyFont="1" applyFill="1" applyBorder="1"/>
    <xf numFmtId="10" fontId="7" fillId="0" borderId="3" xfId="0" applyNumberFormat="1" applyFont="1" applyFill="1" applyBorder="1"/>
    <xf numFmtId="1" fontId="7" fillId="0" borderId="3" xfId="0" applyNumberFormat="1" applyFont="1" applyFill="1" applyBorder="1"/>
    <xf numFmtId="9" fontId="7" fillId="7" borderId="3" xfId="1" applyNumberFormat="1" applyFont="1" applyFill="1" applyBorder="1"/>
    <xf numFmtId="0" fontId="7" fillId="0" borderId="2" xfId="0" applyNumberFormat="1" applyFont="1" applyBorder="1"/>
    <xf numFmtId="9" fontId="7" fillId="0" borderId="0" xfId="1" applyFont="1" applyBorder="1"/>
    <xf numFmtId="9" fontId="7" fillId="0" borderId="0" xfId="1" applyNumberFormat="1" applyFont="1" applyBorder="1"/>
    <xf numFmtId="0" fontId="7" fillId="0" borderId="8" xfId="0" applyFont="1" applyBorder="1"/>
    <xf numFmtId="0" fontId="7" fillId="0" borderId="0" xfId="0" applyFont="1" applyBorder="1" applyAlignment="1"/>
    <xf numFmtId="0" fontId="7" fillId="0" borderId="0" xfId="0" applyFont="1" applyFill="1" applyBorder="1"/>
    <xf numFmtId="10" fontId="7" fillId="0" borderId="0" xfId="1" applyNumberFormat="1" applyFont="1"/>
    <xf numFmtId="9" fontId="7" fillId="0" borderId="0" xfId="1" applyFont="1" applyAlignment="1">
      <alignment wrapText="1"/>
    </xf>
    <xf numFmtId="10" fontId="7" fillId="0" borderId="0" xfId="1" applyNumberFormat="1" applyFont="1" applyBorder="1"/>
    <xf numFmtId="0" fontId="18" fillId="0" borderId="0" xfId="0" applyFont="1" applyBorder="1" applyAlignment="1">
      <alignment wrapText="1"/>
    </xf>
    <xf numFmtId="10" fontId="0" fillId="0" borderId="0" xfId="0" applyNumberFormat="1"/>
    <xf numFmtId="169" fontId="0" fillId="0" borderId="0" xfId="0" applyNumberFormat="1"/>
    <xf numFmtId="164" fontId="7" fillId="0" borderId="0" xfId="1" applyNumberFormat="1" applyFont="1" applyBorder="1"/>
    <xf numFmtId="170" fontId="7" fillId="0" borderId="0" xfId="1" applyNumberFormat="1" applyFont="1" applyBorder="1"/>
    <xf numFmtId="10" fontId="7" fillId="0" borderId="0" xfId="0" applyNumberFormat="1" applyFont="1" applyBorder="1"/>
    <xf numFmtId="0" fontId="18" fillId="0" borderId="0" xfId="0" applyFont="1"/>
    <xf numFmtId="0" fontId="18" fillId="0" borderId="6" xfId="0" applyFont="1" applyBorder="1"/>
    <xf numFmtId="0" fontId="12" fillId="0" borderId="6" xfId="0" applyFont="1" applyBorder="1" applyAlignment="1">
      <alignment wrapText="1"/>
    </xf>
    <xf numFmtId="44" fontId="7" fillId="0" borderId="6" xfId="3" applyFont="1" applyBorder="1"/>
    <xf numFmtId="2" fontId="7" fillId="0" borderId="0" xfId="0" applyNumberFormat="1" applyFont="1" applyFill="1"/>
    <xf numFmtId="164" fontId="7" fillId="7" borderId="3" xfId="1" applyNumberFormat="1" applyFont="1" applyFill="1" applyBorder="1"/>
    <xf numFmtId="0" fontId="7" fillId="0" borderId="0" xfId="0" applyFont="1" applyFill="1"/>
    <xf numFmtId="0" fontId="19" fillId="0" borderId="0" xfId="0" applyFont="1" applyAlignment="1">
      <alignment wrapText="1"/>
    </xf>
    <xf numFmtId="171" fontId="7" fillId="0" borderId="0" xfId="1" applyNumberFormat="1" applyFont="1"/>
    <xf numFmtId="2" fontId="7" fillId="0" borderId="0" xfId="0" applyNumberFormat="1" applyFont="1"/>
    <xf numFmtId="0" fontId="20" fillId="7" borderId="0" xfId="0" applyFont="1" applyFill="1" applyAlignment="1">
      <alignment wrapText="1"/>
    </xf>
    <xf numFmtId="0" fontId="7" fillId="7" borderId="0" xfId="0" applyFont="1" applyFill="1" applyAlignment="1">
      <alignment wrapText="1"/>
    </xf>
    <xf numFmtId="43" fontId="7" fillId="0" borderId="0" xfId="2" applyNumberFormat="1" applyFont="1"/>
    <xf numFmtId="0" fontId="18" fillId="0" borderId="0" xfId="0" applyFont="1" applyAlignment="1">
      <alignment wrapText="1"/>
    </xf>
    <xf numFmtId="0" fontId="19" fillId="8" borderId="0" xfId="0" applyFont="1" applyFill="1" applyAlignment="1">
      <alignment wrapText="1"/>
    </xf>
    <xf numFmtId="0" fontId="19" fillId="10" borderId="0" xfId="0" applyFont="1" applyFill="1" applyAlignment="1">
      <alignment wrapText="1"/>
    </xf>
    <xf numFmtId="0" fontId="19" fillId="9" borderId="0" xfId="0" applyFont="1" applyFill="1" applyAlignment="1">
      <alignment wrapText="1"/>
    </xf>
    <xf numFmtId="0" fontId="7" fillId="0" borderId="0" xfId="3" applyNumberFormat="1" applyFont="1"/>
    <xf numFmtId="0" fontId="21" fillId="0" borderId="2" xfId="0" applyFont="1" applyBorder="1" applyAlignment="1">
      <alignment wrapText="1"/>
    </xf>
    <xf numFmtId="0" fontId="7" fillId="6" borderId="0" xfId="0" applyFont="1" applyFill="1" applyAlignment="1">
      <alignment horizontal="left" wrapText="1"/>
    </xf>
    <xf numFmtId="0" fontId="13" fillId="6" borderId="0" xfId="0" applyFont="1" applyFill="1" applyAlignment="1">
      <alignment horizontal="left"/>
    </xf>
    <xf numFmtId="0" fontId="3" fillId="0" borderId="0" xfId="0" applyFont="1" applyAlignment="1">
      <alignment horizontal="center" vertical="center"/>
    </xf>
    <xf numFmtId="0" fontId="0" fillId="4" borderId="0" xfId="0" applyFill="1" applyAlignment="1">
      <alignment horizontal="center"/>
    </xf>
    <xf numFmtId="0" fontId="9" fillId="5" borderId="0" xfId="0" applyFont="1" applyFill="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0" xfId="0" applyFont="1" applyAlignment="1">
      <alignment horizontal="left" wrapText="1" indent="2"/>
    </xf>
    <xf numFmtId="0" fontId="7" fillId="0" borderId="0" xfId="0" applyFont="1" applyAlignment="1">
      <alignment horizontal="left" vertical="center" wrapText="1"/>
    </xf>
    <xf numFmtId="0" fontId="10" fillId="0" borderId="0" xfId="0" applyFont="1" applyAlignment="1">
      <alignment horizontal="left" wrapText="1" indent="2"/>
    </xf>
    <xf numFmtId="0" fontId="0" fillId="0" borderId="0" xfId="0" applyAlignment="1">
      <alignment horizontal="left" wrapText="1" indent="2"/>
    </xf>
    <xf numFmtId="0" fontId="7" fillId="8" borderId="0" xfId="0" applyFont="1" applyFill="1" applyAlignment="1">
      <alignment horizontal="center"/>
    </xf>
    <xf numFmtId="0" fontId="7" fillId="9" borderId="0" xfId="0" applyFont="1" applyFill="1" applyAlignment="1">
      <alignment horizontal="center"/>
    </xf>
    <xf numFmtId="0" fontId="14" fillId="0" borderId="0" xfId="0" applyFont="1" applyAlignment="1">
      <alignment horizontal="left" wrapText="1" indent="2"/>
    </xf>
    <xf numFmtId="0" fontId="10" fillId="0" borderId="0" xfId="0" applyFont="1" applyAlignment="1">
      <alignment horizontal="left" indent="2"/>
    </xf>
    <xf numFmtId="0" fontId="14" fillId="0" borderId="0" xfId="0" applyFont="1" applyAlignment="1">
      <alignment horizontal="left" indent="2"/>
    </xf>
  </cellXfs>
  <cellStyles count="4">
    <cellStyle name="Comma" xfId="2" builtinId="3"/>
    <cellStyle name="Currency" xfId="3" builtinId="4"/>
    <cellStyle name="Normal" xfId="0" builtinId="0"/>
    <cellStyle name="Percent" xfId="1"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57149</xdr:rowOff>
    </xdr:from>
    <xdr:to>
      <xdr:col>6</xdr:col>
      <xdr:colOff>438150</xdr:colOff>
      <xdr:row>21</xdr:row>
      <xdr:rowOff>188412</xdr:rowOff>
    </xdr:to>
    <xdr:pic>
      <xdr:nvPicPr>
        <xdr:cNvPr id="4" name="Picture 3"/>
        <xdr:cNvPicPr>
          <a:picLocks noChangeAspect="1"/>
        </xdr:cNvPicPr>
      </xdr:nvPicPr>
      <xdr:blipFill>
        <a:blip xmlns:r="http://schemas.openxmlformats.org/officeDocument/2006/relationships" r:embed="rId1"/>
        <a:stretch>
          <a:fillRect/>
        </a:stretch>
      </xdr:blipFill>
      <xdr:spPr>
        <a:xfrm>
          <a:off x="304800" y="3028949"/>
          <a:ext cx="3790950" cy="31792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workbookViewId="0">
      <selection activeCell="A4" sqref="A4:J4"/>
    </sheetView>
  </sheetViews>
  <sheetFormatPr defaultRowHeight="14.4" x14ac:dyDescent="0.55000000000000004"/>
  <sheetData>
    <row r="1" spans="1:10" s="20" customFormat="1" ht="45.75" customHeight="1" x14ac:dyDescent="0.95">
      <c r="A1" s="137" t="s">
        <v>179</v>
      </c>
      <c r="B1" s="137"/>
      <c r="C1" s="137"/>
      <c r="D1" s="137"/>
      <c r="E1" s="137"/>
      <c r="F1" s="137"/>
      <c r="G1" s="137"/>
      <c r="H1" s="137"/>
      <c r="I1" s="137"/>
      <c r="J1" s="137"/>
    </row>
    <row r="2" spans="1:10" s="20" customFormat="1" ht="118.5" customHeight="1" x14ac:dyDescent="0.55000000000000004">
      <c r="A2" s="136" t="s">
        <v>181</v>
      </c>
      <c r="B2" s="136"/>
      <c r="C2" s="136"/>
      <c r="D2" s="136"/>
      <c r="E2" s="136"/>
      <c r="F2" s="136"/>
      <c r="G2" s="136"/>
      <c r="H2" s="136"/>
      <c r="I2" s="136"/>
      <c r="J2" s="136"/>
    </row>
    <row r="3" spans="1:10" s="20" customFormat="1" ht="15.75" customHeight="1" x14ac:dyDescent="0.55000000000000004">
      <c r="A3" s="71"/>
      <c r="B3" s="71"/>
      <c r="C3" s="71"/>
      <c r="D3" s="71"/>
      <c r="E3" s="71"/>
      <c r="F3" s="71"/>
      <c r="G3" s="71"/>
      <c r="H3" s="71"/>
      <c r="I3" s="71"/>
      <c r="J3" s="71"/>
    </row>
    <row r="4" spans="1:10" s="20" customFormat="1" ht="48" customHeight="1" x14ac:dyDescent="0.55000000000000004">
      <c r="A4" s="136" t="s">
        <v>180</v>
      </c>
      <c r="B4" s="136"/>
      <c r="C4" s="136"/>
      <c r="D4" s="136"/>
      <c r="E4" s="136"/>
      <c r="F4" s="136"/>
      <c r="G4" s="136"/>
      <c r="H4" s="136"/>
      <c r="I4" s="136"/>
      <c r="J4" s="136"/>
    </row>
    <row r="5" spans="1:10" s="20" customFormat="1" x14ac:dyDescent="0.55000000000000004"/>
    <row r="6" spans="1:10" s="20" customFormat="1" x14ac:dyDescent="0.55000000000000004"/>
    <row r="7" spans="1:10" s="20" customFormat="1" x14ac:dyDescent="0.55000000000000004"/>
    <row r="8" spans="1:10" s="20" customFormat="1" x14ac:dyDescent="0.55000000000000004"/>
    <row r="9" spans="1:10" s="20" customFormat="1" x14ac:dyDescent="0.55000000000000004"/>
    <row r="10" spans="1:10" s="20" customFormat="1" x14ac:dyDescent="0.55000000000000004"/>
    <row r="11" spans="1:10" s="20" customFormat="1" x14ac:dyDescent="0.55000000000000004"/>
    <row r="12" spans="1:10" s="20" customFormat="1" x14ac:dyDescent="0.55000000000000004"/>
    <row r="13" spans="1:10" s="20" customFormat="1" x14ac:dyDescent="0.55000000000000004"/>
    <row r="14" spans="1:10" s="20" customFormat="1" x14ac:dyDescent="0.55000000000000004"/>
    <row r="15" spans="1:10" s="20" customFormat="1" x14ac:dyDescent="0.55000000000000004"/>
    <row r="16" spans="1:10" s="20" customFormat="1" x14ac:dyDescent="0.55000000000000004"/>
    <row r="17" s="20" customFormat="1" x14ac:dyDescent="0.55000000000000004"/>
    <row r="18" s="20" customFormat="1" x14ac:dyDescent="0.55000000000000004"/>
    <row r="19" s="20" customFormat="1" x14ac:dyDescent="0.55000000000000004"/>
    <row r="20" s="20" customFormat="1" x14ac:dyDescent="0.55000000000000004"/>
    <row r="21" s="20" customFormat="1" x14ac:dyDescent="0.55000000000000004"/>
    <row r="22" s="20" customFormat="1" x14ac:dyDescent="0.55000000000000004"/>
    <row r="23" s="20" customFormat="1" x14ac:dyDescent="0.55000000000000004"/>
    <row r="24" s="20" customFormat="1" x14ac:dyDescent="0.55000000000000004"/>
    <row r="25" s="20" customFormat="1" x14ac:dyDescent="0.55000000000000004"/>
    <row r="26" s="20" customFormat="1" x14ac:dyDescent="0.55000000000000004"/>
    <row r="27" s="20" customFormat="1" x14ac:dyDescent="0.55000000000000004"/>
    <row r="28" s="20" customFormat="1" x14ac:dyDescent="0.55000000000000004"/>
    <row r="29" s="20" customFormat="1" x14ac:dyDescent="0.55000000000000004"/>
    <row r="30" s="20" customFormat="1" x14ac:dyDescent="0.55000000000000004"/>
    <row r="31" s="20" customFormat="1" x14ac:dyDescent="0.55000000000000004"/>
    <row r="32" s="20" customFormat="1" x14ac:dyDescent="0.55000000000000004"/>
    <row r="33" s="20" customFormat="1" x14ac:dyDescent="0.55000000000000004"/>
    <row r="34" s="20" customFormat="1" x14ac:dyDescent="0.55000000000000004"/>
    <row r="35" s="20" customFormat="1" x14ac:dyDescent="0.55000000000000004"/>
    <row r="36" s="20" customFormat="1" x14ac:dyDescent="0.55000000000000004"/>
    <row r="37" s="20" customFormat="1" x14ac:dyDescent="0.55000000000000004"/>
    <row r="38" s="20" customFormat="1" x14ac:dyDescent="0.55000000000000004"/>
    <row r="39" s="20" customFormat="1" x14ac:dyDescent="0.55000000000000004"/>
    <row r="40" s="20" customFormat="1" x14ac:dyDescent="0.55000000000000004"/>
    <row r="41" s="20" customFormat="1" x14ac:dyDescent="0.55000000000000004"/>
    <row r="42" s="20" customFormat="1" x14ac:dyDescent="0.55000000000000004"/>
    <row r="43" s="20" customFormat="1" x14ac:dyDescent="0.55000000000000004"/>
    <row r="44" s="20" customFormat="1" x14ac:dyDescent="0.55000000000000004"/>
    <row r="45" s="20" customFormat="1" x14ac:dyDescent="0.55000000000000004"/>
    <row r="46" s="20" customFormat="1" x14ac:dyDescent="0.55000000000000004"/>
    <row r="47" s="20" customFormat="1" x14ac:dyDescent="0.55000000000000004"/>
    <row r="48" s="20" customFormat="1" x14ac:dyDescent="0.55000000000000004"/>
    <row r="49" s="20" customFormat="1" x14ac:dyDescent="0.55000000000000004"/>
    <row r="50" s="20" customFormat="1" x14ac:dyDescent="0.55000000000000004"/>
    <row r="51" s="20" customFormat="1" x14ac:dyDescent="0.55000000000000004"/>
    <row r="52" s="20" customFormat="1" x14ac:dyDescent="0.55000000000000004"/>
    <row r="53" s="20" customFormat="1" x14ac:dyDescent="0.55000000000000004"/>
    <row r="54" s="20" customFormat="1" x14ac:dyDescent="0.55000000000000004"/>
    <row r="55" s="20" customFormat="1" x14ac:dyDescent="0.55000000000000004"/>
    <row r="56" s="20" customFormat="1" x14ac:dyDescent="0.55000000000000004"/>
    <row r="57" s="20" customFormat="1" x14ac:dyDescent="0.55000000000000004"/>
    <row r="58" s="20" customFormat="1" x14ac:dyDescent="0.55000000000000004"/>
    <row r="59" s="20" customFormat="1" x14ac:dyDescent="0.55000000000000004"/>
    <row r="60" s="20" customFormat="1" x14ac:dyDescent="0.55000000000000004"/>
    <row r="61" s="20" customFormat="1" x14ac:dyDescent="0.55000000000000004"/>
    <row r="62" s="20" customFormat="1" x14ac:dyDescent="0.55000000000000004"/>
    <row r="63" s="20" customFormat="1" x14ac:dyDescent="0.55000000000000004"/>
    <row r="64" s="20" customFormat="1" x14ac:dyDescent="0.55000000000000004"/>
    <row r="65" s="20" customFormat="1" x14ac:dyDescent="0.55000000000000004"/>
    <row r="66" s="20" customFormat="1" x14ac:dyDescent="0.55000000000000004"/>
    <row r="67" s="20" customFormat="1" x14ac:dyDescent="0.55000000000000004"/>
    <row r="68" s="20" customFormat="1" x14ac:dyDescent="0.55000000000000004"/>
    <row r="69" s="20" customFormat="1" x14ac:dyDescent="0.55000000000000004"/>
    <row r="70" s="20" customFormat="1" x14ac:dyDescent="0.55000000000000004"/>
    <row r="71" s="20" customFormat="1" x14ac:dyDescent="0.55000000000000004"/>
    <row r="72" s="20" customFormat="1" x14ac:dyDescent="0.55000000000000004"/>
    <row r="73" s="20" customFormat="1" x14ac:dyDescent="0.55000000000000004"/>
    <row r="74" s="20" customFormat="1" x14ac:dyDescent="0.55000000000000004"/>
    <row r="75" s="20" customFormat="1" x14ac:dyDescent="0.55000000000000004"/>
    <row r="76" s="20" customFormat="1" x14ac:dyDescent="0.55000000000000004"/>
    <row r="77" s="20" customFormat="1" x14ac:dyDescent="0.55000000000000004"/>
    <row r="78" s="20" customFormat="1" x14ac:dyDescent="0.55000000000000004"/>
    <row r="79" s="20" customFormat="1" x14ac:dyDescent="0.55000000000000004"/>
    <row r="80" s="20" customFormat="1" x14ac:dyDescent="0.55000000000000004"/>
    <row r="81" s="20" customFormat="1" x14ac:dyDescent="0.55000000000000004"/>
    <row r="82" s="20" customFormat="1" x14ac:dyDescent="0.55000000000000004"/>
    <row r="83" s="20" customFormat="1" x14ac:dyDescent="0.55000000000000004"/>
    <row r="84" s="20" customFormat="1" x14ac:dyDescent="0.55000000000000004"/>
  </sheetData>
  <mergeCells count="3">
    <mergeCell ref="A2:J2"/>
    <mergeCell ref="A4:J4"/>
    <mergeCell ref="A1:J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83"/>
  <sheetViews>
    <sheetView workbookViewId="0">
      <selection activeCell="A22" sqref="A22"/>
    </sheetView>
  </sheetViews>
  <sheetFormatPr defaultRowHeight="14.4" x14ac:dyDescent="0.55000000000000004"/>
  <cols>
    <col min="1" max="1" width="57.578125" customWidth="1"/>
    <col min="2" max="2" width="18.41796875" customWidth="1"/>
    <col min="3" max="3" width="21.15625" bestFit="1" customWidth="1"/>
    <col min="4" max="4" width="15.83984375" bestFit="1" customWidth="1"/>
    <col min="5" max="5" width="15.15625" bestFit="1" customWidth="1"/>
    <col min="6" max="6" width="14.26171875" style="20" bestFit="1" customWidth="1"/>
    <col min="7" max="7" width="10.15625" style="20" bestFit="1" customWidth="1"/>
    <col min="8" max="8" width="7" style="20" bestFit="1" customWidth="1"/>
    <col min="9" max="9" width="4.68359375" style="20" bestFit="1" customWidth="1"/>
    <col min="10" max="10" width="4.83984375" style="20" bestFit="1" customWidth="1"/>
    <col min="11" max="11" width="14.83984375" style="20" bestFit="1" customWidth="1"/>
    <col min="12" max="12" width="11.26171875" style="20" bestFit="1" customWidth="1"/>
    <col min="13" max="13" width="11.15625" style="20" bestFit="1" customWidth="1"/>
    <col min="14" max="14" width="8.83984375" style="20" bestFit="1" customWidth="1"/>
    <col min="15" max="15" width="11.15625" style="20" bestFit="1" customWidth="1"/>
    <col min="16" max="55" width="9.15625" style="20"/>
  </cols>
  <sheetData>
    <row r="1" spans="1:15" s="20" customFormat="1" ht="42" customHeight="1" x14ac:dyDescent="0.95">
      <c r="A1" s="137" t="s">
        <v>184</v>
      </c>
      <c r="B1" s="137"/>
      <c r="C1" s="137"/>
      <c r="D1" s="137"/>
      <c r="E1" s="137"/>
      <c r="F1" s="137"/>
      <c r="G1" s="137"/>
      <c r="H1" s="137"/>
      <c r="I1" s="137"/>
      <c r="J1" s="137"/>
    </row>
    <row r="2" spans="1:15" x14ac:dyDescent="0.55000000000000004">
      <c r="A2" s="78" t="s">
        <v>183</v>
      </c>
      <c r="B2" s="77" t="s">
        <v>51</v>
      </c>
      <c r="C2" s="77" t="s">
        <v>97</v>
      </c>
      <c r="D2" s="77" t="s">
        <v>98</v>
      </c>
      <c r="E2" s="78" t="s">
        <v>182</v>
      </c>
      <c r="F2" s="76"/>
      <c r="H2" s="76"/>
      <c r="I2" s="76"/>
      <c r="J2" s="76"/>
      <c r="K2" s="76"/>
      <c r="L2" s="76"/>
      <c r="M2" s="76"/>
      <c r="N2" s="76"/>
      <c r="O2" s="76"/>
    </row>
    <row r="3" spans="1:15" ht="16.2" x14ac:dyDescent="0.55000000000000004">
      <c r="A3" s="84" t="s">
        <v>47</v>
      </c>
      <c r="B3" s="82"/>
      <c r="C3" s="82"/>
      <c r="D3" s="82"/>
      <c r="E3" s="83"/>
    </row>
    <row r="4" spans="1:15" x14ac:dyDescent="0.55000000000000004">
      <c r="A4" s="79" t="s">
        <v>48</v>
      </c>
      <c r="B4" s="72"/>
      <c r="C4" s="72"/>
      <c r="D4" s="72"/>
      <c r="E4" s="14"/>
    </row>
    <row r="5" spans="1:15" x14ac:dyDescent="0.55000000000000004">
      <c r="A5" s="79" t="s">
        <v>50</v>
      </c>
      <c r="B5" s="72"/>
      <c r="C5" s="72"/>
      <c r="D5" s="72"/>
      <c r="E5" s="14"/>
    </row>
    <row r="6" spans="1:15" x14ac:dyDescent="0.55000000000000004">
      <c r="A6" s="79" t="s">
        <v>49</v>
      </c>
      <c r="B6" s="72"/>
      <c r="C6" s="72"/>
      <c r="D6" s="72"/>
      <c r="E6" s="14"/>
    </row>
    <row r="7" spans="1:15" ht="16.2" x14ac:dyDescent="0.55000000000000004">
      <c r="A7" s="87" t="s">
        <v>41</v>
      </c>
      <c r="B7" s="85"/>
      <c r="C7" s="85"/>
      <c r="D7" s="85"/>
      <c r="E7" s="86"/>
    </row>
    <row r="8" spans="1:15" ht="18" customHeight="1" x14ac:dyDescent="0.55000000000000004">
      <c r="A8" s="79" t="s">
        <v>44</v>
      </c>
      <c r="B8" s="72"/>
      <c r="C8" s="72"/>
      <c r="D8" s="72"/>
      <c r="E8" s="14"/>
    </row>
    <row r="9" spans="1:15" ht="18" customHeight="1" x14ac:dyDescent="0.55000000000000004">
      <c r="A9" s="80" t="s">
        <v>56</v>
      </c>
      <c r="B9" s="72"/>
      <c r="C9" s="72"/>
      <c r="D9" s="72"/>
      <c r="E9" s="14"/>
    </row>
    <row r="10" spans="1:15" x14ac:dyDescent="0.55000000000000004">
      <c r="A10" s="79" t="s">
        <v>45</v>
      </c>
      <c r="B10" s="72"/>
      <c r="C10" s="72"/>
      <c r="D10" s="72"/>
      <c r="E10" s="14"/>
    </row>
    <row r="11" spans="1:15" ht="16.2" x14ac:dyDescent="0.55000000000000004">
      <c r="A11" s="87" t="s">
        <v>42</v>
      </c>
      <c r="B11" s="85"/>
      <c r="C11" s="85"/>
      <c r="D11" s="85"/>
      <c r="E11" s="86"/>
    </row>
    <row r="12" spans="1:15" x14ac:dyDescent="0.55000000000000004">
      <c r="A12" s="79" t="s">
        <v>150</v>
      </c>
      <c r="B12" s="72"/>
      <c r="C12" s="72"/>
      <c r="D12" s="72"/>
      <c r="E12" s="14"/>
    </row>
    <row r="13" spans="1:15" ht="16.2" x14ac:dyDescent="0.55000000000000004">
      <c r="A13" s="87" t="s">
        <v>43</v>
      </c>
      <c r="B13" s="85"/>
      <c r="C13" s="85"/>
      <c r="D13" s="85"/>
      <c r="E13" s="86"/>
    </row>
    <row r="14" spans="1:15" x14ac:dyDescent="0.55000000000000004">
      <c r="A14" s="81" t="s">
        <v>46</v>
      </c>
      <c r="B14" s="73"/>
      <c r="C14" s="73"/>
      <c r="D14" s="73"/>
      <c r="E14" s="74"/>
    </row>
    <row r="15" spans="1:15" s="20" customFormat="1" x14ac:dyDescent="0.55000000000000004">
      <c r="B15" s="75"/>
      <c r="C15" s="75"/>
      <c r="D15" s="75"/>
      <c r="E15" s="75"/>
    </row>
    <row r="16" spans="1:15" s="20" customFormat="1" x14ac:dyDescent="0.55000000000000004"/>
    <row r="17" s="20" customFormat="1" x14ac:dyDescent="0.55000000000000004"/>
    <row r="18" s="20" customFormat="1" x14ac:dyDescent="0.55000000000000004"/>
    <row r="19" s="20" customFormat="1" x14ac:dyDescent="0.55000000000000004"/>
    <row r="20" s="20" customFormat="1" x14ac:dyDescent="0.55000000000000004"/>
    <row r="21" s="20" customFormat="1" x14ac:dyDescent="0.55000000000000004"/>
    <row r="22" s="20" customFormat="1" x14ac:dyDescent="0.55000000000000004"/>
    <row r="23" s="20" customFormat="1" x14ac:dyDescent="0.55000000000000004"/>
    <row r="24" s="20" customFormat="1" x14ac:dyDescent="0.55000000000000004"/>
    <row r="25" s="20" customFormat="1" x14ac:dyDescent="0.55000000000000004"/>
    <row r="26" s="20" customFormat="1" x14ac:dyDescent="0.55000000000000004"/>
    <row r="27" s="20" customFormat="1" x14ac:dyDescent="0.55000000000000004"/>
    <row r="28" s="20" customFormat="1" x14ac:dyDescent="0.55000000000000004"/>
    <row r="29" s="20" customFormat="1" x14ac:dyDescent="0.55000000000000004"/>
    <row r="30" s="20" customFormat="1" x14ac:dyDescent="0.55000000000000004"/>
    <row r="31" s="20" customFormat="1" x14ac:dyDescent="0.55000000000000004"/>
    <row r="32" s="20" customFormat="1" x14ac:dyDescent="0.55000000000000004"/>
    <row r="33" s="20" customFormat="1" x14ac:dyDescent="0.55000000000000004"/>
    <row r="34" s="20" customFormat="1" x14ac:dyDescent="0.55000000000000004"/>
    <row r="35" s="20" customFormat="1" x14ac:dyDescent="0.55000000000000004"/>
    <row r="36" s="20" customFormat="1" x14ac:dyDescent="0.55000000000000004"/>
    <row r="37" s="20" customFormat="1" x14ac:dyDescent="0.55000000000000004"/>
    <row r="38" s="20" customFormat="1" x14ac:dyDescent="0.55000000000000004"/>
    <row r="39" s="20" customFormat="1" x14ac:dyDescent="0.55000000000000004"/>
    <row r="40" s="20" customFormat="1" x14ac:dyDescent="0.55000000000000004"/>
    <row r="41" s="20" customFormat="1" x14ac:dyDescent="0.55000000000000004"/>
    <row r="42" s="20" customFormat="1" x14ac:dyDescent="0.55000000000000004"/>
    <row r="43" s="20" customFormat="1" x14ac:dyDescent="0.55000000000000004"/>
    <row r="44" s="20" customFormat="1" x14ac:dyDescent="0.55000000000000004"/>
    <row r="45" s="20" customFormat="1" x14ac:dyDescent="0.55000000000000004"/>
    <row r="46" s="20" customFormat="1" x14ac:dyDescent="0.55000000000000004"/>
    <row r="47" s="20" customFormat="1" x14ac:dyDescent="0.55000000000000004"/>
    <row r="48" s="20" customFormat="1" x14ac:dyDescent="0.55000000000000004"/>
    <row r="49" s="20" customFormat="1" x14ac:dyDescent="0.55000000000000004"/>
    <row r="50" s="20" customFormat="1" x14ac:dyDescent="0.55000000000000004"/>
    <row r="51" s="20" customFormat="1" x14ac:dyDescent="0.55000000000000004"/>
    <row r="52" s="20" customFormat="1" x14ac:dyDescent="0.55000000000000004"/>
    <row r="53" s="20" customFormat="1" x14ac:dyDescent="0.55000000000000004"/>
    <row r="54" s="20" customFormat="1" x14ac:dyDescent="0.55000000000000004"/>
    <row r="55" s="20" customFormat="1" x14ac:dyDescent="0.55000000000000004"/>
    <row r="56" s="20" customFormat="1" x14ac:dyDescent="0.55000000000000004"/>
    <row r="57" s="20" customFormat="1" x14ac:dyDescent="0.55000000000000004"/>
    <row r="58" s="20" customFormat="1" x14ac:dyDescent="0.55000000000000004"/>
    <row r="59" s="20" customFormat="1" x14ac:dyDescent="0.55000000000000004"/>
    <row r="60" s="20" customFormat="1" x14ac:dyDescent="0.55000000000000004"/>
    <row r="61" s="20" customFormat="1" x14ac:dyDescent="0.55000000000000004"/>
    <row r="62" s="20" customFormat="1" x14ac:dyDescent="0.55000000000000004"/>
    <row r="63" s="20" customFormat="1" x14ac:dyDescent="0.55000000000000004"/>
    <row r="64" s="20" customFormat="1" x14ac:dyDescent="0.55000000000000004"/>
    <row r="65" s="20" customFormat="1" x14ac:dyDescent="0.55000000000000004"/>
    <row r="66" s="20" customFormat="1" x14ac:dyDescent="0.55000000000000004"/>
    <row r="67" s="20" customFormat="1" x14ac:dyDescent="0.55000000000000004"/>
    <row r="68" s="20" customFormat="1" x14ac:dyDescent="0.55000000000000004"/>
    <row r="69" s="20" customFormat="1" x14ac:dyDescent="0.55000000000000004"/>
    <row r="70" s="20" customFormat="1" x14ac:dyDescent="0.55000000000000004"/>
    <row r="71" s="20" customFormat="1" x14ac:dyDescent="0.55000000000000004"/>
    <row r="72" s="20" customFormat="1" x14ac:dyDescent="0.55000000000000004"/>
    <row r="73" s="20" customFormat="1" x14ac:dyDescent="0.55000000000000004"/>
    <row r="74" s="20" customFormat="1" x14ac:dyDescent="0.55000000000000004"/>
    <row r="75" s="20" customFormat="1" x14ac:dyDescent="0.55000000000000004"/>
    <row r="76" s="20" customFormat="1" x14ac:dyDescent="0.55000000000000004"/>
    <row r="77" s="20" customFormat="1" x14ac:dyDescent="0.55000000000000004"/>
    <row r="78" s="20" customFormat="1" x14ac:dyDescent="0.55000000000000004"/>
    <row r="79" s="20" customFormat="1" x14ac:dyDescent="0.55000000000000004"/>
    <row r="80" s="20" customFormat="1" x14ac:dyDescent="0.55000000000000004"/>
    <row r="81" s="20" customFormat="1" x14ac:dyDescent="0.55000000000000004"/>
    <row r="82" s="20" customFormat="1" x14ac:dyDescent="0.55000000000000004"/>
    <row r="83" s="20" customFormat="1" x14ac:dyDescent="0.55000000000000004"/>
    <row r="84" s="20" customFormat="1" x14ac:dyDescent="0.55000000000000004"/>
    <row r="85" s="20" customFormat="1" x14ac:dyDescent="0.55000000000000004"/>
    <row r="86" s="20" customFormat="1" x14ac:dyDescent="0.55000000000000004"/>
    <row r="87" s="20" customFormat="1" x14ac:dyDescent="0.55000000000000004"/>
    <row r="88" s="20" customFormat="1" x14ac:dyDescent="0.55000000000000004"/>
    <row r="89" s="20" customFormat="1" x14ac:dyDescent="0.55000000000000004"/>
    <row r="90" s="20" customFormat="1" x14ac:dyDescent="0.55000000000000004"/>
    <row r="91" s="20" customFormat="1" x14ac:dyDescent="0.55000000000000004"/>
    <row r="92" s="20" customFormat="1" x14ac:dyDescent="0.55000000000000004"/>
    <row r="93" s="20" customFormat="1" x14ac:dyDescent="0.55000000000000004"/>
    <row r="94" s="20" customFormat="1" x14ac:dyDescent="0.55000000000000004"/>
    <row r="95" s="20" customFormat="1" x14ac:dyDescent="0.55000000000000004"/>
    <row r="96" s="20" customFormat="1" x14ac:dyDescent="0.55000000000000004"/>
    <row r="97" s="20" customFormat="1" x14ac:dyDescent="0.55000000000000004"/>
    <row r="98" s="20" customFormat="1" x14ac:dyDescent="0.55000000000000004"/>
    <row r="99" s="20" customFormat="1" x14ac:dyDescent="0.55000000000000004"/>
    <row r="100" s="20" customFormat="1" x14ac:dyDescent="0.55000000000000004"/>
    <row r="101" s="20" customFormat="1" x14ac:dyDescent="0.55000000000000004"/>
    <row r="102" s="20" customFormat="1" x14ac:dyDescent="0.55000000000000004"/>
    <row r="103" s="20" customFormat="1" x14ac:dyDescent="0.55000000000000004"/>
    <row r="104" s="20" customFormat="1" x14ac:dyDescent="0.55000000000000004"/>
    <row r="105" s="20" customFormat="1" x14ac:dyDescent="0.55000000000000004"/>
    <row r="106" s="20" customFormat="1" x14ac:dyDescent="0.55000000000000004"/>
    <row r="107" s="20" customFormat="1" x14ac:dyDescent="0.55000000000000004"/>
    <row r="108" s="20" customFormat="1" x14ac:dyDescent="0.55000000000000004"/>
    <row r="109" s="20" customFormat="1" x14ac:dyDescent="0.55000000000000004"/>
    <row r="110" s="20" customFormat="1" x14ac:dyDescent="0.55000000000000004"/>
    <row r="111" s="20" customFormat="1" x14ac:dyDescent="0.55000000000000004"/>
    <row r="112" s="20" customFormat="1" x14ac:dyDescent="0.55000000000000004"/>
    <row r="113" s="20" customFormat="1" x14ac:dyDescent="0.55000000000000004"/>
    <row r="114" s="20" customFormat="1" x14ac:dyDescent="0.55000000000000004"/>
    <row r="115" s="20" customFormat="1" x14ac:dyDescent="0.55000000000000004"/>
    <row r="116" s="20" customFormat="1" x14ac:dyDescent="0.55000000000000004"/>
    <row r="117" s="20" customFormat="1" x14ac:dyDescent="0.55000000000000004"/>
    <row r="118" s="20" customFormat="1" x14ac:dyDescent="0.55000000000000004"/>
    <row r="119" s="20" customFormat="1" x14ac:dyDescent="0.55000000000000004"/>
    <row r="120" s="20" customFormat="1" x14ac:dyDescent="0.55000000000000004"/>
    <row r="121" s="20" customFormat="1" x14ac:dyDescent="0.55000000000000004"/>
    <row r="122" s="20" customFormat="1" x14ac:dyDescent="0.55000000000000004"/>
    <row r="123" s="20" customFormat="1" x14ac:dyDescent="0.55000000000000004"/>
    <row r="124" s="20" customFormat="1" x14ac:dyDescent="0.55000000000000004"/>
    <row r="125" s="20" customFormat="1" x14ac:dyDescent="0.55000000000000004"/>
    <row r="126" s="20" customFormat="1" x14ac:dyDescent="0.55000000000000004"/>
    <row r="127" s="20" customFormat="1" x14ac:dyDescent="0.55000000000000004"/>
    <row r="128" s="20" customFormat="1" x14ac:dyDescent="0.55000000000000004"/>
    <row r="129" s="20" customFormat="1" x14ac:dyDescent="0.55000000000000004"/>
    <row r="130" s="20" customFormat="1" x14ac:dyDescent="0.55000000000000004"/>
    <row r="131" s="20" customFormat="1" x14ac:dyDescent="0.55000000000000004"/>
    <row r="132" s="20" customFormat="1" x14ac:dyDescent="0.55000000000000004"/>
    <row r="133" s="20" customFormat="1" x14ac:dyDescent="0.55000000000000004"/>
    <row r="134" s="20" customFormat="1" x14ac:dyDescent="0.55000000000000004"/>
    <row r="135" s="20" customFormat="1" x14ac:dyDescent="0.55000000000000004"/>
    <row r="136" s="20" customFormat="1" x14ac:dyDescent="0.55000000000000004"/>
    <row r="137" s="20" customFormat="1" x14ac:dyDescent="0.55000000000000004"/>
    <row r="138" s="20" customFormat="1" x14ac:dyDescent="0.55000000000000004"/>
    <row r="139" s="20" customFormat="1" x14ac:dyDescent="0.55000000000000004"/>
    <row r="140" s="20" customFormat="1" x14ac:dyDescent="0.55000000000000004"/>
    <row r="141" s="20" customFormat="1" x14ac:dyDescent="0.55000000000000004"/>
    <row r="142" s="20" customFormat="1" x14ac:dyDescent="0.55000000000000004"/>
    <row r="143" s="20" customFormat="1" x14ac:dyDescent="0.55000000000000004"/>
    <row r="144" s="20" customFormat="1" x14ac:dyDescent="0.55000000000000004"/>
    <row r="145" s="20" customFormat="1" x14ac:dyDescent="0.55000000000000004"/>
    <row r="146" s="20" customFormat="1" x14ac:dyDescent="0.55000000000000004"/>
    <row r="147" s="20" customFormat="1" x14ac:dyDescent="0.55000000000000004"/>
    <row r="148" s="20" customFormat="1" x14ac:dyDescent="0.55000000000000004"/>
    <row r="149" s="20" customFormat="1" x14ac:dyDescent="0.55000000000000004"/>
    <row r="150" s="20" customFormat="1" x14ac:dyDescent="0.55000000000000004"/>
    <row r="151" s="20" customFormat="1" x14ac:dyDescent="0.55000000000000004"/>
    <row r="152" s="20" customFormat="1" x14ac:dyDescent="0.55000000000000004"/>
    <row r="153" s="20" customFormat="1" x14ac:dyDescent="0.55000000000000004"/>
    <row r="154" s="20" customFormat="1" x14ac:dyDescent="0.55000000000000004"/>
    <row r="155" s="20" customFormat="1" x14ac:dyDescent="0.55000000000000004"/>
    <row r="156" s="20" customFormat="1" x14ac:dyDescent="0.55000000000000004"/>
    <row r="157" s="20" customFormat="1" x14ac:dyDescent="0.55000000000000004"/>
    <row r="158" s="20" customFormat="1" x14ac:dyDescent="0.55000000000000004"/>
    <row r="159" s="20" customFormat="1" x14ac:dyDescent="0.55000000000000004"/>
    <row r="160" s="20" customFormat="1" x14ac:dyDescent="0.55000000000000004"/>
    <row r="161" s="20" customFormat="1" x14ac:dyDescent="0.55000000000000004"/>
    <row r="162" s="20" customFormat="1" x14ac:dyDescent="0.55000000000000004"/>
    <row r="163" s="20" customFormat="1" x14ac:dyDescent="0.55000000000000004"/>
    <row r="164" s="20" customFormat="1" x14ac:dyDescent="0.55000000000000004"/>
    <row r="165" s="20" customFormat="1" x14ac:dyDescent="0.55000000000000004"/>
    <row r="166" s="20" customFormat="1" x14ac:dyDescent="0.55000000000000004"/>
    <row r="167" s="20" customFormat="1" x14ac:dyDescent="0.55000000000000004"/>
    <row r="168" s="20" customFormat="1" x14ac:dyDescent="0.55000000000000004"/>
    <row r="169" s="20" customFormat="1" x14ac:dyDescent="0.55000000000000004"/>
    <row r="170" s="20" customFormat="1" x14ac:dyDescent="0.55000000000000004"/>
    <row r="171" s="20" customFormat="1" x14ac:dyDescent="0.55000000000000004"/>
    <row r="172" s="20" customFormat="1" x14ac:dyDescent="0.55000000000000004"/>
    <row r="173" s="20" customFormat="1" x14ac:dyDescent="0.55000000000000004"/>
    <row r="174" s="20" customFormat="1" x14ac:dyDescent="0.55000000000000004"/>
    <row r="175" s="20" customFormat="1" x14ac:dyDescent="0.55000000000000004"/>
    <row r="176" s="20" customFormat="1" x14ac:dyDescent="0.55000000000000004"/>
    <row r="177" s="20" customFormat="1" x14ac:dyDescent="0.55000000000000004"/>
    <row r="178" s="20" customFormat="1" x14ac:dyDescent="0.55000000000000004"/>
    <row r="179" s="20" customFormat="1" x14ac:dyDescent="0.55000000000000004"/>
    <row r="180" s="20" customFormat="1" x14ac:dyDescent="0.55000000000000004"/>
    <row r="181" s="20" customFormat="1" x14ac:dyDescent="0.55000000000000004"/>
    <row r="182" s="20" customFormat="1" x14ac:dyDescent="0.55000000000000004"/>
    <row r="183" s="20" customFormat="1" x14ac:dyDescent="0.55000000000000004"/>
    <row r="184" s="20" customFormat="1" x14ac:dyDescent="0.55000000000000004"/>
    <row r="185" s="20" customFormat="1" x14ac:dyDescent="0.55000000000000004"/>
    <row r="186" s="20" customFormat="1" x14ac:dyDescent="0.55000000000000004"/>
    <row r="187" s="20" customFormat="1" x14ac:dyDescent="0.55000000000000004"/>
    <row r="188" s="20" customFormat="1" x14ac:dyDescent="0.55000000000000004"/>
    <row r="189" s="20" customFormat="1" x14ac:dyDescent="0.55000000000000004"/>
    <row r="190" s="20" customFormat="1" x14ac:dyDescent="0.55000000000000004"/>
    <row r="191" s="20" customFormat="1" x14ac:dyDescent="0.55000000000000004"/>
    <row r="192" s="20" customFormat="1" x14ac:dyDescent="0.55000000000000004"/>
    <row r="193" s="20" customFormat="1" x14ac:dyDescent="0.55000000000000004"/>
    <row r="194" s="20" customFormat="1" x14ac:dyDescent="0.55000000000000004"/>
    <row r="195" s="20" customFormat="1" x14ac:dyDescent="0.55000000000000004"/>
    <row r="196" s="20" customFormat="1" x14ac:dyDescent="0.55000000000000004"/>
    <row r="197" s="20" customFormat="1" x14ac:dyDescent="0.55000000000000004"/>
    <row r="198" s="20" customFormat="1" x14ac:dyDescent="0.55000000000000004"/>
    <row r="199" s="20" customFormat="1" x14ac:dyDescent="0.55000000000000004"/>
    <row r="200" s="20" customFormat="1" x14ac:dyDescent="0.55000000000000004"/>
    <row r="201" s="20" customFormat="1" x14ac:dyDescent="0.55000000000000004"/>
    <row r="202" s="20" customFormat="1" x14ac:dyDescent="0.55000000000000004"/>
    <row r="203" s="20" customFormat="1" x14ac:dyDescent="0.55000000000000004"/>
    <row r="204" s="20" customFormat="1" x14ac:dyDescent="0.55000000000000004"/>
    <row r="205" s="20" customFormat="1" x14ac:dyDescent="0.55000000000000004"/>
    <row r="206" s="20" customFormat="1" x14ac:dyDescent="0.55000000000000004"/>
    <row r="207" s="20" customFormat="1" x14ac:dyDescent="0.55000000000000004"/>
    <row r="208" s="20" customFormat="1" x14ac:dyDescent="0.55000000000000004"/>
    <row r="209" s="20" customFormat="1" x14ac:dyDescent="0.55000000000000004"/>
    <row r="210" s="20" customFormat="1" x14ac:dyDescent="0.55000000000000004"/>
    <row r="211" s="20" customFormat="1" x14ac:dyDescent="0.55000000000000004"/>
    <row r="212" s="20" customFormat="1" x14ac:dyDescent="0.55000000000000004"/>
    <row r="213" s="20" customFormat="1" x14ac:dyDescent="0.55000000000000004"/>
    <row r="214" s="20" customFormat="1" x14ac:dyDescent="0.55000000000000004"/>
    <row r="215" s="20" customFormat="1" x14ac:dyDescent="0.55000000000000004"/>
    <row r="216" s="20" customFormat="1" x14ac:dyDescent="0.55000000000000004"/>
    <row r="217" s="20" customFormat="1" x14ac:dyDescent="0.55000000000000004"/>
    <row r="218" s="20" customFormat="1" x14ac:dyDescent="0.55000000000000004"/>
    <row r="219" s="20" customFormat="1" x14ac:dyDescent="0.55000000000000004"/>
    <row r="220" s="20" customFormat="1" x14ac:dyDescent="0.55000000000000004"/>
    <row r="221" s="20" customFormat="1" x14ac:dyDescent="0.55000000000000004"/>
    <row r="222" s="20" customFormat="1" x14ac:dyDescent="0.55000000000000004"/>
    <row r="223" s="20" customFormat="1" x14ac:dyDescent="0.55000000000000004"/>
    <row r="224" s="20" customFormat="1" x14ac:dyDescent="0.55000000000000004"/>
    <row r="225" s="20" customFormat="1" x14ac:dyDescent="0.55000000000000004"/>
    <row r="226" s="20" customFormat="1" x14ac:dyDescent="0.55000000000000004"/>
    <row r="227" s="20" customFormat="1" x14ac:dyDescent="0.55000000000000004"/>
    <row r="228" s="20" customFormat="1" x14ac:dyDescent="0.55000000000000004"/>
    <row r="229" s="20" customFormat="1" x14ac:dyDescent="0.55000000000000004"/>
    <row r="230" s="20" customFormat="1" x14ac:dyDescent="0.55000000000000004"/>
    <row r="231" s="20" customFormat="1" x14ac:dyDescent="0.55000000000000004"/>
    <row r="232" s="20" customFormat="1" x14ac:dyDescent="0.55000000000000004"/>
    <row r="233" s="20" customFormat="1" x14ac:dyDescent="0.55000000000000004"/>
    <row r="234" s="20" customFormat="1" x14ac:dyDescent="0.55000000000000004"/>
    <row r="235" s="20" customFormat="1" x14ac:dyDescent="0.55000000000000004"/>
    <row r="236" s="20" customFormat="1" x14ac:dyDescent="0.55000000000000004"/>
    <row r="237" s="20" customFormat="1" x14ac:dyDescent="0.55000000000000004"/>
    <row r="238" s="20" customFormat="1" x14ac:dyDescent="0.55000000000000004"/>
    <row r="239" s="20" customFormat="1" x14ac:dyDescent="0.55000000000000004"/>
    <row r="240" s="20" customFormat="1" x14ac:dyDescent="0.55000000000000004"/>
    <row r="241" s="20" customFormat="1" x14ac:dyDescent="0.55000000000000004"/>
    <row r="242" s="20" customFormat="1" x14ac:dyDescent="0.55000000000000004"/>
    <row r="243" s="20" customFormat="1" x14ac:dyDescent="0.55000000000000004"/>
    <row r="244" s="20" customFormat="1" x14ac:dyDescent="0.55000000000000004"/>
    <row r="245" s="20" customFormat="1" x14ac:dyDescent="0.55000000000000004"/>
    <row r="246" s="20" customFormat="1" x14ac:dyDescent="0.55000000000000004"/>
    <row r="247" s="20" customFormat="1" x14ac:dyDescent="0.55000000000000004"/>
    <row r="248" s="20" customFormat="1" x14ac:dyDescent="0.55000000000000004"/>
    <row r="249" s="20" customFormat="1" x14ac:dyDescent="0.55000000000000004"/>
    <row r="250" s="20" customFormat="1" x14ac:dyDescent="0.55000000000000004"/>
    <row r="251" s="20" customFormat="1" x14ac:dyDescent="0.55000000000000004"/>
    <row r="252" s="20" customFormat="1" x14ac:dyDescent="0.55000000000000004"/>
    <row r="253" s="20" customFormat="1" x14ac:dyDescent="0.55000000000000004"/>
    <row r="254" s="20" customFormat="1" x14ac:dyDescent="0.55000000000000004"/>
    <row r="255" s="20" customFormat="1" x14ac:dyDescent="0.55000000000000004"/>
    <row r="256" s="20" customFormat="1" x14ac:dyDescent="0.55000000000000004"/>
    <row r="257" s="20" customFormat="1" x14ac:dyDescent="0.55000000000000004"/>
    <row r="258" s="20" customFormat="1" x14ac:dyDescent="0.55000000000000004"/>
    <row r="259" s="20" customFormat="1" x14ac:dyDescent="0.55000000000000004"/>
    <row r="260" s="20" customFormat="1" x14ac:dyDescent="0.55000000000000004"/>
    <row r="261" s="20" customFormat="1" x14ac:dyDescent="0.55000000000000004"/>
    <row r="262" s="20" customFormat="1" x14ac:dyDescent="0.55000000000000004"/>
    <row r="263" s="20" customFormat="1" x14ac:dyDescent="0.55000000000000004"/>
    <row r="264" s="20" customFormat="1" x14ac:dyDescent="0.55000000000000004"/>
    <row r="265" s="20" customFormat="1" x14ac:dyDescent="0.55000000000000004"/>
    <row r="266" s="20" customFormat="1" x14ac:dyDescent="0.55000000000000004"/>
    <row r="267" s="20" customFormat="1" x14ac:dyDescent="0.55000000000000004"/>
    <row r="268" s="20" customFormat="1" x14ac:dyDescent="0.55000000000000004"/>
    <row r="269" s="20" customFormat="1" x14ac:dyDescent="0.55000000000000004"/>
    <row r="270" s="20" customFormat="1" x14ac:dyDescent="0.55000000000000004"/>
    <row r="271" s="20" customFormat="1" x14ac:dyDescent="0.55000000000000004"/>
    <row r="272" s="20" customFormat="1" x14ac:dyDescent="0.55000000000000004"/>
    <row r="273" s="20" customFormat="1" x14ac:dyDescent="0.55000000000000004"/>
    <row r="274" s="20" customFormat="1" x14ac:dyDescent="0.55000000000000004"/>
    <row r="275" s="20" customFormat="1" x14ac:dyDescent="0.55000000000000004"/>
    <row r="276" s="20" customFormat="1" x14ac:dyDescent="0.55000000000000004"/>
    <row r="277" s="20" customFormat="1" x14ac:dyDescent="0.55000000000000004"/>
    <row r="278" s="20" customFormat="1" x14ac:dyDescent="0.55000000000000004"/>
    <row r="279" s="20" customFormat="1" x14ac:dyDescent="0.55000000000000004"/>
    <row r="280" s="20" customFormat="1" x14ac:dyDescent="0.55000000000000004"/>
    <row r="281" s="20" customFormat="1" x14ac:dyDescent="0.55000000000000004"/>
    <row r="282" s="20" customFormat="1" x14ac:dyDescent="0.55000000000000004"/>
    <row r="283" s="20" customFormat="1" x14ac:dyDescent="0.55000000000000004"/>
  </sheetData>
  <mergeCells count="1">
    <mergeCell ref="A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9"/>
  <sheetViews>
    <sheetView workbookViewId="0">
      <selection activeCell="B45" sqref="B45:B50"/>
    </sheetView>
  </sheetViews>
  <sheetFormatPr defaultRowHeight="14.4" x14ac:dyDescent="0.55000000000000004"/>
  <cols>
    <col min="1" max="1" width="42.26171875" bestFit="1" customWidth="1"/>
    <col min="3" max="3" width="17.578125" bestFit="1" customWidth="1"/>
    <col min="4" max="4" width="55.68359375" customWidth="1"/>
  </cols>
  <sheetData>
    <row r="1" spans="1:6" ht="38.25" customHeight="1" x14ac:dyDescent="0.55000000000000004">
      <c r="A1" s="138" t="s">
        <v>0</v>
      </c>
      <c r="B1" s="138"/>
      <c r="C1" s="138"/>
      <c r="D1" s="138"/>
      <c r="E1" s="138"/>
      <c r="F1" s="138"/>
    </row>
    <row r="2" spans="1:6" x14ac:dyDescent="0.55000000000000004">
      <c r="C2" t="s">
        <v>11</v>
      </c>
      <c r="D2" t="s">
        <v>62</v>
      </c>
    </row>
    <row r="3" spans="1:6" x14ac:dyDescent="0.55000000000000004">
      <c r="A3" t="s">
        <v>54</v>
      </c>
    </row>
    <row r="4" spans="1:6" x14ac:dyDescent="0.55000000000000004">
      <c r="A4" t="s">
        <v>55</v>
      </c>
    </row>
    <row r="5" spans="1:6" x14ac:dyDescent="0.55000000000000004">
      <c r="A5" s="3" t="s">
        <v>23</v>
      </c>
    </row>
    <row r="6" spans="1:6" x14ac:dyDescent="0.55000000000000004">
      <c r="A6" s="8" t="s">
        <v>24</v>
      </c>
    </row>
    <row r="7" spans="1:6" x14ac:dyDescent="0.55000000000000004">
      <c r="A7" s="8" t="s">
        <v>25</v>
      </c>
    </row>
    <row r="8" spans="1:6" x14ac:dyDescent="0.55000000000000004">
      <c r="A8" s="8" t="s">
        <v>26</v>
      </c>
    </row>
    <row r="9" spans="1:6" x14ac:dyDescent="0.55000000000000004">
      <c r="A9" s="2" t="s">
        <v>4</v>
      </c>
    </row>
    <row r="10" spans="1:6" x14ac:dyDescent="0.55000000000000004">
      <c r="A10" s="8" t="s">
        <v>1</v>
      </c>
    </row>
    <row r="11" spans="1:6" x14ac:dyDescent="0.55000000000000004">
      <c r="A11" s="8" t="s">
        <v>2</v>
      </c>
    </row>
    <row r="12" spans="1:6" ht="15.75" customHeight="1" x14ac:dyDescent="0.55000000000000004">
      <c r="A12" s="8" t="s">
        <v>3</v>
      </c>
    </row>
    <row r="13" spans="1:6" ht="15.75" customHeight="1" x14ac:dyDescent="0.55000000000000004">
      <c r="A13" s="8" t="s">
        <v>9</v>
      </c>
    </row>
    <row r="14" spans="1:6" ht="15.75" customHeight="1" x14ac:dyDescent="0.55000000000000004">
      <c r="A14" s="3" t="s">
        <v>27</v>
      </c>
    </row>
    <row r="15" spans="1:6" ht="15.75" customHeight="1" x14ac:dyDescent="0.55000000000000004">
      <c r="A15" s="8" t="s">
        <v>1</v>
      </c>
    </row>
    <row r="16" spans="1:6" ht="15.75" customHeight="1" x14ac:dyDescent="0.55000000000000004">
      <c r="A16" s="8" t="s">
        <v>2</v>
      </c>
    </row>
    <row r="17" spans="1:3" ht="15.75" customHeight="1" x14ac:dyDescent="0.55000000000000004">
      <c r="A17" s="8" t="s">
        <v>3</v>
      </c>
    </row>
    <row r="18" spans="1:3" ht="15.75" customHeight="1" x14ac:dyDescent="0.55000000000000004">
      <c r="A18" s="8" t="s">
        <v>9</v>
      </c>
    </row>
    <row r="19" spans="1:3" ht="28.8" x14ac:dyDescent="0.55000000000000004">
      <c r="A19" s="4" t="s">
        <v>20</v>
      </c>
    </row>
    <row r="20" spans="1:3" x14ac:dyDescent="0.55000000000000004">
      <c r="A20" s="1" t="s">
        <v>1</v>
      </c>
    </row>
    <row r="21" spans="1:3" x14ac:dyDescent="0.55000000000000004">
      <c r="A21" s="1" t="s">
        <v>2</v>
      </c>
    </row>
    <row r="22" spans="1:3" x14ac:dyDescent="0.55000000000000004">
      <c r="A22" s="1" t="s">
        <v>3</v>
      </c>
    </row>
    <row r="23" spans="1:3" x14ac:dyDescent="0.55000000000000004">
      <c r="A23" s="1" t="s">
        <v>9</v>
      </c>
    </row>
    <row r="24" spans="1:3" x14ac:dyDescent="0.55000000000000004">
      <c r="A24" s="4" t="s">
        <v>5</v>
      </c>
    </row>
    <row r="25" spans="1:3" x14ac:dyDescent="0.55000000000000004">
      <c r="A25" s="1" t="s">
        <v>1</v>
      </c>
      <c r="B25" s="6">
        <v>0.88</v>
      </c>
      <c r="C25" t="s">
        <v>12</v>
      </c>
    </row>
    <row r="26" spans="1:3" x14ac:dyDescent="0.55000000000000004">
      <c r="A26" s="1" t="s">
        <v>2</v>
      </c>
      <c r="B26" s="6">
        <v>0.28000000000000003</v>
      </c>
      <c r="C26" t="s">
        <v>12</v>
      </c>
    </row>
    <row r="27" spans="1:3" x14ac:dyDescent="0.55000000000000004">
      <c r="A27" s="1" t="s">
        <v>3</v>
      </c>
      <c r="B27" s="6">
        <v>0.72</v>
      </c>
      <c r="C27" t="s">
        <v>12</v>
      </c>
    </row>
    <row r="28" spans="1:3" x14ac:dyDescent="0.55000000000000004">
      <c r="A28" s="3" t="s">
        <v>6</v>
      </c>
    </row>
    <row r="29" spans="1:3" x14ac:dyDescent="0.55000000000000004">
      <c r="A29" s="1" t="s">
        <v>1</v>
      </c>
      <c r="B29" s="6">
        <v>0.95</v>
      </c>
      <c r="C29" t="s">
        <v>12</v>
      </c>
    </row>
    <row r="30" spans="1:3" x14ac:dyDescent="0.55000000000000004">
      <c r="A30" s="1" t="s">
        <v>2</v>
      </c>
      <c r="B30" s="6">
        <v>0.36</v>
      </c>
      <c r="C30" t="s">
        <v>12</v>
      </c>
    </row>
    <row r="31" spans="1:3" x14ac:dyDescent="0.55000000000000004">
      <c r="A31" s="1" t="s">
        <v>3</v>
      </c>
      <c r="B31" s="6">
        <v>0.15</v>
      </c>
      <c r="C31" t="s">
        <v>12</v>
      </c>
    </row>
    <row r="32" spans="1:3" x14ac:dyDescent="0.55000000000000004">
      <c r="A32" s="3" t="s">
        <v>8</v>
      </c>
    </row>
    <row r="33" spans="1:1" x14ac:dyDescent="0.55000000000000004">
      <c r="A33" s="5" t="s">
        <v>9</v>
      </c>
    </row>
    <row r="34" spans="1:1" x14ac:dyDescent="0.55000000000000004">
      <c r="A34" s="3" t="s">
        <v>15</v>
      </c>
    </row>
    <row r="35" spans="1:1" x14ac:dyDescent="0.55000000000000004">
      <c r="A35" s="1" t="s">
        <v>1</v>
      </c>
    </row>
    <row r="36" spans="1:1" x14ac:dyDescent="0.55000000000000004">
      <c r="A36" s="1" t="s">
        <v>2</v>
      </c>
    </row>
    <row r="37" spans="1:1" x14ac:dyDescent="0.55000000000000004">
      <c r="A37" s="1" t="s">
        <v>3</v>
      </c>
    </row>
    <row r="38" spans="1:1" x14ac:dyDescent="0.55000000000000004">
      <c r="A38" s="1" t="s">
        <v>9</v>
      </c>
    </row>
    <row r="39" spans="1:1" x14ac:dyDescent="0.55000000000000004">
      <c r="A39" s="4" t="s">
        <v>28</v>
      </c>
    </row>
    <row r="40" spans="1:1" x14ac:dyDescent="0.55000000000000004">
      <c r="A40" s="1" t="s">
        <v>1</v>
      </c>
    </row>
    <row r="41" spans="1:1" x14ac:dyDescent="0.55000000000000004">
      <c r="A41" s="1" t="s">
        <v>2</v>
      </c>
    </row>
    <row r="42" spans="1:1" x14ac:dyDescent="0.55000000000000004">
      <c r="A42" s="1" t="s">
        <v>3</v>
      </c>
    </row>
    <row r="43" spans="1:1" x14ac:dyDescent="0.55000000000000004">
      <c r="A43" s="1" t="s">
        <v>9</v>
      </c>
    </row>
    <row r="44" spans="1:1" x14ac:dyDescent="0.55000000000000004">
      <c r="A44" s="3" t="s">
        <v>29</v>
      </c>
    </row>
    <row r="45" spans="1:1" x14ac:dyDescent="0.55000000000000004">
      <c r="A45" s="1" t="s">
        <v>1</v>
      </c>
    </row>
    <row r="46" spans="1:1" x14ac:dyDescent="0.55000000000000004">
      <c r="A46" s="1" t="s">
        <v>2</v>
      </c>
    </row>
    <row r="47" spans="1:1" x14ac:dyDescent="0.55000000000000004">
      <c r="A47" s="1" t="s">
        <v>3</v>
      </c>
    </row>
    <row r="48" spans="1:1" x14ac:dyDescent="0.55000000000000004">
      <c r="A48" s="1" t="s">
        <v>9</v>
      </c>
    </row>
    <row r="49" spans="1:3" x14ac:dyDescent="0.55000000000000004">
      <c r="A49" s="3" t="s">
        <v>10</v>
      </c>
    </row>
    <row r="50" spans="1:3" x14ac:dyDescent="0.55000000000000004">
      <c r="A50" s="1" t="s">
        <v>1</v>
      </c>
    </row>
    <row r="51" spans="1:3" x14ac:dyDescent="0.55000000000000004">
      <c r="A51" s="10" t="s">
        <v>37</v>
      </c>
      <c r="B51">
        <v>1.0800000000000001E-2</v>
      </c>
      <c r="C51" t="s">
        <v>36</v>
      </c>
    </row>
    <row r="52" spans="1:3" x14ac:dyDescent="0.55000000000000004">
      <c r="A52" s="10" t="s">
        <v>38</v>
      </c>
      <c r="B52">
        <v>2.9600000000000001E-2</v>
      </c>
      <c r="C52" t="s">
        <v>36</v>
      </c>
    </row>
    <row r="53" spans="1:3" x14ac:dyDescent="0.55000000000000004">
      <c r="A53" s="10" t="s">
        <v>39</v>
      </c>
      <c r="B53">
        <v>0.1245</v>
      </c>
      <c r="C53" t="s">
        <v>36</v>
      </c>
    </row>
    <row r="54" spans="1:3" x14ac:dyDescent="0.55000000000000004">
      <c r="A54" s="1" t="s">
        <v>2</v>
      </c>
    </row>
    <row r="55" spans="1:3" x14ac:dyDescent="0.55000000000000004">
      <c r="A55" s="10" t="s">
        <v>37</v>
      </c>
      <c r="B55">
        <v>1.0800000000000001E-2</v>
      </c>
      <c r="C55" t="s">
        <v>36</v>
      </c>
    </row>
    <row r="56" spans="1:3" x14ac:dyDescent="0.55000000000000004">
      <c r="A56" s="10" t="s">
        <v>38</v>
      </c>
      <c r="B56">
        <v>2.9600000000000001E-2</v>
      </c>
      <c r="C56" t="s">
        <v>36</v>
      </c>
    </row>
    <row r="57" spans="1:3" x14ac:dyDescent="0.55000000000000004">
      <c r="A57" s="10" t="s">
        <v>39</v>
      </c>
      <c r="B57">
        <v>0.1245</v>
      </c>
      <c r="C57" t="s">
        <v>36</v>
      </c>
    </row>
    <row r="58" spans="1:3" x14ac:dyDescent="0.55000000000000004">
      <c r="A58" s="1" t="s">
        <v>3</v>
      </c>
    </row>
    <row r="59" spans="1:3" x14ac:dyDescent="0.55000000000000004">
      <c r="A59" s="10" t="s">
        <v>37</v>
      </c>
      <c r="B59">
        <v>1.0800000000000001E-2</v>
      </c>
      <c r="C59" t="s">
        <v>36</v>
      </c>
    </row>
    <row r="60" spans="1:3" x14ac:dyDescent="0.55000000000000004">
      <c r="A60" s="10" t="s">
        <v>39</v>
      </c>
      <c r="B60">
        <v>0.1245</v>
      </c>
      <c r="C60" t="s">
        <v>36</v>
      </c>
    </row>
    <row r="61" spans="1:3" x14ac:dyDescent="0.55000000000000004">
      <c r="A61" s="1" t="s">
        <v>9</v>
      </c>
      <c r="B61" t="s">
        <v>35</v>
      </c>
      <c r="C61" t="s">
        <v>36</v>
      </c>
    </row>
    <row r="62" spans="1:3" x14ac:dyDescent="0.55000000000000004">
      <c r="A62" s="1" t="s">
        <v>17</v>
      </c>
      <c r="B62">
        <v>4.1000000000000003E-3</v>
      </c>
      <c r="C62" t="s">
        <v>36</v>
      </c>
    </row>
    <row r="63" spans="1:3" x14ac:dyDescent="0.55000000000000004">
      <c r="A63" s="1" t="s">
        <v>18</v>
      </c>
      <c r="B63">
        <v>5.5999999999999999E-3</v>
      </c>
      <c r="C63" t="s">
        <v>36</v>
      </c>
    </row>
    <row r="64" spans="1:3" x14ac:dyDescent="0.55000000000000004">
      <c r="A64" s="1" t="s">
        <v>19</v>
      </c>
      <c r="B64">
        <v>0.1615</v>
      </c>
      <c r="C64" t="s">
        <v>36</v>
      </c>
    </row>
    <row r="65" spans="1:4" ht="15.75" customHeight="1" x14ac:dyDescent="0.55000000000000004">
      <c r="A65" s="1" t="s">
        <v>16</v>
      </c>
      <c r="B65">
        <v>2.4E-2</v>
      </c>
      <c r="C65" t="s">
        <v>40</v>
      </c>
    </row>
    <row r="66" spans="1:4" ht="15.75" customHeight="1" x14ac:dyDescent="0.55000000000000004">
      <c r="A66" s="3" t="s">
        <v>30</v>
      </c>
    </row>
    <row r="67" spans="1:4" ht="15.75" customHeight="1" x14ac:dyDescent="0.55000000000000004">
      <c r="A67" s="1" t="s">
        <v>1</v>
      </c>
    </row>
    <row r="68" spans="1:4" ht="15.75" customHeight="1" x14ac:dyDescent="0.55000000000000004">
      <c r="A68" s="1" t="s">
        <v>2</v>
      </c>
    </row>
    <row r="69" spans="1:4" ht="15.75" customHeight="1" x14ac:dyDescent="0.55000000000000004">
      <c r="A69" s="1" t="s">
        <v>3</v>
      </c>
    </row>
    <row r="70" spans="1:4" ht="15.75" customHeight="1" x14ac:dyDescent="0.55000000000000004">
      <c r="A70" s="1" t="s">
        <v>9</v>
      </c>
    </row>
    <row r="71" spans="1:4" ht="15.75" customHeight="1" x14ac:dyDescent="0.55000000000000004">
      <c r="A71" s="3" t="s">
        <v>60</v>
      </c>
    </row>
    <row r="72" spans="1:4" ht="15.75" customHeight="1" x14ac:dyDescent="0.55000000000000004">
      <c r="A72" s="17" t="s">
        <v>61</v>
      </c>
      <c r="D72" t="s">
        <v>63</v>
      </c>
    </row>
    <row r="73" spans="1:4" x14ac:dyDescent="0.55000000000000004">
      <c r="A73" s="3" t="s">
        <v>7</v>
      </c>
    </row>
    <row r="74" spans="1:4" x14ac:dyDescent="0.55000000000000004">
      <c r="A74" s="1" t="s">
        <v>13</v>
      </c>
    </row>
    <row r="75" spans="1:4" x14ac:dyDescent="0.55000000000000004">
      <c r="A75" s="1" t="s">
        <v>14</v>
      </c>
    </row>
    <row r="76" spans="1:4" x14ac:dyDescent="0.55000000000000004">
      <c r="A76" s="3" t="s">
        <v>31</v>
      </c>
    </row>
    <row r="77" spans="1:4" x14ac:dyDescent="0.55000000000000004">
      <c r="A77" s="3" t="s">
        <v>64</v>
      </c>
    </row>
    <row r="78" spans="1:4" x14ac:dyDescent="0.55000000000000004">
      <c r="A78" s="3" t="s">
        <v>32</v>
      </c>
      <c r="B78" s="9">
        <v>0.03</v>
      </c>
      <c r="C78" t="s">
        <v>33</v>
      </c>
    </row>
    <row r="79" spans="1:4" x14ac:dyDescent="0.55000000000000004">
      <c r="A79" s="3" t="s">
        <v>34</v>
      </c>
    </row>
  </sheetData>
  <mergeCells count="1">
    <mergeCell ref="A1:F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7"/>
  <sheetViews>
    <sheetView workbookViewId="0">
      <pane xSplit="1" ySplit="3" topLeftCell="B4" activePane="bottomRight" state="frozen"/>
      <selection pane="topRight" activeCell="B1" sqref="B1"/>
      <selection pane="bottomLeft" activeCell="A4" sqref="A4"/>
      <selection pane="bottomRight" activeCell="B26" sqref="B26"/>
    </sheetView>
  </sheetViews>
  <sheetFormatPr defaultRowHeight="14.4" x14ac:dyDescent="0.55000000000000004"/>
  <cols>
    <col min="1" max="1" width="29.68359375" customWidth="1"/>
    <col min="2" max="2" width="20.41796875" bestFit="1" customWidth="1"/>
    <col min="3" max="5" width="16.578125" customWidth="1"/>
    <col min="6" max="6" width="14.83984375" bestFit="1" customWidth="1"/>
    <col min="7" max="7" width="2.578125" customWidth="1"/>
    <col min="8" max="8" width="17.83984375" customWidth="1"/>
    <col min="9" max="9" width="12.26171875" bestFit="1" customWidth="1"/>
    <col min="10" max="10" width="15.15625" customWidth="1"/>
    <col min="11" max="11" width="13.26171875" bestFit="1" customWidth="1"/>
    <col min="12" max="12" width="13.83984375" customWidth="1"/>
    <col min="13" max="13" width="2.578125" customWidth="1"/>
    <col min="14" max="14" width="12.15625" bestFit="1" customWidth="1"/>
    <col min="15" max="15" width="13.15625" bestFit="1" customWidth="1"/>
    <col min="16" max="16" width="12.578125" customWidth="1"/>
    <col min="17" max="17" width="13.26171875" bestFit="1" customWidth="1"/>
    <col min="18" max="18" width="12.68359375" customWidth="1"/>
    <col min="19" max="19" width="2.68359375" customWidth="1"/>
    <col min="20" max="20" width="12.15625" bestFit="1" customWidth="1"/>
    <col min="21" max="21" width="13.15625" bestFit="1" customWidth="1"/>
    <col min="22" max="22" width="13.41796875" customWidth="1"/>
    <col min="23" max="23" width="13.26171875" bestFit="1" customWidth="1"/>
    <col min="24" max="24" width="11.578125" bestFit="1" customWidth="1"/>
  </cols>
  <sheetData>
    <row r="1" spans="1:24" x14ac:dyDescent="0.55000000000000004">
      <c r="A1" s="140" t="s">
        <v>51</v>
      </c>
      <c r="B1" s="139" t="s">
        <v>75</v>
      </c>
      <c r="C1" s="139"/>
      <c r="D1" s="139"/>
      <c r="E1" s="139"/>
      <c r="F1" s="139"/>
      <c r="G1" s="20"/>
      <c r="H1" s="139" t="s">
        <v>76</v>
      </c>
      <c r="I1" s="139"/>
      <c r="J1" s="139"/>
      <c r="K1" s="139"/>
      <c r="L1" s="139"/>
      <c r="M1" s="20"/>
      <c r="N1" s="19"/>
      <c r="O1" s="19"/>
      <c r="P1" s="19"/>
      <c r="Q1" s="19"/>
      <c r="R1" s="19"/>
      <c r="S1" s="20"/>
      <c r="T1" s="19"/>
      <c r="U1" s="19"/>
      <c r="V1" s="19"/>
      <c r="W1" s="19"/>
      <c r="X1" s="19"/>
    </row>
    <row r="2" spans="1:24" ht="19.5" customHeight="1" x14ac:dyDescent="0.55000000000000004">
      <c r="A2" s="140"/>
      <c r="B2" s="139"/>
      <c r="C2" s="139"/>
      <c r="D2" s="139"/>
      <c r="E2" s="139"/>
      <c r="F2" s="139"/>
      <c r="G2" s="20"/>
      <c r="H2" s="139"/>
      <c r="I2" s="139"/>
      <c r="J2" s="139"/>
      <c r="K2" s="139"/>
      <c r="L2" s="139"/>
      <c r="M2" s="20"/>
      <c r="N2" s="139" t="s">
        <v>77</v>
      </c>
      <c r="O2" s="139"/>
      <c r="P2" s="139"/>
      <c r="Q2" s="139"/>
      <c r="R2" s="139"/>
      <c r="S2" s="20"/>
      <c r="T2" s="139" t="s">
        <v>78</v>
      </c>
      <c r="U2" s="139"/>
      <c r="V2" s="139"/>
      <c r="W2" s="139"/>
      <c r="X2" s="139"/>
    </row>
    <row r="3" spans="1:24" s="2" customFormat="1" ht="43.2" x14ac:dyDescent="0.55000000000000004">
      <c r="A3" s="2" t="s">
        <v>21</v>
      </c>
      <c r="B3" s="7" t="s">
        <v>66</v>
      </c>
      <c r="C3" s="7" t="s">
        <v>65</v>
      </c>
      <c r="D3" s="7" t="s">
        <v>79</v>
      </c>
      <c r="E3" s="2" t="s">
        <v>67</v>
      </c>
      <c r="F3" s="7" t="s">
        <v>57</v>
      </c>
      <c r="H3" s="2" t="s">
        <v>68</v>
      </c>
      <c r="I3" s="2" t="s">
        <v>69</v>
      </c>
      <c r="J3" s="7" t="s">
        <v>79</v>
      </c>
      <c r="K3" s="2" t="s">
        <v>58</v>
      </c>
      <c r="L3" s="7" t="s">
        <v>57</v>
      </c>
      <c r="N3" s="2" t="s">
        <v>70</v>
      </c>
      <c r="O3" s="2" t="s">
        <v>71</v>
      </c>
      <c r="P3" s="7" t="s">
        <v>79</v>
      </c>
      <c r="Q3" s="2" t="s">
        <v>58</v>
      </c>
      <c r="R3" s="7" t="s">
        <v>57</v>
      </c>
      <c r="T3" s="2" t="s">
        <v>72</v>
      </c>
      <c r="U3" s="2" t="s">
        <v>73</v>
      </c>
      <c r="V3" s="7" t="s">
        <v>79</v>
      </c>
      <c r="W3" s="2" t="s">
        <v>58</v>
      </c>
      <c r="X3" s="7" t="s">
        <v>57</v>
      </c>
    </row>
    <row r="4" spans="1:24" s="2" customFormat="1" ht="28.8" x14ac:dyDescent="0.55000000000000004">
      <c r="A4" s="23" t="s">
        <v>80</v>
      </c>
      <c r="B4" s="7"/>
      <c r="C4" s="7"/>
      <c r="D4" s="7"/>
      <c r="F4" s="7"/>
      <c r="J4" s="7"/>
      <c r="L4" s="7"/>
      <c r="P4" s="7"/>
      <c r="R4" s="7"/>
      <c r="V4" s="7"/>
      <c r="X4" s="7"/>
    </row>
    <row r="5" spans="1:24" x14ac:dyDescent="0.55000000000000004">
      <c r="A5" s="1" t="s">
        <v>1</v>
      </c>
      <c r="B5" s="11">
        <v>0.20699999999999999</v>
      </c>
      <c r="C5" s="16">
        <v>1.7999999999999999E-2</v>
      </c>
      <c r="D5" s="11">
        <f>(B5-C5)/B5</f>
        <v>0.91304347826086962</v>
      </c>
      <c r="H5" s="11">
        <v>0.125</v>
      </c>
      <c r="I5" s="11">
        <v>1.9E-2</v>
      </c>
      <c r="J5" s="6">
        <f>(H5-I5)/H5</f>
        <v>0.84799999999999998</v>
      </c>
      <c r="N5" s="11">
        <v>0.127</v>
      </c>
      <c r="O5" s="11">
        <v>2.8000000000000001E-2</v>
      </c>
      <c r="P5" s="6">
        <f>(N5-O5)/N5</f>
        <v>0.77952755905511817</v>
      </c>
      <c r="T5" s="11">
        <v>0.11899999999999999</v>
      </c>
      <c r="U5" s="11">
        <v>1.7999999999999999E-2</v>
      </c>
      <c r="V5" s="6">
        <f>(T5-U5)/T5</f>
        <v>0.84873949579831931</v>
      </c>
    </row>
    <row r="6" spans="1:24" x14ac:dyDescent="0.55000000000000004">
      <c r="A6" s="1" t="s">
        <v>2</v>
      </c>
      <c r="B6" s="11">
        <v>6.3E-2</v>
      </c>
      <c r="C6" s="16">
        <v>3.6999999999999998E-2</v>
      </c>
      <c r="D6" s="11">
        <f t="shared" ref="D6:D10" si="0">(B6-C6)/B6</f>
        <v>0.41269841269841273</v>
      </c>
      <c r="H6" s="11">
        <v>5.0999999999999997E-2</v>
      </c>
      <c r="I6" s="11">
        <v>2.7E-2</v>
      </c>
      <c r="J6" s="6">
        <f t="shared" ref="J6:J11" si="1">(H6-I6)/H6</f>
        <v>0.47058823529411764</v>
      </c>
      <c r="N6" s="11">
        <v>0.03</v>
      </c>
      <c r="O6" s="11">
        <v>2.3E-2</v>
      </c>
      <c r="P6" s="6">
        <f t="shared" ref="P6:P11" si="2">(N6-O6)/N6</f>
        <v>0.23333333333333331</v>
      </c>
      <c r="T6" s="11">
        <v>3.7999999999999999E-2</v>
      </c>
      <c r="U6" s="11">
        <v>3.6999999999999998E-2</v>
      </c>
      <c r="V6" s="6">
        <f t="shared" ref="V6:V11" si="3">(T6-U6)/T6</f>
        <v>2.6315789473684233E-2</v>
      </c>
    </row>
    <row r="7" spans="1:24" x14ac:dyDescent="0.55000000000000004">
      <c r="A7" s="1" t="s">
        <v>3</v>
      </c>
      <c r="B7" s="11">
        <v>0.152</v>
      </c>
      <c r="C7" s="16">
        <v>0.01</v>
      </c>
      <c r="D7" s="11">
        <f t="shared" si="0"/>
        <v>0.93421052631578938</v>
      </c>
      <c r="H7" s="11">
        <v>4.4999999999999998E-2</v>
      </c>
      <c r="I7" s="11">
        <v>2.1999999999999999E-2</v>
      </c>
      <c r="J7" s="6">
        <f t="shared" si="1"/>
        <v>0.51111111111111107</v>
      </c>
      <c r="N7" s="11">
        <v>2.4E-2</v>
      </c>
      <c r="O7" s="11">
        <v>1.7999999999999999E-2</v>
      </c>
      <c r="P7" s="6">
        <f t="shared" si="2"/>
        <v>0.25000000000000006</v>
      </c>
      <c r="Q7" s="13"/>
      <c r="T7" s="11">
        <v>2.5000000000000001E-2</v>
      </c>
      <c r="U7" s="11">
        <v>0.01</v>
      </c>
      <c r="V7" s="6">
        <f t="shared" si="3"/>
        <v>0.6</v>
      </c>
    </row>
    <row r="8" spans="1:24" x14ac:dyDescent="0.55000000000000004">
      <c r="A8" s="1" t="s">
        <v>59</v>
      </c>
      <c r="B8" s="11">
        <v>0.33600000000000002</v>
      </c>
      <c r="C8" s="16">
        <v>5.8000000000000003E-2</v>
      </c>
      <c r="D8" s="11">
        <f t="shared" si="0"/>
        <v>0.82738095238095244</v>
      </c>
      <c r="E8" s="13">
        <v>5953198</v>
      </c>
      <c r="F8" s="13">
        <f t="shared" ref="F8" si="4">(B8-C8)*E8</f>
        <v>1654989.0440000002</v>
      </c>
      <c r="H8" s="11">
        <v>0.19</v>
      </c>
      <c r="I8" s="11">
        <v>0.06</v>
      </c>
      <c r="J8" s="6">
        <f t="shared" si="1"/>
        <v>0.68421052631578949</v>
      </c>
      <c r="K8" s="13">
        <v>6405645</v>
      </c>
      <c r="L8" s="22">
        <f>(H8-I8)*K8</f>
        <v>832733.85</v>
      </c>
      <c r="N8" s="11">
        <v>0.16200000000000001</v>
      </c>
      <c r="O8" s="11">
        <v>6.3E-2</v>
      </c>
      <c r="P8" s="6">
        <f t="shared" si="2"/>
        <v>0.61111111111111116</v>
      </c>
      <c r="Q8" s="13">
        <v>6167847</v>
      </c>
      <c r="R8" s="22">
        <f>(N8-O8)*Q8</f>
        <v>610616.853</v>
      </c>
      <c r="T8" s="11">
        <v>0.159</v>
      </c>
      <c r="U8" s="11">
        <v>5.8000000000000003E-2</v>
      </c>
      <c r="V8" s="6">
        <f t="shared" si="3"/>
        <v>0.6352201257861636</v>
      </c>
      <c r="W8" s="13">
        <v>6418934</v>
      </c>
      <c r="X8" s="21">
        <f>(T8-U8)*W8</f>
        <v>648312.33400000003</v>
      </c>
    </row>
    <row r="9" spans="1:24" x14ac:dyDescent="0.55000000000000004">
      <c r="A9" s="1" t="s">
        <v>52</v>
      </c>
      <c r="B9" s="11">
        <v>2.4E-2</v>
      </c>
      <c r="C9" s="16">
        <v>1.2E-2</v>
      </c>
      <c r="D9" s="11">
        <f t="shared" si="0"/>
        <v>0.5</v>
      </c>
      <c r="F9" s="13"/>
      <c r="H9" s="11">
        <v>2.7E-2</v>
      </c>
      <c r="I9" s="11">
        <v>6.0000000000000001E-3</v>
      </c>
      <c r="J9" s="6">
        <f t="shared" si="1"/>
        <v>0.77777777777777768</v>
      </c>
      <c r="K9" s="13"/>
      <c r="N9" s="11">
        <v>1.7000000000000001E-2</v>
      </c>
      <c r="O9" s="11">
        <v>8.0000000000000002E-3</v>
      </c>
      <c r="P9" s="6">
        <f t="shared" si="2"/>
        <v>0.52941176470588236</v>
      </c>
      <c r="Q9" s="13"/>
      <c r="T9" s="11">
        <v>1.7000000000000001E-2</v>
      </c>
      <c r="U9" s="11">
        <v>1.2E-2</v>
      </c>
      <c r="V9" s="6">
        <f t="shared" si="3"/>
        <v>0.29411764705882354</v>
      </c>
      <c r="W9" s="13"/>
    </row>
    <row r="10" spans="1:24" x14ac:dyDescent="0.55000000000000004">
      <c r="A10" s="1" t="s">
        <v>53</v>
      </c>
      <c r="B10" s="11">
        <v>0.18</v>
      </c>
      <c r="C10" s="16">
        <v>5.2999999999999999E-2</v>
      </c>
      <c r="D10" s="11">
        <f t="shared" si="0"/>
        <v>0.7055555555555556</v>
      </c>
      <c r="F10" s="13"/>
      <c r="H10" s="11">
        <v>0.105</v>
      </c>
      <c r="I10" s="11">
        <v>7.5999999999999998E-2</v>
      </c>
      <c r="J10" s="6">
        <f t="shared" si="1"/>
        <v>0.27619047619047621</v>
      </c>
      <c r="K10" s="13"/>
      <c r="N10" s="11">
        <v>0.15</v>
      </c>
      <c r="O10" s="11">
        <v>5.8000000000000003E-2</v>
      </c>
      <c r="P10" s="6">
        <f t="shared" si="2"/>
        <v>0.6133333333333334</v>
      </c>
      <c r="Q10" s="13"/>
      <c r="T10" s="11">
        <v>0.03</v>
      </c>
      <c r="U10" s="11">
        <v>5.2999999999999999E-2</v>
      </c>
      <c r="V10" s="6">
        <f t="shared" si="3"/>
        <v>-0.76666666666666672</v>
      </c>
      <c r="W10" s="13"/>
    </row>
    <row r="11" spans="1:24" x14ac:dyDescent="0.55000000000000004">
      <c r="A11" s="1" t="s">
        <v>74</v>
      </c>
      <c r="B11" s="11">
        <v>0.379</v>
      </c>
      <c r="C11" s="16" t="s">
        <v>88</v>
      </c>
      <c r="D11" s="11"/>
      <c r="E11" s="13">
        <v>191318</v>
      </c>
      <c r="F11" t="s">
        <v>89</v>
      </c>
      <c r="H11" s="11">
        <v>0.154</v>
      </c>
      <c r="I11" s="11">
        <v>6.8000000000000005E-2</v>
      </c>
      <c r="J11" s="6">
        <f t="shared" si="1"/>
        <v>0.55844155844155841</v>
      </c>
      <c r="K11" s="13">
        <v>890459</v>
      </c>
      <c r="L11" s="22">
        <f>(H11-I11)*K11</f>
        <v>76579.473999999987</v>
      </c>
      <c r="N11" s="11">
        <v>0.14899999999999999</v>
      </c>
      <c r="O11" s="11">
        <v>8.5000000000000006E-2</v>
      </c>
      <c r="P11" s="6">
        <f t="shared" si="2"/>
        <v>0.42953020134228181</v>
      </c>
      <c r="Q11" s="13">
        <v>79038</v>
      </c>
      <c r="R11" s="22">
        <f>(N11-O11)*Q11</f>
        <v>5058.4319999999989</v>
      </c>
      <c r="T11" s="11">
        <v>9.4E-2</v>
      </c>
      <c r="U11" s="11">
        <v>8.7999999999999995E-2</v>
      </c>
      <c r="V11" s="6">
        <f t="shared" si="3"/>
        <v>6.3829787234042604E-2</v>
      </c>
      <c r="W11" s="13">
        <v>531855</v>
      </c>
      <c r="X11" s="22">
        <f>(T11-U11)*W11</f>
        <v>3191.1300000000028</v>
      </c>
    </row>
    <row r="12" spans="1:24" x14ac:dyDescent="0.55000000000000004">
      <c r="A12" s="1"/>
      <c r="B12" s="11"/>
      <c r="C12" s="16"/>
      <c r="D12" s="11"/>
      <c r="E12" s="13"/>
      <c r="H12" s="11"/>
      <c r="I12" s="11"/>
      <c r="J12" s="6"/>
      <c r="K12" s="13"/>
      <c r="L12" s="22"/>
      <c r="N12" s="11"/>
      <c r="O12" s="11"/>
      <c r="P12" s="6"/>
      <c r="Q12" s="13"/>
      <c r="R12" s="22"/>
      <c r="T12" s="11"/>
      <c r="U12" s="11"/>
      <c r="V12" s="6"/>
      <c r="W12" s="13"/>
      <c r="X12" s="22"/>
    </row>
    <row r="13" spans="1:24" ht="6.75" customHeight="1" x14ac:dyDescent="0.55000000000000004">
      <c r="A13" s="1"/>
      <c r="B13" s="11"/>
      <c r="C13" s="16"/>
      <c r="D13" s="11"/>
      <c r="E13" s="13"/>
      <c r="H13" s="11"/>
      <c r="I13" s="11"/>
      <c r="J13" s="6"/>
      <c r="K13" s="13"/>
      <c r="N13" s="11"/>
      <c r="O13" s="11"/>
      <c r="P13" s="6"/>
      <c r="Q13" s="13"/>
      <c r="T13" s="11"/>
      <c r="U13" s="11"/>
      <c r="V13" s="6"/>
      <c r="W13" s="13"/>
    </row>
    <row r="14" spans="1:24" ht="30" customHeight="1" x14ac:dyDescent="0.55000000000000004">
      <c r="A14" s="29" t="s">
        <v>81</v>
      </c>
      <c r="B14" s="11"/>
      <c r="C14" s="16"/>
      <c r="D14" s="11"/>
      <c r="E14" s="13"/>
      <c r="H14" s="11"/>
      <c r="I14" s="11"/>
      <c r="J14" s="6"/>
      <c r="K14" s="13"/>
      <c r="N14" s="11"/>
      <c r="O14" s="11"/>
      <c r="P14" s="6"/>
      <c r="Q14" s="13"/>
      <c r="T14" s="11"/>
      <c r="U14" s="11"/>
      <c r="V14" s="6"/>
      <c r="W14" s="13"/>
    </row>
    <row r="15" spans="1:24" x14ac:dyDescent="0.55000000000000004">
      <c r="A15" s="1" t="s">
        <v>1</v>
      </c>
      <c r="B15" s="11">
        <v>0.08</v>
      </c>
      <c r="C15" s="16">
        <v>6.0000000000000001E-3</v>
      </c>
      <c r="D15" s="11">
        <f>(B15-C15)/B15</f>
        <v>0.92499999999999993</v>
      </c>
      <c r="E15" s="13"/>
      <c r="H15" s="11">
        <v>6.5000000000000002E-2</v>
      </c>
      <c r="I15" s="11">
        <v>5.0000000000000001E-3</v>
      </c>
      <c r="J15" s="6">
        <f>(H15-I15)/H15</f>
        <v>0.92307692307692313</v>
      </c>
      <c r="K15" s="13"/>
      <c r="N15" s="11">
        <v>5.2999999999999999E-2</v>
      </c>
      <c r="O15" s="11">
        <v>6.0000000000000001E-3</v>
      </c>
      <c r="P15" s="6">
        <f>(N15-O15)/N15</f>
        <v>0.8867924528301887</v>
      </c>
      <c r="Q15" s="13"/>
      <c r="T15" s="11">
        <v>6.5000000000000002E-2</v>
      </c>
      <c r="U15" s="11">
        <v>5.0000000000000001E-3</v>
      </c>
      <c r="V15" s="6">
        <f>(T15-U15)/T15</f>
        <v>0.92307692307692313</v>
      </c>
      <c r="W15" s="13"/>
    </row>
    <row r="16" spans="1:24" x14ac:dyDescent="0.55000000000000004">
      <c r="A16" s="1" t="s">
        <v>2</v>
      </c>
      <c r="B16" s="11">
        <v>1E-3</v>
      </c>
      <c r="C16" s="16">
        <v>2E-3</v>
      </c>
      <c r="D16" s="11">
        <f t="shared" ref="D16:D19" si="5">(B16-C16)/B16</f>
        <v>-1</v>
      </c>
      <c r="E16" s="13"/>
      <c r="H16" s="11">
        <v>2E-3</v>
      </c>
      <c r="I16" s="11">
        <v>1E-3</v>
      </c>
      <c r="J16" s="6">
        <f t="shared" ref="J16:J19" si="6">(H16-I16)/H16</f>
        <v>0.5</v>
      </c>
      <c r="K16" s="13"/>
      <c r="N16" s="11">
        <v>2E-3</v>
      </c>
      <c r="O16" s="11">
        <v>1E-3</v>
      </c>
      <c r="P16" s="6">
        <f t="shared" ref="P16:P18" si="7">(N16-O16)/N16</f>
        <v>0.5</v>
      </c>
      <c r="Q16" s="13"/>
      <c r="T16" s="11">
        <v>2E-3</v>
      </c>
      <c r="U16" s="11">
        <v>2E-3</v>
      </c>
      <c r="V16" s="6">
        <f t="shared" ref="V16:V19" si="8">(T16-U16)/T16</f>
        <v>0</v>
      </c>
      <c r="W16" s="13"/>
    </row>
    <row r="17" spans="1:24" x14ac:dyDescent="0.55000000000000004">
      <c r="A17" s="1" t="s">
        <v>3</v>
      </c>
      <c r="B17" s="11">
        <v>4.0000000000000001E-3</v>
      </c>
      <c r="C17" s="16">
        <v>0</v>
      </c>
      <c r="D17" s="25">
        <f t="shared" si="5"/>
        <v>1</v>
      </c>
      <c r="E17" s="13"/>
      <c r="H17" s="11">
        <v>2E-3</v>
      </c>
      <c r="I17" s="11">
        <v>0</v>
      </c>
      <c r="J17" s="6">
        <f t="shared" si="6"/>
        <v>1</v>
      </c>
      <c r="K17" s="13"/>
      <c r="N17" s="11">
        <v>0</v>
      </c>
      <c r="O17" s="11">
        <v>0</v>
      </c>
      <c r="P17" s="6" t="s">
        <v>82</v>
      </c>
      <c r="Q17" s="13"/>
      <c r="T17" s="11">
        <v>2E-3</v>
      </c>
      <c r="U17" s="11">
        <v>0</v>
      </c>
      <c r="V17" s="6">
        <f t="shared" si="8"/>
        <v>1</v>
      </c>
      <c r="W17" s="13"/>
    </row>
    <row r="18" spans="1:24" x14ac:dyDescent="0.55000000000000004">
      <c r="A18" s="1" t="s">
        <v>59</v>
      </c>
      <c r="B18" s="11">
        <v>8.4000000000000005E-2</v>
      </c>
      <c r="C18" s="16">
        <v>8.9999999999999993E-3</v>
      </c>
      <c r="D18" s="11">
        <f t="shared" si="5"/>
        <v>0.8928571428571429</v>
      </c>
      <c r="E18" s="13">
        <v>5953198</v>
      </c>
      <c r="F18" s="26">
        <f>(B18-C18)*E18</f>
        <v>446489.85000000009</v>
      </c>
      <c r="H18" s="11">
        <v>6.8000000000000005E-2</v>
      </c>
      <c r="I18" s="11">
        <v>6.0000000000000001E-3</v>
      </c>
      <c r="J18" s="6">
        <f t="shared" si="6"/>
        <v>0.91176470588235292</v>
      </c>
      <c r="K18" s="13">
        <v>6405645</v>
      </c>
      <c r="L18" s="21">
        <f>(H18-I18)*K18</f>
        <v>397149.99000000005</v>
      </c>
      <c r="N18" s="11">
        <v>5.6000000000000001E-2</v>
      </c>
      <c r="O18" s="11">
        <v>7.0000000000000001E-3</v>
      </c>
      <c r="P18" s="6">
        <f t="shared" si="7"/>
        <v>0.875</v>
      </c>
      <c r="Q18" s="13">
        <v>6167847</v>
      </c>
      <c r="R18" s="21">
        <f>(N18-O18)*Q18</f>
        <v>302224.50300000003</v>
      </c>
      <c r="T18" s="11">
        <v>6.8000000000000005E-2</v>
      </c>
      <c r="U18" s="11">
        <v>7.0000000000000001E-3</v>
      </c>
      <c r="V18" s="6">
        <f t="shared" si="8"/>
        <v>0.8970588235294118</v>
      </c>
      <c r="W18" s="13">
        <v>6418934</v>
      </c>
      <c r="X18" s="21">
        <f>(T18-U18)*W18</f>
        <v>391554.97400000005</v>
      </c>
    </row>
    <row r="19" spans="1:24" ht="18" customHeight="1" x14ac:dyDescent="0.55000000000000004">
      <c r="A19" s="1" t="s">
        <v>74</v>
      </c>
      <c r="B19" s="11">
        <v>1.7000000000000001E-2</v>
      </c>
      <c r="C19" s="16">
        <v>1.4E-2</v>
      </c>
      <c r="D19" s="11">
        <f t="shared" si="5"/>
        <v>0.17647058823529416</v>
      </c>
      <c r="E19" s="13"/>
      <c r="H19" s="11">
        <v>2.5000000000000001E-2</v>
      </c>
      <c r="I19" s="11">
        <v>7.0000000000000001E-3</v>
      </c>
      <c r="J19" s="6">
        <f t="shared" si="6"/>
        <v>0.72000000000000008</v>
      </c>
      <c r="K19" s="13"/>
      <c r="N19" s="11">
        <v>0.02</v>
      </c>
      <c r="O19" s="11">
        <v>3.0000000000000001E-3</v>
      </c>
      <c r="P19" s="6"/>
      <c r="Q19" s="13"/>
      <c r="T19" s="11">
        <v>2.1000000000000001E-2</v>
      </c>
      <c r="U19" s="11">
        <v>0.01</v>
      </c>
      <c r="V19" s="6">
        <f t="shared" si="8"/>
        <v>0.52380952380952384</v>
      </c>
      <c r="W19" s="13"/>
    </row>
    <row r="20" spans="1:24" ht="18" customHeight="1" x14ac:dyDescent="0.55000000000000004">
      <c r="A20" s="1"/>
      <c r="B20" s="11"/>
      <c r="C20" s="16"/>
      <c r="D20" s="11"/>
      <c r="E20" s="13"/>
      <c r="H20" s="11"/>
      <c r="I20" s="11"/>
      <c r="J20" s="6"/>
      <c r="K20" s="13"/>
      <c r="N20" s="11"/>
      <c r="O20" s="11"/>
      <c r="P20" s="6"/>
      <c r="Q20" s="13"/>
      <c r="T20" s="11"/>
      <c r="U20" s="11"/>
      <c r="V20" s="6"/>
      <c r="W20" s="13"/>
    </row>
    <row r="21" spans="1:24" ht="9" customHeight="1" x14ac:dyDescent="0.55000000000000004">
      <c r="A21" s="1"/>
      <c r="B21" s="11"/>
      <c r="C21" s="16"/>
      <c r="D21" s="11"/>
      <c r="E21" s="13"/>
      <c r="H21" s="11"/>
      <c r="I21" s="11"/>
      <c r="J21" s="6"/>
      <c r="K21" s="13"/>
      <c r="N21" s="11"/>
      <c r="O21" s="11"/>
      <c r="P21" s="6"/>
      <c r="Q21" s="13"/>
      <c r="T21" s="11"/>
      <c r="U21" s="11"/>
      <c r="V21" s="6"/>
      <c r="W21" s="13"/>
    </row>
    <row r="22" spans="1:24" ht="28.8" x14ac:dyDescent="0.55000000000000004">
      <c r="A22" s="24" t="s">
        <v>22</v>
      </c>
    </row>
    <row r="23" spans="1:24" x14ac:dyDescent="0.55000000000000004">
      <c r="A23" s="1" t="s">
        <v>1</v>
      </c>
      <c r="B23" s="12">
        <v>1914</v>
      </c>
      <c r="C23" s="18">
        <v>108</v>
      </c>
      <c r="H23">
        <v>1078</v>
      </c>
      <c r="I23">
        <v>82</v>
      </c>
      <c r="N23">
        <v>909</v>
      </c>
      <c r="O23">
        <v>117</v>
      </c>
      <c r="T23">
        <v>1135</v>
      </c>
      <c r="U23">
        <v>114</v>
      </c>
    </row>
    <row r="24" spans="1:24" x14ac:dyDescent="0.55000000000000004">
      <c r="A24" s="1" t="s">
        <v>2</v>
      </c>
      <c r="B24" s="12">
        <v>36</v>
      </c>
      <c r="C24" s="18">
        <v>12</v>
      </c>
      <c r="H24">
        <v>14</v>
      </c>
      <c r="I24">
        <v>5</v>
      </c>
      <c r="N24">
        <v>8</v>
      </c>
      <c r="O24">
        <v>6</v>
      </c>
      <c r="T24">
        <v>20</v>
      </c>
      <c r="U24">
        <v>12</v>
      </c>
    </row>
    <row r="25" spans="1:24" x14ac:dyDescent="0.55000000000000004">
      <c r="A25" s="1" t="s">
        <v>3</v>
      </c>
      <c r="B25" s="12">
        <v>62</v>
      </c>
      <c r="C25" s="18">
        <v>7</v>
      </c>
      <c r="H25">
        <v>18</v>
      </c>
      <c r="I25">
        <v>4</v>
      </c>
      <c r="N25">
        <v>6</v>
      </c>
      <c r="O25">
        <v>6</v>
      </c>
      <c r="T25">
        <v>33</v>
      </c>
      <c r="U25">
        <v>2</v>
      </c>
    </row>
    <row r="26" spans="1:24" x14ac:dyDescent="0.55000000000000004">
      <c r="A26" s="1" t="s">
        <v>59</v>
      </c>
      <c r="B26" s="12">
        <v>2012</v>
      </c>
      <c r="C26" s="18">
        <v>127</v>
      </c>
      <c r="H26">
        <v>1110</v>
      </c>
      <c r="I26">
        <v>90</v>
      </c>
      <c r="N26">
        <v>922</v>
      </c>
      <c r="O26">
        <v>128</v>
      </c>
      <c r="T26">
        <v>1188</v>
      </c>
      <c r="U26">
        <v>128</v>
      </c>
    </row>
    <row r="27" spans="1:24" x14ac:dyDescent="0.55000000000000004">
      <c r="A27" s="1" t="s">
        <v>52</v>
      </c>
      <c r="B27" s="12">
        <v>14</v>
      </c>
      <c r="C27" s="18">
        <v>27</v>
      </c>
      <c r="H27">
        <v>15</v>
      </c>
      <c r="I27">
        <v>2</v>
      </c>
      <c r="N27">
        <v>8</v>
      </c>
      <c r="O27">
        <v>1</v>
      </c>
      <c r="T27">
        <v>6</v>
      </c>
      <c r="U27">
        <v>4</v>
      </c>
    </row>
    <row r="28" spans="1:24" x14ac:dyDescent="0.55000000000000004">
      <c r="A28" s="1" t="s">
        <v>53</v>
      </c>
      <c r="B28" s="12">
        <v>20</v>
      </c>
      <c r="C28" s="18">
        <v>7</v>
      </c>
      <c r="H28">
        <v>5</v>
      </c>
      <c r="I28">
        <v>4</v>
      </c>
      <c r="N28">
        <v>9</v>
      </c>
      <c r="O28">
        <v>1</v>
      </c>
      <c r="T28">
        <v>3</v>
      </c>
      <c r="U28">
        <v>2</v>
      </c>
    </row>
    <row r="29" spans="1:24" x14ac:dyDescent="0.55000000000000004">
      <c r="A29" s="1" t="s">
        <v>74</v>
      </c>
      <c r="B29" s="12">
        <v>20</v>
      </c>
      <c r="C29" t="s">
        <v>90</v>
      </c>
      <c r="H29">
        <v>5</v>
      </c>
      <c r="I29">
        <v>4</v>
      </c>
      <c r="N29">
        <v>7</v>
      </c>
      <c r="O29">
        <v>2</v>
      </c>
      <c r="T29">
        <v>3</v>
      </c>
      <c r="U29">
        <v>6</v>
      </c>
    </row>
    <row r="30" spans="1:24" ht="8.25" customHeight="1" x14ac:dyDescent="0.55000000000000004"/>
    <row r="31" spans="1:24" ht="43.2" hidden="1" x14ac:dyDescent="0.55000000000000004">
      <c r="A31" s="24" t="s">
        <v>83</v>
      </c>
    </row>
    <row r="32" spans="1:24" hidden="1" x14ac:dyDescent="0.55000000000000004">
      <c r="A32" s="1" t="s">
        <v>1</v>
      </c>
      <c r="B32" s="6">
        <f>B23/5000</f>
        <v>0.38279999999999997</v>
      </c>
      <c r="C32" s="6">
        <f>C23/5000</f>
        <v>2.1600000000000001E-2</v>
      </c>
      <c r="H32" s="6">
        <f>H23/5000</f>
        <v>0.21560000000000001</v>
      </c>
      <c r="I32" s="6">
        <f>I23/5000</f>
        <v>1.6400000000000001E-2</v>
      </c>
      <c r="N32" s="6">
        <f>N23/5000</f>
        <v>0.18179999999999999</v>
      </c>
      <c r="O32" s="6">
        <f>O23/5000</f>
        <v>2.3400000000000001E-2</v>
      </c>
      <c r="T32" s="6">
        <f>T23/5000</f>
        <v>0.22700000000000001</v>
      </c>
      <c r="U32" s="6">
        <f>U23/5000</f>
        <v>2.2800000000000001E-2</v>
      </c>
    </row>
    <row r="33" spans="1:21" hidden="1" x14ac:dyDescent="0.55000000000000004">
      <c r="A33" s="1" t="s">
        <v>2</v>
      </c>
      <c r="B33" s="6">
        <f>B24/400</f>
        <v>0.09</v>
      </c>
      <c r="C33" s="6">
        <f>C24/400</f>
        <v>0.03</v>
      </c>
      <c r="H33" s="6">
        <f>H24/400</f>
        <v>3.5000000000000003E-2</v>
      </c>
      <c r="I33" s="6">
        <f>I24/400</f>
        <v>1.2500000000000001E-2</v>
      </c>
      <c r="N33" s="6">
        <f>N24/400</f>
        <v>0.02</v>
      </c>
      <c r="O33" s="6">
        <f>O24/400</f>
        <v>1.4999999999999999E-2</v>
      </c>
      <c r="T33" s="6">
        <f>T24/400</f>
        <v>0.05</v>
      </c>
      <c r="U33" s="6">
        <f>U24/400</f>
        <v>0.03</v>
      </c>
    </row>
    <row r="34" spans="1:21" hidden="1" x14ac:dyDescent="0.55000000000000004">
      <c r="A34" s="1" t="s">
        <v>3</v>
      </c>
      <c r="B34" s="6">
        <f>B25/750</f>
        <v>8.2666666666666666E-2</v>
      </c>
      <c r="C34" s="6">
        <f>C25/750</f>
        <v>9.3333333333333341E-3</v>
      </c>
      <c r="H34" s="6">
        <f>H25/750</f>
        <v>2.4E-2</v>
      </c>
      <c r="I34" s="6">
        <f>I25/750</f>
        <v>5.3333333333333332E-3</v>
      </c>
      <c r="N34" s="6">
        <f>N25/750</f>
        <v>8.0000000000000002E-3</v>
      </c>
      <c r="O34" s="6">
        <f>O25/750</f>
        <v>8.0000000000000002E-3</v>
      </c>
      <c r="T34" s="6">
        <f>T25/750</f>
        <v>4.3999999999999997E-2</v>
      </c>
      <c r="U34" s="6">
        <f>U25/750</f>
        <v>2.6666666666666666E-3</v>
      </c>
    </row>
    <row r="35" spans="1:21" hidden="1" x14ac:dyDescent="0.55000000000000004">
      <c r="A35" s="1" t="s">
        <v>84</v>
      </c>
      <c r="B35" s="9">
        <f>AVERAGE(B32:B34)</f>
        <v>0.18515555555555555</v>
      </c>
      <c r="C35" s="9">
        <f>AVERAGE(C32:C34)</f>
        <v>2.031111111111111E-2</v>
      </c>
      <c r="H35" s="6">
        <f>AVERAGE(H32:H34)</f>
        <v>9.1533333333333355E-2</v>
      </c>
      <c r="I35" s="6">
        <f>AVERAGE(I32:I34)</f>
        <v>1.1411111111111113E-2</v>
      </c>
      <c r="N35" s="6">
        <f>AVERAGE(N32:N34)</f>
        <v>6.9933333333333333E-2</v>
      </c>
      <c r="O35" s="6">
        <f>AVERAGE(O32:O34)</f>
        <v>1.5466666666666668E-2</v>
      </c>
      <c r="T35" s="6">
        <f>AVERAGE(T32:T34)</f>
        <v>0.107</v>
      </c>
      <c r="U35" s="6">
        <f>AVERAGE(U32:U34)</f>
        <v>1.8488888888888888E-2</v>
      </c>
    </row>
    <row r="36" spans="1:21" hidden="1" x14ac:dyDescent="0.55000000000000004">
      <c r="A36" s="1" t="s">
        <v>52</v>
      </c>
      <c r="B36" s="6">
        <f>B27/250</f>
        <v>5.6000000000000001E-2</v>
      </c>
      <c r="C36" s="6">
        <f>C27/250</f>
        <v>0.108</v>
      </c>
      <c r="H36" s="6">
        <f>H27/250</f>
        <v>0.06</v>
      </c>
      <c r="I36" s="6">
        <f>I27/250</f>
        <v>8.0000000000000002E-3</v>
      </c>
      <c r="N36" s="6">
        <f>N27/250</f>
        <v>3.2000000000000001E-2</v>
      </c>
      <c r="O36" s="6">
        <f>O27/250</f>
        <v>4.0000000000000001E-3</v>
      </c>
      <c r="T36" s="6">
        <f>T27/250</f>
        <v>2.4E-2</v>
      </c>
      <c r="U36" s="6">
        <f>U27/250</f>
        <v>1.6E-2</v>
      </c>
    </row>
    <row r="37" spans="1:21" hidden="1" x14ac:dyDescent="0.55000000000000004">
      <c r="A37" s="27" t="s">
        <v>53</v>
      </c>
      <c r="B37" s="6">
        <f>B28/250</f>
        <v>0.08</v>
      </c>
      <c r="C37" s="6">
        <f>C28/250</f>
        <v>2.8000000000000001E-2</v>
      </c>
      <c r="H37" s="6">
        <f>H28/250</f>
        <v>0.02</v>
      </c>
      <c r="I37" s="6">
        <f>I28/250</f>
        <v>1.6E-2</v>
      </c>
      <c r="N37" s="6">
        <f>N28/250</f>
        <v>3.5999999999999997E-2</v>
      </c>
      <c r="O37" s="6">
        <f>O28/250</f>
        <v>4.0000000000000001E-3</v>
      </c>
      <c r="T37" s="6">
        <f>T28/250</f>
        <v>1.2E-2</v>
      </c>
      <c r="U37" s="6">
        <f>U28/250</f>
        <v>8.0000000000000002E-3</v>
      </c>
    </row>
    <row r="38" spans="1:21" ht="8.25" customHeight="1" x14ac:dyDescent="0.55000000000000004"/>
    <row r="39" spans="1:21" ht="28.8" hidden="1" x14ac:dyDescent="0.55000000000000004">
      <c r="A39" s="24" t="s">
        <v>86</v>
      </c>
    </row>
    <row r="40" spans="1:21" hidden="1" x14ac:dyDescent="0.55000000000000004">
      <c r="A40" s="1" t="s">
        <v>1</v>
      </c>
      <c r="B40" s="9" t="e">
        <f>B5/#REF!</f>
        <v>#REF!</v>
      </c>
    </row>
    <row r="41" spans="1:21" hidden="1" x14ac:dyDescent="0.55000000000000004">
      <c r="A41" s="1" t="s">
        <v>2</v>
      </c>
      <c r="B41" s="9" t="e">
        <f>B6/#REF!</f>
        <v>#REF!</v>
      </c>
      <c r="C41" s="28"/>
    </row>
    <row r="42" spans="1:21" hidden="1" x14ac:dyDescent="0.55000000000000004">
      <c r="A42" s="1" t="s">
        <v>3</v>
      </c>
      <c r="B42" s="9" t="e">
        <f>B7/#REF!</f>
        <v>#REF!</v>
      </c>
    </row>
    <row r="43" spans="1:21" hidden="1" x14ac:dyDescent="0.55000000000000004">
      <c r="A43" s="1" t="s">
        <v>74</v>
      </c>
      <c r="B43" s="9" t="e">
        <f>B11/#REF!</f>
        <v>#REF!</v>
      </c>
    </row>
    <row r="44" spans="1:21" ht="12.75" hidden="1" customHeight="1" x14ac:dyDescent="0.55000000000000004">
      <c r="B44" s="9" t="e">
        <f>AVERAGE(B40:B42)</f>
        <v>#REF!</v>
      </c>
    </row>
    <row r="45" spans="1:21" ht="43.2" hidden="1" x14ac:dyDescent="0.55000000000000004">
      <c r="A45" s="24" t="s">
        <v>87</v>
      </c>
    </row>
    <row r="46" spans="1:21" hidden="1" x14ac:dyDescent="0.55000000000000004">
      <c r="A46" s="1" t="s">
        <v>1</v>
      </c>
      <c r="B46" s="9" t="e">
        <f>B15/#REF!</f>
        <v>#REF!</v>
      </c>
    </row>
    <row r="47" spans="1:21" hidden="1" x14ac:dyDescent="0.55000000000000004">
      <c r="A47" s="1" t="s">
        <v>2</v>
      </c>
      <c r="B47" s="9" t="e">
        <f>B16/#REF!</f>
        <v>#REF!</v>
      </c>
    </row>
    <row r="48" spans="1:21" hidden="1" x14ac:dyDescent="0.55000000000000004">
      <c r="A48" s="1" t="s">
        <v>3</v>
      </c>
      <c r="B48" s="9" t="e">
        <f>B17/#REF!</f>
        <v>#REF!</v>
      </c>
    </row>
    <row r="49" spans="1:2" hidden="1" x14ac:dyDescent="0.55000000000000004">
      <c r="A49" s="1" t="s">
        <v>74</v>
      </c>
      <c r="B49" s="9" t="e">
        <f>B19/#REF!</f>
        <v>#REF!</v>
      </c>
    </row>
    <row r="50" spans="1:2" hidden="1" x14ac:dyDescent="0.55000000000000004">
      <c r="B50" s="9" t="e">
        <f>AVERAGE(B46:B49)</f>
        <v>#REF!</v>
      </c>
    </row>
    <row r="51" spans="1:2" ht="28.8" hidden="1" x14ac:dyDescent="0.55000000000000004">
      <c r="A51" s="24" t="s">
        <v>85</v>
      </c>
    </row>
    <row r="52" spans="1:2" hidden="1" x14ac:dyDescent="0.55000000000000004">
      <c r="A52" s="1" t="s">
        <v>1</v>
      </c>
      <c r="B52" s="6" t="e">
        <f>B23/#REF!</f>
        <v>#REF!</v>
      </c>
    </row>
    <row r="53" spans="1:2" hidden="1" x14ac:dyDescent="0.55000000000000004">
      <c r="A53" s="1" t="s">
        <v>2</v>
      </c>
      <c r="B53" s="6" t="e">
        <f>B24/#REF!</f>
        <v>#REF!</v>
      </c>
    </row>
    <row r="54" spans="1:2" hidden="1" x14ac:dyDescent="0.55000000000000004">
      <c r="A54" s="1" t="s">
        <v>3</v>
      </c>
      <c r="B54" s="6" t="e">
        <f>B25/#REF!</f>
        <v>#REF!</v>
      </c>
    </row>
    <row r="55" spans="1:2" hidden="1" x14ac:dyDescent="0.55000000000000004">
      <c r="A55" s="1" t="s">
        <v>74</v>
      </c>
      <c r="B55" s="6" t="e">
        <f>B29/#REF!</f>
        <v>#REF!</v>
      </c>
    </row>
    <row r="56" spans="1:2" hidden="1" x14ac:dyDescent="0.55000000000000004">
      <c r="B56" s="9" t="e">
        <f>AVERAGE(B52:B55)</f>
        <v>#REF!</v>
      </c>
    </row>
    <row r="57" spans="1:2" hidden="1" x14ac:dyDescent="0.55000000000000004"/>
  </sheetData>
  <mergeCells count="5">
    <mergeCell ref="N2:R2"/>
    <mergeCell ref="T2:X2"/>
    <mergeCell ref="A1:A2"/>
    <mergeCell ref="B1:F2"/>
    <mergeCell ref="H1:L2"/>
  </mergeCells>
  <conditionalFormatting sqref="A9:A14">
    <cfRule type="duplicateValues" dxfId="12" priority="10"/>
  </conditionalFormatting>
  <conditionalFormatting sqref="A27:A28">
    <cfRule type="duplicateValues" dxfId="11" priority="9"/>
  </conditionalFormatting>
  <conditionalFormatting sqref="A29">
    <cfRule type="duplicateValues" dxfId="10" priority="8"/>
  </conditionalFormatting>
  <conditionalFormatting sqref="A19 A21">
    <cfRule type="duplicateValues" dxfId="9" priority="12"/>
  </conditionalFormatting>
  <conditionalFormatting sqref="A36:A37">
    <cfRule type="duplicateValues" dxfId="8" priority="6"/>
  </conditionalFormatting>
  <conditionalFormatting sqref="A43">
    <cfRule type="duplicateValues" dxfId="7" priority="5"/>
  </conditionalFormatting>
  <conditionalFormatting sqref="A49">
    <cfRule type="duplicateValues" dxfId="6" priority="4"/>
  </conditionalFormatting>
  <conditionalFormatting sqref="A20">
    <cfRule type="duplicateValues" dxfId="5" priority="2"/>
  </conditionalFormatting>
  <conditionalFormatting sqref="A55">
    <cfRule type="duplicateValues" dxfId="4"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9"/>
  <sheetViews>
    <sheetView zoomScale="70" zoomScaleNormal="70" workbookViewId="0">
      <selection activeCell="B9" sqref="B9"/>
    </sheetView>
  </sheetViews>
  <sheetFormatPr defaultRowHeight="14.4" x14ac:dyDescent="0.55000000000000004"/>
  <cols>
    <col min="1" max="1" width="21.83984375" bestFit="1" customWidth="1"/>
    <col min="2" max="2" width="32.41796875" bestFit="1" customWidth="1"/>
    <col min="3" max="3" width="32.41796875" customWidth="1"/>
    <col min="4" max="4" width="33.68359375" bestFit="1" customWidth="1"/>
    <col min="5" max="5" width="33.68359375" customWidth="1"/>
    <col min="6" max="7" width="31.15625" customWidth="1"/>
    <col min="8" max="8" width="34.26171875" customWidth="1"/>
    <col min="9" max="9" width="23.68359375" customWidth="1"/>
    <col min="10" max="10" width="26.83984375" customWidth="1"/>
    <col min="11" max="11" width="19.83984375" customWidth="1"/>
    <col min="12" max="12" width="40.41796875" customWidth="1"/>
    <col min="13" max="13" width="42.578125" customWidth="1"/>
    <col min="14" max="14" width="52.41796875" customWidth="1"/>
    <col min="15" max="15" width="60.68359375" customWidth="1"/>
  </cols>
  <sheetData>
    <row r="1" spans="1:8" ht="25.8" x14ac:dyDescent="0.95">
      <c r="A1" s="50" t="s">
        <v>226</v>
      </c>
      <c r="D1" s="50" t="s">
        <v>220</v>
      </c>
      <c r="G1" s="50" t="s">
        <v>222</v>
      </c>
    </row>
    <row r="3" spans="1:8" ht="28.8" x14ac:dyDescent="0.55000000000000004">
      <c r="A3" s="54" t="s">
        <v>91</v>
      </c>
      <c r="B3" s="55" t="s">
        <v>223</v>
      </c>
      <c r="D3" s="54" t="s">
        <v>91</v>
      </c>
      <c r="E3" s="55" t="s">
        <v>224</v>
      </c>
      <c r="G3" s="54" t="s">
        <v>91</v>
      </c>
      <c r="H3" s="55" t="s">
        <v>225</v>
      </c>
    </row>
    <row r="4" spans="1:8" x14ac:dyDescent="0.55000000000000004">
      <c r="A4" s="62" t="s">
        <v>122</v>
      </c>
      <c r="B4" s="52"/>
      <c r="D4" s="62" t="s">
        <v>122</v>
      </c>
      <c r="E4" s="52"/>
      <c r="G4" s="62" t="s">
        <v>122</v>
      </c>
      <c r="H4" s="52"/>
    </row>
    <row r="5" spans="1:8" x14ac:dyDescent="0.55000000000000004">
      <c r="A5" s="51" t="s">
        <v>51</v>
      </c>
      <c r="B5" s="122">
        <f>(C72*$C$21)+(E72*$E$21)+(G72*$G$21)+(K72*I21)</f>
        <v>0.26159061348569779</v>
      </c>
      <c r="D5" s="51" t="s">
        <v>51</v>
      </c>
      <c r="E5" s="101">
        <f>(C51*$C$21)+(E51*$E$21)+(G51*$G$21)+(K51*I21)</f>
        <v>0.19396753246753246</v>
      </c>
      <c r="G5" s="51" t="s">
        <v>51</v>
      </c>
      <c r="H5" s="101">
        <f t="shared" ref="H5:H18" si="0">(C28*$C$21)+(E28*$E$21)+(G28*$G$21)</f>
        <v>8.4499999999999992E-2</v>
      </c>
    </row>
    <row r="6" spans="1:8" x14ac:dyDescent="0.55000000000000004">
      <c r="A6" s="51" t="s">
        <v>141</v>
      </c>
      <c r="B6" s="52">
        <f t="shared" ref="B6:B18" si="1">(C73*$C$21)+(E73*$E$21)+(G73*$G$21)</f>
        <v>0</v>
      </c>
      <c r="D6" s="51" t="s">
        <v>141</v>
      </c>
      <c r="E6" s="64">
        <f t="shared" ref="E6:E18" si="2">(C52*$C$21)+(E52*$E$21)+(G52*$G$21)</f>
        <v>0</v>
      </c>
      <c r="G6" s="51" t="s">
        <v>141</v>
      </c>
      <c r="H6" s="64" t="e">
        <f t="shared" si="0"/>
        <v>#VALUE!</v>
      </c>
    </row>
    <row r="7" spans="1:8" x14ac:dyDescent="0.55000000000000004">
      <c r="A7" s="51" t="s">
        <v>146</v>
      </c>
      <c r="B7" s="52">
        <f t="shared" si="1"/>
        <v>0</v>
      </c>
      <c r="D7" s="51" t="s">
        <v>146</v>
      </c>
      <c r="E7" s="64">
        <f t="shared" si="2"/>
        <v>0</v>
      </c>
      <c r="G7" s="51" t="s">
        <v>146</v>
      </c>
      <c r="H7" s="64">
        <f t="shared" si="0"/>
        <v>0</v>
      </c>
    </row>
    <row r="8" spans="1:8" x14ac:dyDescent="0.55000000000000004">
      <c r="A8" s="51" t="s">
        <v>147</v>
      </c>
      <c r="B8" s="52">
        <f t="shared" si="1"/>
        <v>0</v>
      </c>
      <c r="D8" s="51" t="s">
        <v>147</v>
      </c>
      <c r="E8" s="64">
        <f t="shared" si="2"/>
        <v>0</v>
      </c>
      <c r="G8" s="51" t="s">
        <v>147</v>
      </c>
      <c r="H8" s="64">
        <f t="shared" si="0"/>
        <v>0</v>
      </c>
    </row>
    <row r="9" spans="1:8" x14ac:dyDescent="0.55000000000000004">
      <c r="A9" s="51" t="s">
        <v>221</v>
      </c>
      <c r="B9" s="52">
        <f t="shared" si="1"/>
        <v>0</v>
      </c>
      <c r="D9" s="51" t="s">
        <v>221</v>
      </c>
      <c r="E9" s="64">
        <f t="shared" si="2"/>
        <v>0</v>
      </c>
      <c r="G9" s="51" t="s">
        <v>221</v>
      </c>
      <c r="H9" s="64">
        <f t="shared" si="0"/>
        <v>0</v>
      </c>
    </row>
    <row r="10" spans="1:8" x14ac:dyDescent="0.55000000000000004">
      <c r="A10" s="51" t="s">
        <v>98</v>
      </c>
      <c r="B10" s="52">
        <f t="shared" si="1"/>
        <v>0</v>
      </c>
      <c r="D10" s="51" t="s">
        <v>98</v>
      </c>
      <c r="E10" s="64">
        <f t="shared" si="2"/>
        <v>4.9098701298701294E-2</v>
      </c>
      <c r="G10" s="51" t="s">
        <v>98</v>
      </c>
      <c r="H10" s="64">
        <f t="shared" si="0"/>
        <v>2.1093749999999998E-2</v>
      </c>
    </row>
    <row r="11" spans="1:8" x14ac:dyDescent="0.55000000000000004">
      <c r="A11" s="51" t="s">
        <v>99</v>
      </c>
      <c r="B11" s="52">
        <f t="shared" si="1"/>
        <v>0.19822219278724196</v>
      </c>
      <c r="D11" s="51" t="s">
        <v>99</v>
      </c>
      <c r="E11" s="64">
        <f t="shared" si="2"/>
        <v>0.3646688311688312</v>
      </c>
      <c r="G11" s="51" t="s">
        <v>99</v>
      </c>
      <c r="H11" s="64">
        <f t="shared" si="0"/>
        <v>0.16010000000000002</v>
      </c>
    </row>
    <row r="12" spans="1:8" x14ac:dyDescent="0.55000000000000004">
      <c r="A12" s="51" t="s">
        <v>100</v>
      </c>
      <c r="B12" s="52" t="e">
        <f t="shared" si="1"/>
        <v>#VALUE!</v>
      </c>
      <c r="D12" s="51" t="s">
        <v>100</v>
      </c>
      <c r="E12" s="64">
        <f t="shared" si="2"/>
        <v>4.7475714285714281E-2</v>
      </c>
      <c r="G12" s="51" t="s">
        <v>100</v>
      </c>
      <c r="H12" s="64">
        <f t="shared" si="0"/>
        <v>3.4687499999999996E-5</v>
      </c>
    </row>
    <row r="13" spans="1:8" x14ac:dyDescent="0.55000000000000004">
      <c r="A13" s="51" t="s">
        <v>101</v>
      </c>
      <c r="B13" s="52" t="e">
        <f t="shared" si="1"/>
        <v>#VALUE!</v>
      </c>
      <c r="D13" s="51" t="s">
        <v>101</v>
      </c>
      <c r="E13" s="64">
        <f t="shared" si="2"/>
        <v>0.34955844155844151</v>
      </c>
      <c r="G13" s="51" t="s">
        <v>101</v>
      </c>
      <c r="H13" s="64">
        <f t="shared" si="0"/>
        <v>0.13300000000000001</v>
      </c>
    </row>
    <row r="14" spans="1:8" x14ac:dyDescent="0.55000000000000004">
      <c r="A14" s="51" t="s">
        <v>102</v>
      </c>
      <c r="B14" s="52" t="e">
        <f t="shared" si="1"/>
        <v>#VALUE!</v>
      </c>
      <c r="D14" s="51" t="s">
        <v>102</v>
      </c>
      <c r="E14" s="64">
        <f t="shared" si="2"/>
        <v>0.292474025974026</v>
      </c>
      <c r="G14" s="51" t="s">
        <v>102</v>
      </c>
      <c r="H14" s="64">
        <f t="shared" si="0"/>
        <v>3.2062500000000001E-2</v>
      </c>
    </row>
    <row r="15" spans="1:8" x14ac:dyDescent="0.55000000000000004">
      <c r="A15" s="51" t="s">
        <v>103</v>
      </c>
      <c r="B15" s="52" t="e">
        <f t="shared" si="1"/>
        <v>#VALUE!</v>
      </c>
      <c r="D15" s="51" t="s">
        <v>103</v>
      </c>
      <c r="E15" s="64">
        <f t="shared" si="2"/>
        <v>7.6584415584415588E-2</v>
      </c>
      <c r="G15" s="51" t="s">
        <v>103</v>
      </c>
      <c r="H15" s="64" t="e">
        <f t="shared" si="0"/>
        <v>#VALUE!</v>
      </c>
    </row>
    <row r="16" spans="1:8" x14ac:dyDescent="0.55000000000000004">
      <c r="A16" s="51" t="s">
        <v>104</v>
      </c>
      <c r="B16" s="52" t="e">
        <f t="shared" si="1"/>
        <v>#VALUE!</v>
      </c>
      <c r="D16" s="51" t="s">
        <v>104</v>
      </c>
      <c r="E16" s="64">
        <f t="shared" si="2"/>
        <v>0.2246298701298701</v>
      </c>
      <c r="G16" s="51" t="s">
        <v>104</v>
      </c>
      <c r="H16" s="64">
        <f t="shared" si="0"/>
        <v>5.2499999999999995E-3</v>
      </c>
    </row>
    <row r="17" spans="1:22" x14ac:dyDescent="0.55000000000000004">
      <c r="A17" s="51" t="s">
        <v>105</v>
      </c>
      <c r="B17" s="52" t="e">
        <f t="shared" si="1"/>
        <v>#VALUE!</v>
      </c>
      <c r="D17" s="51" t="s">
        <v>105</v>
      </c>
      <c r="E17" s="64">
        <f t="shared" si="2"/>
        <v>0.22758441558441558</v>
      </c>
      <c r="G17" s="51" t="s">
        <v>105</v>
      </c>
      <c r="H17" s="64">
        <f t="shared" si="0"/>
        <v>0.10987500000000001</v>
      </c>
    </row>
    <row r="18" spans="1:22" x14ac:dyDescent="0.55000000000000004">
      <c r="A18" s="51" t="s">
        <v>106</v>
      </c>
      <c r="B18" s="52">
        <f t="shared" si="1"/>
        <v>0</v>
      </c>
      <c r="D18" s="51" t="s">
        <v>106</v>
      </c>
      <c r="E18" s="64">
        <f t="shared" si="2"/>
        <v>0</v>
      </c>
      <c r="G18" s="51" t="s">
        <v>106</v>
      </c>
      <c r="H18" s="64">
        <f t="shared" si="0"/>
        <v>0</v>
      </c>
    </row>
    <row r="19" spans="1:22" x14ac:dyDescent="0.55000000000000004">
      <c r="A19" s="57"/>
      <c r="B19" s="103"/>
      <c r="D19" s="105"/>
      <c r="E19" s="104"/>
      <c r="G19" s="57"/>
      <c r="H19" s="104"/>
    </row>
    <row r="20" spans="1:22" x14ac:dyDescent="0.55000000000000004">
      <c r="B20" s="30"/>
      <c r="C20" s="106" t="s">
        <v>119</v>
      </c>
      <c r="D20" s="106"/>
      <c r="E20" t="s">
        <v>120</v>
      </c>
      <c r="G20" s="107" t="s">
        <v>121</v>
      </c>
      <c r="I20" t="s">
        <v>231</v>
      </c>
    </row>
    <row r="21" spans="1:22" ht="28.8" x14ac:dyDescent="0.55000000000000004">
      <c r="A21" s="33" t="s">
        <v>157</v>
      </c>
      <c r="C21" s="91">
        <v>0.3</v>
      </c>
      <c r="D21" s="30"/>
      <c r="E21" s="91">
        <v>0.15</v>
      </c>
      <c r="F21" s="30"/>
      <c r="G21" s="91">
        <v>0.15</v>
      </c>
      <c r="H21" s="30"/>
      <c r="I21" s="91">
        <v>0.4</v>
      </c>
    </row>
    <row r="22" spans="1:22" x14ac:dyDescent="0.55000000000000004">
      <c r="B22" s="30"/>
    </row>
    <row r="23" spans="1:22" x14ac:dyDescent="0.55000000000000004">
      <c r="B23" s="30"/>
    </row>
    <row r="24" spans="1:22" ht="25.8" x14ac:dyDescent="0.95">
      <c r="A24" s="50" t="s">
        <v>232</v>
      </c>
    </row>
    <row r="25" spans="1:22" x14ac:dyDescent="0.55000000000000004">
      <c r="A25" s="53"/>
      <c r="B25" s="141" t="s">
        <v>119</v>
      </c>
      <c r="C25" s="142"/>
      <c r="D25" s="141" t="s">
        <v>120</v>
      </c>
      <c r="E25" s="142"/>
      <c r="F25" s="141" t="s">
        <v>121</v>
      </c>
      <c r="G25" s="142"/>
      <c r="H25" s="141" t="s">
        <v>258</v>
      </c>
      <c r="I25" s="142"/>
      <c r="J25" s="141" t="s">
        <v>185</v>
      </c>
      <c r="K25" s="142"/>
      <c r="L25" s="141" t="s">
        <v>186</v>
      </c>
      <c r="M25" s="142"/>
      <c r="N25" s="51" t="s">
        <v>188</v>
      </c>
      <c r="O25" s="51" t="s">
        <v>62</v>
      </c>
    </row>
    <row r="26" spans="1:22" ht="43.2" x14ac:dyDescent="0.55000000000000004">
      <c r="A26" s="54" t="s">
        <v>91</v>
      </c>
      <c r="B26" s="55" t="s">
        <v>116</v>
      </c>
      <c r="C26" s="55" t="s">
        <v>154</v>
      </c>
      <c r="D26" s="55" t="s">
        <v>118</v>
      </c>
      <c r="E26" s="55" t="s">
        <v>154</v>
      </c>
      <c r="F26" s="55" t="s">
        <v>117</v>
      </c>
      <c r="G26" s="55" t="s">
        <v>154</v>
      </c>
      <c r="H26" s="55" t="s">
        <v>261</v>
      </c>
      <c r="I26" s="55" t="s">
        <v>260</v>
      </c>
      <c r="J26" s="55" t="s">
        <v>191</v>
      </c>
      <c r="K26" s="55" t="s">
        <v>154</v>
      </c>
      <c r="L26" s="55" t="s">
        <v>187</v>
      </c>
      <c r="M26" s="55" t="s">
        <v>154</v>
      </c>
      <c r="N26" s="51"/>
      <c r="O26" s="51"/>
      <c r="P26" s="30"/>
      <c r="Q26" s="30"/>
      <c r="R26" s="30"/>
      <c r="S26" s="30"/>
      <c r="T26" s="30"/>
      <c r="U26" s="30"/>
      <c r="V26" s="30"/>
    </row>
    <row r="27" spans="1:22" ht="28.8" x14ac:dyDescent="0.55000000000000004">
      <c r="A27" s="51" t="s">
        <v>122</v>
      </c>
      <c r="B27" s="52">
        <v>0.15</v>
      </c>
      <c r="C27" s="52"/>
      <c r="D27" s="52">
        <v>0.16</v>
      </c>
      <c r="E27" s="52"/>
      <c r="F27" s="52">
        <v>0.1</v>
      </c>
      <c r="G27" s="52"/>
      <c r="H27" s="52"/>
      <c r="I27" s="52"/>
      <c r="J27" s="52">
        <v>7.0000000000000007E-2</v>
      </c>
      <c r="K27" s="52"/>
      <c r="L27" s="53"/>
      <c r="M27" s="53"/>
      <c r="N27" s="88" t="s">
        <v>189</v>
      </c>
      <c r="O27" s="53"/>
    </row>
    <row r="28" spans="1:22" x14ac:dyDescent="0.55000000000000004">
      <c r="A28" s="51" t="s">
        <v>51</v>
      </c>
      <c r="B28" s="52">
        <f>'Kenya Prevalence Data'!B17</f>
        <v>4.0000000000000001E-3</v>
      </c>
      <c r="C28" s="64">
        <f>B28/$B$27</f>
        <v>2.6666666666666668E-2</v>
      </c>
      <c r="D28" s="52">
        <f>'Kenya Prevalence Data'!B15</f>
        <v>0.08</v>
      </c>
      <c r="E28" s="65">
        <f>D28/$D$27</f>
        <v>0.5</v>
      </c>
      <c r="F28" s="58">
        <f>'Kenya Prevalence Data'!B16</f>
        <v>1E-3</v>
      </c>
      <c r="G28" s="65">
        <f>F28/$F$27</f>
        <v>0.01</v>
      </c>
      <c r="H28" s="65"/>
      <c r="I28" s="65"/>
      <c r="J28" s="51"/>
      <c r="K28" s="51"/>
      <c r="L28" s="53"/>
      <c r="M28" s="53"/>
      <c r="N28" s="53"/>
      <c r="O28" s="53"/>
    </row>
    <row r="29" spans="1:22" x14ac:dyDescent="0.55000000000000004">
      <c r="A29" s="51" t="s">
        <v>141</v>
      </c>
      <c r="B29" s="92" t="s">
        <v>212</v>
      </c>
      <c r="C29" s="64" t="e">
        <f t="shared" ref="C29:C41" si="3">B29/$B$27</f>
        <v>#VALUE!</v>
      </c>
      <c r="D29" s="92" t="s">
        <v>212</v>
      </c>
      <c r="E29" s="65" t="e">
        <f t="shared" ref="E29:E41" si="4">D29/$D$27</f>
        <v>#VALUE!</v>
      </c>
      <c r="F29" s="92" t="s">
        <v>212</v>
      </c>
      <c r="G29" s="65" t="e">
        <f t="shared" ref="G29:G41" si="5">F29/$F$27</f>
        <v>#VALUE!</v>
      </c>
      <c r="H29" s="65"/>
      <c r="I29" s="65"/>
      <c r="J29" s="92" t="s">
        <v>212</v>
      </c>
      <c r="K29" s="51"/>
      <c r="L29" s="53"/>
      <c r="M29" s="53"/>
      <c r="N29" s="53"/>
      <c r="O29" s="53"/>
    </row>
    <row r="30" spans="1:22" x14ac:dyDescent="0.55000000000000004">
      <c r="A30" s="51" t="s">
        <v>219</v>
      </c>
      <c r="B30" s="92" t="s">
        <v>212</v>
      </c>
      <c r="C30" s="64"/>
      <c r="D30" s="92" t="s">
        <v>212</v>
      </c>
      <c r="E30" s="65"/>
      <c r="F30" s="92" t="s">
        <v>212</v>
      </c>
      <c r="G30" s="65"/>
      <c r="H30" s="65"/>
      <c r="I30" s="65"/>
      <c r="J30" s="92" t="s">
        <v>212</v>
      </c>
      <c r="K30" s="51"/>
      <c r="L30" s="53"/>
      <c r="M30" s="53"/>
      <c r="N30" s="53"/>
      <c r="O30" s="53"/>
    </row>
    <row r="31" spans="1:22" x14ac:dyDescent="0.55000000000000004">
      <c r="A31" s="51" t="s">
        <v>147</v>
      </c>
      <c r="B31" s="92" t="s">
        <v>212</v>
      </c>
      <c r="C31" s="64"/>
      <c r="D31" s="92" t="s">
        <v>212</v>
      </c>
      <c r="E31" s="65"/>
      <c r="F31" s="92" t="s">
        <v>212</v>
      </c>
      <c r="G31" s="65"/>
      <c r="H31" s="65"/>
      <c r="I31" s="65"/>
      <c r="J31" s="92" t="s">
        <v>212</v>
      </c>
      <c r="K31" s="51"/>
      <c r="L31" s="53"/>
      <c r="M31" s="53"/>
      <c r="N31" s="53"/>
      <c r="O31" s="53"/>
    </row>
    <row r="32" spans="1:22" x14ac:dyDescent="0.55000000000000004">
      <c r="A32" s="51" t="s">
        <v>148</v>
      </c>
      <c r="B32" s="92" t="s">
        <v>212</v>
      </c>
      <c r="C32" s="64"/>
      <c r="D32" s="92" t="s">
        <v>212</v>
      </c>
      <c r="E32" s="65"/>
      <c r="F32" s="92" t="s">
        <v>212</v>
      </c>
      <c r="G32" s="65"/>
      <c r="H32" s="65"/>
      <c r="I32" s="65"/>
      <c r="J32" s="92" t="s">
        <v>212</v>
      </c>
      <c r="K32" s="51"/>
      <c r="L32" s="53"/>
      <c r="M32" s="53"/>
      <c r="N32" s="53"/>
      <c r="O32" s="53"/>
    </row>
    <row r="33" spans="1:15" ht="43.2" x14ac:dyDescent="0.55000000000000004">
      <c r="A33" s="51" t="s">
        <v>98</v>
      </c>
      <c r="B33" s="93">
        <v>0</v>
      </c>
      <c r="C33" s="94">
        <f>B33/$B$27</f>
        <v>0</v>
      </c>
      <c r="D33" s="93">
        <f>AVERAGE(0.01,0.019)</f>
        <v>1.4499999999999999E-2</v>
      </c>
      <c r="E33" s="95">
        <f>D33/$D$27</f>
        <v>9.0624999999999997E-2</v>
      </c>
      <c r="F33" s="93">
        <v>5.0000000000000001E-3</v>
      </c>
      <c r="G33" s="95">
        <f t="shared" si="5"/>
        <v>4.9999999999999996E-2</v>
      </c>
      <c r="H33" s="95"/>
      <c r="I33" s="95"/>
      <c r="J33" s="96"/>
      <c r="K33" s="51"/>
      <c r="L33" s="53"/>
      <c r="M33" s="53"/>
      <c r="N33" s="55" t="s">
        <v>218</v>
      </c>
      <c r="O33" s="53"/>
    </row>
    <row r="34" spans="1:15" ht="57.6" x14ac:dyDescent="0.55000000000000004">
      <c r="A34" s="51" t="s">
        <v>99</v>
      </c>
      <c r="B34" s="93">
        <v>1.18E-2</v>
      </c>
      <c r="C34" s="94">
        <f t="shared" si="3"/>
        <v>7.8666666666666663E-2</v>
      </c>
      <c r="D34" s="93">
        <v>0.14560000000000001</v>
      </c>
      <c r="E34" s="95">
        <f t="shared" si="4"/>
        <v>0.91</v>
      </c>
      <c r="F34" s="93">
        <v>0</v>
      </c>
      <c r="G34" s="95">
        <f t="shared" si="5"/>
        <v>0</v>
      </c>
      <c r="H34" s="95"/>
      <c r="I34" s="95"/>
      <c r="J34" s="96"/>
      <c r="K34" s="51"/>
      <c r="L34" s="53"/>
      <c r="M34" s="53"/>
      <c r="N34" s="55" t="s">
        <v>200</v>
      </c>
      <c r="O34" s="53"/>
    </row>
    <row r="35" spans="1:15" ht="43.2" x14ac:dyDescent="0.55000000000000004">
      <c r="A35" s="51" t="s">
        <v>100</v>
      </c>
      <c r="B35" s="97">
        <f>0.000011+0.000004</f>
        <v>1.4999999999999999E-5</v>
      </c>
      <c r="C35" s="94">
        <f t="shared" si="3"/>
        <v>9.9999999999999991E-5</v>
      </c>
      <c r="D35" s="93">
        <v>5.0000000000000004E-6</v>
      </c>
      <c r="E35" s="95">
        <f t="shared" si="4"/>
        <v>3.1250000000000001E-5</v>
      </c>
      <c r="F35" s="93">
        <v>0</v>
      </c>
      <c r="G35" s="95">
        <f t="shared" si="5"/>
        <v>0</v>
      </c>
      <c r="H35" s="95"/>
      <c r="I35" s="95"/>
      <c r="J35" s="96"/>
      <c r="K35" s="51"/>
      <c r="L35" s="53"/>
      <c r="M35" s="53"/>
      <c r="N35" s="55" t="s">
        <v>203</v>
      </c>
      <c r="O35" s="53"/>
    </row>
    <row r="36" spans="1:15" ht="43.2" x14ac:dyDescent="0.55000000000000004">
      <c r="A36" s="51" t="s">
        <v>101</v>
      </c>
      <c r="B36" s="93">
        <f>0.006+0.002</f>
        <v>8.0000000000000002E-3</v>
      </c>
      <c r="C36" s="94">
        <f t="shared" si="3"/>
        <v>5.3333333333333337E-2</v>
      </c>
      <c r="D36" s="93">
        <f>0.046+0.002</f>
        <v>4.8000000000000001E-2</v>
      </c>
      <c r="E36" s="95">
        <f t="shared" si="4"/>
        <v>0.3</v>
      </c>
      <c r="F36" s="93">
        <v>4.8000000000000001E-2</v>
      </c>
      <c r="G36" s="95">
        <f t="shared" si="5"/>
        <v>0.48</v>
      </c>
      <c r="H36" s="95"/>
      <c r="I36" s="95"/>
      <c r="J36" s="96"/>
      <c r="K36" s="51"/>
      <c r="L36" s="53"/>
      <c r="M36" s="53"/>
      <c r="N36" s="55" t="s">
        <v>207</v>
      </c>
      <c r="O36" s="53"/>
    </row>
    <row r="37" spans="1:15" ht="43.2" x14ac:dyDescent="0.55000000000000004">
      <c r="A37" s="51" t="s">
        <v>102</v>
      </c>
      <c r="B37" s="93">
        <f>0.004+0.005</f>
        <v>9.0000000000000011E-3</v>
      </c>
      <c r="C37" s="94">
        <f t="shared" si="3"/>
        <v>6.0000000000000012E-2</v>
      </c>
      <c r="D37" s="93">
        <f>0.015+0</f>
        <v>1.4999999999999999E-2</v>
      </c>
      <c r="E37" s="95">
        <f t="shared" si="4"/>
        <v>9.375E-2</v>
      </c>
      <c r="F37" s="93">
        <v>0</v>
      </c>
      <c r="G37" s="95">
        <f t="shared" si="5"/>
        <v>0</v>
      </c>
      <c r="H37" s="95"/>
      <c r="I37" s="95"/>
      <c r="J37" s="96"/>
      <c r="K37" s="51"/>
      <c r="L37" s="53"/>
      <c r="M37" s="53"/>
      <c r="N37" s="55" t="s">
        <v>209</v>
      </c>
      <c r="O37" s="53"/>
    </row>
    <row r="38" spans="1:15" ht="43.2" x14ac:dyDescent="0.55000000000000004">
      <c r="A38" s="51" t="s">
        <v>103</v>
      </c>
      <c r="B38" s="92" t="s">
        <v>212</v>
      </c>
      <c r="C38" s="64" t="e">
        <f t="shared" si="3"/>
        <v>#VALUE!</v>
      </c>
      <c r="D38" s="92" t="s">
        <v>212</v>
      </c>
      <c r="E38" s="65" t="e">
        <f t="shared" si="4"/>
        <v>#VALUE!</v>
      </c>
      <c r="F38" s="92" t="s">
        <v>212</v>
      </c>
      <c r="G38" s="65" t="e">
        <f t="shared" si="5"/>
        <v>#VALUE!</v>
      </c>
      <c r="H38" s="65"/>
      <c r="I38" s="65"/>
      <c r="J38" s="60"/>
      <c r="K38" s="51"/>
      <c r="L38" s="53"/>
      <c r="M38" s="53"/>
      <c r="N38" s="55" t="s">
        <v>211</v>
      </c>
      <c r="O38" s="53"/>
    </row>
    <row r="39" spans="1:15" ht="43.2" x14ac:dyDescent="0.55000000000000004">
      <c r="A39" s="51" t="s">
        <v>104</v>
      </c>
      <c r="B39" s="93">
        <v>0</v>
      </c>
      <c r="C39" s="94">
        <f t="shared" si="3"/>
        <v>0</v>
      </c>
      <c r="D39" s="98">
        <v>4.0000000000000001E-3</v>
      </c>
      <c r="E39" s="95">
        <f t="shared" si="4"/>
        <v>2.5000000000000001E-2</v>
      </c>
      <c r="F39" s="98">
        <v>1E-3</v>
      </c>
      <c r="G39" s="95">
        <f t="shared" si="5"/>
        <v>0.01</v>
      </c>
      <c r="H39" s="95"/>
      <c r="I39" s="95"/>
      <c r="J39" s="96"/>
      <c r="K39" s="51"/>
      <c r="L39" s="53"/>
      <c r="M39" s="53"/>
      <c r="N39" s="55" t="s">
        <v>214</v>
      </c>
      <c r="O39" s="53"/>
    </row>
    <row r="40" spans="1:15" ht="43.2" x14ac:dyDescent="0.55000000000000004">
      <c r="A40" s="51" t="s">
        <v>105</v>
      </c>
      <c r="B40" s="93">
        <v>0</v>
      </c>
      <c r="C40" s="94">
        <f t="shared" si="3"/>
        <v>0</v>
      </c>
      <c r="D40" s="98">
        <v>2E-3</v>
      </c>
      <c r="E40" s="95">
        <f t="shared" si="4"/>
        <v>1.2500000000000001E-2</v>
      </c>
      <c r="F40" s="93">
        <f>0.056+0.016</f>
        <v>7.2000000000000008E-2</v>
      </c>
      <c r="G40" s="95">
        <f t="shared" si="5"/>
        <v>0.72000000000000008</v>
      </c>
      <c r="H40" s="95"/>
      <c r="I40" s="95"/>
      <c r="J40" s="96"/>
      <c r="K40" s="51"/>
      <c r="L40" s="53"/>
      <c r="M40" s="53"/>
      <c r="N40" s="55" t="s">
        <v>215</v>
      </c>
      <c r="O40" s="53"/>
    </row>
    <row r="41" spans="1:15" x14ac:dyDescent="0.55000000000000004">
      <c r="A41" s="51" t="s">
        <v>106</v>
      </c>
      <c r="B41" s="92"/>
      <c r="C41" s="64">
        <f t="shared" si="3"/>
        <v>0</v>
      </c>
      <c r="D41" s="92"/>
      <c r="E41" s="65">
        <f t="shared" si="4"/>
        <v>0</v>
      </c>
      <c r="F41" s="92"/>
      <c r="G41" s="65">
        <f t="shared" si="5"/>
        <v>0</v>
      </c>
      <c r="H41" s="65"/>
      <c r="I41" s="65"/>
      <c r="J41" s="60"/>
      <c r="K41" s="51"/>
      <c r="L41" s="53"/>
      <c r="M41" s="53"/>
      <c r="N41" s="53"/>
      <c r="O41" s="53"/>
    </row>
    <row r="42" spans="1:15" x14ac:dyDescent="0.55000000000000004">
      <c r="B42" s="30"/>
      <c r="C42" s="30"/>
      <c r="D42" s="30"/>
      <c r="E42" s="30"/>
      <c r="F42" s="30"/>
      <c r="G42" s="30"/>
      <c r="H42" s="57"/>
      <c r="I42" s="57"/>
      <c r="J42" s="15"/>
    </row>
    <row r="43" spans="1:15" x14ac:dyDescent="0.55000000000000004">
      <c r="B43" s="30"/>
      <c r="C43" s="30"/>
      <c r="D43" s="30"/>
      <c r="E43" s="30"/>
      <c r="F43" s="30"/>
      <c r="G43" s="30"/>
      <c r="H43" s="57"/>
      <c r="I43" s="57"/>
      <c r="J43" s="15"/>
    </row>
    <row r="44" spans="1:15" x14ac:dyDescent="0.55000000000000004">
      <c r="B44" s="30"/>
      <c r="C44" s="30"/>
      <c r="D44" s="30"/>
      <c r="E44" s="30"/>
      <c r="F44" s="30"/>
      <c r="G44" s="30"/>
      <c r="H44" s="30"/>
      <c r="I44" s="30"/>
    </row>
    <row r="45" spans="1:15" x14ac:dyDescent="0.55000000000000004">
      <c r="B45" s="30"/>
      <c r="C45" s="30"/>
      <c r="D45" s="30"/>
      <c r="E45" s="30"/>
      <c r="F45" s="30"/>
      <c r="G45" s="30"/>
      <c r="H45" s="30"/>
      <c r="I45" s="30"/>
    </row>
    <row r="47" spans="1:15" ht="25.8" x14ac:dyDescent="0.95">
      <c r="A47" s="50" t="s">
        <v>155</v>
      </c>
    </row>
    <row r="48" spans="1:15" x14ac:dyDescent="0.55000000000000004">
      <c r="A48" s="53"/>
      <c r="B48" s="141" t="s">
        <v>119</v>
      </c>
      <c r="C48" s="142"/>
      <c r="D48" s="141" t="s">
        <v>120</v>
      </c>
      <c r="E48" s="142"/>
      <c r="F48" s="141" t="s">
        <v>121</v>
      </c>
      <c r="G48" s="142"/>
      <c r="H48" s="141" t="s">
        <v>258</v>
      </c>
      <c r="I48" s="142"/>
      <c r="J48" s="141" t="s">
        <v>185</v>
      </c>
      <c r="K48" s="142"/>
      <c r="L48" s="141" t="s">
        <v>186</v>
      </c>
      <c r="M48" s="142"/>
      <c r="N48" s="51" t="s">
        <v>188</v>
      </c>
      <c r="O48" s="51" t="s">
        <v>62</v>
      </c>
    </row>
    <row r="49" spans="1:15" ht="43.2" x14ac:dyDescent="0.55000000000000004">
      <c r="A49" s="54" t="s">
        <v>91</v>
      </c>
      <c r="B49" s="55" t="s">
        <v>153</v>
      </c>
      <c r="C49" s="55" t="s">
        <v>154</v>
      </c>
      <c r="D49" s="55" t="s">
        <v>152</v>
      </c>
      <c r="E49" s="55" t="s">
        <v>154</v>
      </c>
      <c r="F49" s="55" t="s">
        <v>151</v>
      </c>
      <c r="G49" s="55" t="s">
        <v>154</v>
      </c>
      <c r="H49" s="55" t="s">
        <v>259</v>
      </c>
      <c r="I49" s="55" t="s">
        <v>260</v>
      </c>
      <c r="J49" s="55" t="s">
        <v>190</v>
      </c>
      <c r="K49" s="55" t="s">
        <v>154</v>
      </c>
      <c r="L49" s="55" t="s">
        <v>187</v>
      </c>
      <c r="M49" s="55" t="s">
        <v>154</v>
      </c>
      <c r="N49" s="88" t="s">
        <v>189</v>
      </c>
      <c r="O49" s="51"/>
    </row>
    <row r="50" spans="1:15" ht="57.6" x14ac:dyDescent="0.55000000000000004">
      <c r="A50" s="51" t="s">
        <v>122</v>
      </c>
      <c r="B50" s="52">
        <v>0.77</v>
      </c>
      <c r="C50" s="52"/>
      <c r="D50" s="52">
        <v>0.42</v>
      </c>
      <c r="E50" s="52"/>
      <c r="F50" s="52">
        <v>0.55000000000000004</v>
      </c>
      <c r="G50" s="52"/>
      <c r="H50" s="52"/>
      <c r="I50" s="52"/>
      <c r="J50" s="52">
        <v>0.22</v>
      </c>
      <c r="K50" s="52"/>
      <c r="L50" s="51"/>
      <c r="M50" s="51"/>
      <c r="N50" s="55" t="s">
        <v>192</v>
      </c>
      <c r="O50" s="51"/>
    </row>
    <row r="51" spans="1:15" ht="43.2" x14ac:dyDescent="0.55000000000000004">
      <c r="A51" s="51" t="s">
        <v>51</v>
      </c>
      <c r="B51" s="52">
        <f>'Kenya Prevalence Data'!B7</f>
        <v>0.152</v>
      </c>
      <c r="C51" s="64">
        <f>B51/$B$50</f>
        <v>0.19740259740259739</v>
      </c>
      <c r="D51" s="52">
        <f>'Kenya Prevalence Data'!B5</f>
        <v>0.20699999999999999</v>
      </c>
      <c r="E51" s="65">
        <f>D51/$D$50</f>
        <v>0.49285714285714283</v>
      </c>
      <c r="F51" s="58">
        <f>'Kenya Prevalence Data'!B6</f>
        <v>6.3E-2</v>
      </c>
      <c r="G51" s="65">
        <f>F51/$F$50</f>
        <v>0.11454545454545453</v>
      </c>
      <c r="H51" s="65">
        <f>'Kenya Prevalence Data'!B8</f>
        <v>0.33600000000000002</v>
      </c>
      <c r="I51" s="65"/>
      <c r="J51" s="52">
        <f>'Kenya Prevalence Data'!B9</f>
        <v>2.4E-2</v>
      </c>
      <c r="K51" s="52">
        <f>J51/$J$50</f>
        <v>0.1090909090909091</v>
      </c>
      <c r="L51" s="52">
        <f>'Kenya Prevalence Data'!B10</f>
        <v>0.18</v>
      </c>
      <c r="M51" s="51"/>
      <c r="N51" s="55" t="s">
        <v>218</v>
      </c>
      <c r="O51" s="51"/>
    </row>
    <row r="52" spans="1:15" x14ac:dyDescent="0.55000000000000004">
      <c r="A52" s="51" t="s">
        <v>141</v>
      </c>
      <c r="B52" s="92"/>
      <c r="C52" s="58">
        <f t="shared" ref="C52:C64" si="6">B52/$B$50</f>
        <v>0</v>
      </c>
      <c r="D52" s="92"/>
      <c r="E52" s="65">
        <f t="shared" ref="E52:E64" si="7">D52/$D$50</f>
        <v>0</v>
      </c>
      <c r="F52" s="92"/>
      <c r="G52" s="59">
        <f t="shared" ref="G52:G64" si="8">F52/$F$50</f>
        <v>0</v>
      </c>
      <c r="H52" s="59"/>
      <c r="I52" s="59"/>
      <c r="J52" s="60"/>
      <c r="K52" s="51">
        <f>J52/$J$50</f>
        <v>0</v>
      </c>
      <c r="L52" s="51"/>
      <c r="M52" s="51"/>
      <c r="N52" s="51"/>
      <c r="O52" s="51"/>
    </row>
    <row r="53" spans="1:15" x14ac:dyDescent="0.55000000000000004">
      <c r="A53" s="51" t="s">
        <v>219</v>
      </c>
      <c r="B53" s="92"/>
      <c r="C53" s="58"/>
      <c r="D53" s="92"/>
      <c r="E53" s="65"/>
      <c r="F53" s="92"/>
      <c r="G53" s="59"/>
      <c r="H53" s="59"/>
      <c r="I53" s="59"/>
      <c r="J53" s="60"/>
      <c r="K53" s="51"/>
      <c r="L53" s="51"/>
      <c r="M53" s="51"/>
      <c r="N53" s="51"/>
      <c r="O53" s="51"/>
    </row>
    <row r="54" spans="1:15" x14ac:dyDescent="0.55000000000000004">
      <c r="A54" s="51" t="s">
        <v>147</v>
      </c>
      <c r="B54" s="92"/>
      <c r="C54" s="58"/>
      <c r="D54" s="92"/>
      <c r="E54" s="65"/>
      <c r="F54" s="92"/>
      <c r="G54" s="59"/>
      <c r="H54" s="59"/>
      <c r="I54" s="59"/>
      <c r="J54" s="60"/>
      <c r="K54" s="51"/>
      <c r="L54" s="51"/>
      <c r="M54" s="51"/>
      <c r="N54" s="51"/>
      <c r="O54" s="51"/>
    </row>
    <row r="55" spans="1:15" x14ac:dyDescent="0.55000000000000004">
      <c r="A55" s="51" t="s">
        <v>148</v>
      </c>
      <c r="B55" s="92"/>
      <c r="C55" s="58"/>
      <c r="D55" s="92"/>
      <c r="E55" s="65"/>
      <c r="F55" s="92"/>
      <c r="G55" s="59"/>
      <c r="H55" s="59"/>
      <c r="I55" s="59"/>
      <c r="J55" s="60"/>
      <c r="K55" s="51"/>
      <c r="L55" s="51"/>
      <c r="M55" s="51"/>
      <c r="N55" s="51"/>
      <c r="O55" s="51"/>
    </row>
    <row r="56" spans="1:15" x14ac:dyDescent="0.55000000000000004">
      <c r="A56" s="51" t="s">
        <v>98</v>
      </c>
      <c r="B56" s="93">
        <v>2.0400000000000001E-2</v>
      </c>
      <c r="C56" s="98">
        <f t="shared" si="6"/>
        <v>2.6493506493506496E-2</v>
      </c>
      <c r="D56" s="93">
        <v>2.1600000000000001E-2</v>
      </c>
      <c r="E56" s="95">
        <f t="shared" si="7"/>
        <v>5.1428571428571435E-2</v>
      </c>
      <c r="F56" s="93">
        <v>0.1226</v>
      </c>
      <c r="G56" s="99">
        <f t="shared" si="8"/>
        <v>0.22290909090909089</v>
      </c>
      <c r="H56" s="99"/>
      <c r="I56" s="99"/>
      <c r="J56" s="96"/>
      <c r="K56" s="51">
        <f>J56/$J$50</f>
        <v>0</v>
      </c>
      <c r="L56" s="51"/>
      <c r="M56" s="51"/>
      <c r="N56" s="51"/>
      <c r="O56" s="51"/>
    </row>
    <row r="57" spans="1:15" ht="43.2" x14ac:dyDescent="0.55000000000000004">
      <c r="A57" s="51" t="s">
        <v>99</v>
      </c>
      <c r="B57" s="93">
        <v>0.42199999999999999</v>
      </c>
      <c r="C57" s="98">
        <f t="shared" si="6"/>
        <v>0.54805194805194801</v>
      </c>
      <c r="D57" s="93">
        <v>0.52100000000000002</v>
      </c>
      <c r="E57" s="95">
        <f t="shared" si="7"/>
        <v>1.2404761904761905</v>
      </c>
      <c r="F57" s="93">
        <v>5.1999999999999998E-2</v>
      </c>
      <c r="G57" s="99">
        <f t="shared" si="8"/>
        <v>9.454545454545453E-2</v>
      </c>
      <c r="H57" s="99"/>
      <c r="I57" s="99"/>
      <c r="J57" s="96" t="s">
        <v>113</v>
      </c>
      <c r="K57" s="51" t="s">
        <v>113</v>
      </c>
      <c r="L57" s="51">
        <v>0</v>
      </c>
      <c r="M57" s="51"/>
      <c r="N57" s="55" t="s">
        <v>194</v>
      </c>
    </row>
    <row r="58" spans="1:15" ht="43.2" x14ac:dyDescent="0.55000000000000004">
      <c r="A58" s="51" t="s">
        <v>100</v>
      </c>
      <c r="B58" s="93">
        <v>0.12</v>
      </c>
      <c r="C58" s="98">
        <f t="shared" si="6"/>
        <v>0.15584415584415584</v>
      </c>
      <c r="D58" s="98">
        <v>2E-3</v>
      </c>
      <c r="E58" s="95">
        <f t="shared" si="7"/>
        <v>4.7619047619047623E-3</v>
      </c>
      <c r="F58" s="97">
        <v>3.0000000000000001E-5</v>
      </c>
      <c r="G58" s="99">
        <f t="shared" si="8"/>
        <v>5.4545454545454539E-5</v>
      </c>
      <c r="H58" s="99"/>
      <c r="I58" s="99"/>
      <c r="J58" s="96" t="s">
        <v>113</v>
      </c>
      <c r="K58" s="51" t="s">
        <v>113</v>
      </c>
      <c r="L58" s="51"/>
      <c r="M58" s="51"/>
      <c r="N58" s="55" t="s">
        <v>203</v>
      </c>
      <c r="O58" s="51"/>
    </row>
    <row r="59" spans="1:15" ht="43.2" x14ac:dyDescent="0.55000000000000004">
      <c r="A59" s="51" t="s">
        <v>101</v>
      </c>
      <c r="B59" s="93">
        <v>0.22700000000000001</v>
      </c>
      <c r="C59" s="98">
        <f t="shared" si="6"/>
        <v>0.29480519480519479</v>
      </c>
      <c r="D59" s="93">
        <v>0.69599999999999995</v>
      </c>
      <c r="E59" s="95">
        <f t="shared" si="7"/>
        <v>1.657142857142857</v>
      </c>
      <c r="F59" s="93">
        <v>4.5999999999999999E-2</v>
      </c>
      <c r="G59" s="99">
        <f t="shared" si="8"/>
        <v>8.3636363636363634E-2</v>
      </c>
      <c r="H59" s="99"/>
      <c r="I59" s="99"/>
      <c r="J59" s="96" t="s">
        <v>113</v>
      </c>
      <c r="K59" s="51" t="s">
        <v>113</v>
      </c>
      <c r="L59" s="51"/>
      <c r="M59" s="51"/>
      <c r="N59" s="55" t="s">
        <v>206</v>
      </c>
      <c r="O59" s="51"/>
    </row>
    <row r="60" spans="1:15" ht="43.2" x14ac:dyDescent="0.55000000000000004">
      <c r="A60" s="51" t="s">
        <v>102</v>
      </c>
      <c r="B60" s="93">
        <v>0.105</v>
      </c>
      <c r="C60" s="98">
        <f t="shared" si="6"/>
        <v>0.13636363636363635</v>
      </c>
      <c r="D60" s="93">
        <v>0.70399999999999996</v>
      </c>
      <c r="E60" s="95">
        <f t="shared" si="7"/>
        <v>1.6761904761904762</v>
      </c>
      <c r="F60" s="98">
        <v>5.0000000000000001E-4</v>
      </c>
      <c r="G60" s="99">
        <f t="shared" si="8"/>
        <v>9.0909090909090909E-4</v>
      </c>
      <c r="H60" s="99"/>
      <c r="I60" s="99"/>
      <c r="J60" s="96" t="s">
        <v>113</v>
      </c>
      <c r="K60" s="51" t="s">
        <v>113</v>
      </c>
      <c r="L60" s="51"/>
      <c r="M60" s="51"/>
      <c r="N60" s="55" t="s">
        <v>209</v>
      </c>
      <c r="O60" s="51"/>
    </row>
    <row r="61" spans="1:15" ht="43.2" x14ac:dyDescent="0.55000000000000004">
      <c r="A61" s="51" t="s">
        <v>103</v>
      </c>
      <c r="B61" s="93">
        <v>0.01</v>
      </c>
      <c r="C61" s="98">
        <f t="shared" si="6"/>
        <v>1.2987012987012986E-2</v>
      </c>
      <c r="D61" s="93">
        <v>0.20200000000000001</v>
      </c>
      <c r="E61" s="95">
        <f t="shared" si="7"/>
        <v>0.48095238095238102</v>
      </c>
      <c r="F61" s="93">
        <v>2E-3</v>
      </c>
      <c r="G61" s="99">
        <f t="shared" si="8"/>
        <v>3.6363636363636364E-3</v>
      </c>
      <c r="H61" s="99"/>
      <c r="I61" s="99"/>
      <c r="J61" s="96" t="s">
        <v>113</v>
      </c>
      <c r="K61" s="51" t="s">
        <v>113</v>
      </c>
      <c r="L61" s="51"/>
      <c r="M61" s="51"/>
      <c r="N61" s="55" t="s">
        <v>211</v>
      </c>
      <c r="O61" s="51"/>
    </row>
    <row r="62" spans="1:15" ht="43.2" x14ac:dyDescent="0.55000000000000004">
      <c r="A62" s="51" t="s">
        <v>104</v>
      </c>
      <c r="B62" s="93">
        <v>3.2000000000000001E-2</v>
      </c>
      <c r="C62" s="98">
        <f t="shared" si="6"/>
        <v>4.1558441558441558E-2</v>
      </c>
      <c r="D62" s="93">
        <v>0.59099999999999997</v>
      </c>
      <c r="E62" s="95">
        <f t="shared" si="7"/>
        <v>1.407142857142857</v>
      </c>
      <c r="F62" s="98">
        <v>4.0000000000000001E-3</v>
      </c>
      <c r="G62" s="99">
        <f t="shared" si="8"/>
        <v>7.2727272727272727E-3</v>
      </c>
      <c r="H62" s="99"/>
      <c r="I62" s="99"/>
      <c r="J62" s="96" t="s">
        <v>113</v>
      </c>
      <c r="K62" s="51" t="s">
        <v>113</v>
      </c>
      <c r="L62" s="51"/>
      <c r="M62" s="51"/>
      <c r="N62" s="55" t="s">
        <v>214</v>
      </c>
      <c r="O62" s="51"/>
    </row>
    <row r="63" spans="1:15" ht="43.2" x14ac:dyDescent="0.55000000000000004">
      <c r="A63" s="51" t="s">
        <v>105</v>
      </c>
      <c r="B63" s="93">
        <v>5.6000000000000001E-2</v>
      </c>
      <c r="C63" s="98">
        <f t="shared" si="6"/>
        <v>7.2727272727272724E-2</v>
      </c>
      <c r="D63" s="93">
        <v>0.51200000000000001</v>
      </c>
      <c r="E63" s="95">
        <f t="shared" si="7"/>
        <v>1.2190476190476192</v>
      </c>
      <c r="F63" s="93">
        <v>8.4000000000000005E-2</v>
      </c>
      <c r="G63" s="99">
        <f t="shared" si="8"/>
        <v>0.15272727272727271</v>
      </c>
      <c r="H63" s="99"/>
      <c r="I63" s="99"/>
      <c r="J63" s="96" t="s">
        <v>113</v>
      </c>
      <c r="K63" s="51" t="s">
        <v>113</v>
      </c>
      <c r="L63" s="51"/>
      <c r="M63" s="51"/>
      <c r="N63" s="55" t="s">
        <v>215</v>
      </c>
      <c r="O63" s="51"/>
    </row>
    <row r="64" spans="1:15" x14ac:dyDescent="0.55000000000000004">
      <c r="A64" s="51" t="s">
        <v>106</v>
      </c>
      <c r="B64" s="92"/>
      <c r="C64" s="58">
        <f t="shared" si="6"/>
        <v>0</v>
      </c>
      <c r="D64" s="92"/>
      <c r="E64" s="65">
        <f t="shared" si="7"/>
        <v>0</v>
      </c>
      <c r="F64" s="92"/>
      <c r="G64" s="59">
        <f t="shared" si="8"/>
        <v>0</v>
      </c>
      <c r="H64" s="59"/>
      <c r="I64" s="59"/>
      <c r="J64" s="60"/>
      <c r="K64" s="51">
        <f>J64/$J$50</f>
        <v>0</v>
      </c>
      <c r="L64" s="51"/>
      <c r="M64" s="51"/>
      <c r="N64" s="51"/>
      <c r="O64" s="51"/>
    </row>
    <row r="65" spans="1:15" x14ac:dyDescent="0.55000000000000004">
      <c r="B65" s="30"/>
      <c r="C65" s="30"/>
      <c r="D65" s="30"/>
      <c r="E65" s="30"/>
      <c r="F65" s="30"/>
      <c r="G65" s="30"/>
      <c r="H65" s="57"/>
      <c r="I65" s="56"/>
    </row>
    <row r="66" spans="1:15" x14ac:dyDescent="0.55000000000000004">
      <c r="B66" s="30"/>
      <c r="C66" s="30"/>
      <c r="D66" s="30"/>
      <c r="E66" s="30"/>
      <c r="F66" s="30"/>
      <c r="G66" s="30"/>
      <c r="H66" s="57"/>
      <c r="I66" s="56"/>
    </row>
    <row r="67" spans="1:15" x14ac:dyDescent="0.55000000000000004">
      <c r="B67" s="30"/>
      <c r="C67" s="30"/>
      <c r="D67" s="30"/>
      <c r="E67" s="30"/>
      <c r="F67" s="30"/>
      <c r="G67" s="30"/>
      <c r="H67" s="30"/>
      <c r="I67" s="30"/>
    </row>
    <row r="68" spans="1:15" ht="25.8" x14ac:dyDescent="0.95">
      <c r="A68" s="50" t="s">
        <v>156</v>
      </c>
    </row>
    <row r="69" spans="1:15" x14ac:dyDescent="0.55000000000000004">
      <c r="A69" s="53"/>
      <c r="B69" s="141" t="s">
        <v>119</v>
      </c>
      <c r="C69" s="142"/>
      <c r="D69" s="141" t="s">
        <v>120</v>
      </c>
      <c r="E69" s="142"/>
      <c r="F69" s="141" t="s">
        <v>121</v>
      </c>
      <c r="G69" s="142"/>
      <c r="H69" s="141" t="s">
        <v>258</v>
      </c>
      <c r="I69" s="142"/>
      <c r="J69" s="141" t="s">
        <v>185</v>
      </c>
      <c r="K69" s="142"/>
      <c r="L69" s="141" t="s">
        <v>186</v>
      </c>
      <c r="M69" s="142"/>
      <c r="N69" s="51" t="s">
        <v>188</v>
      </c>
      <c r="O69" s="51" t="s">
        <v>62</v>
      </c>
    </row>
    <row r="70" spans="1:15" ht="43.2" x14ac:dyDescent="0.55000000000000004">
      <c r="A70" s="54" t="s">
        <v>91</v>
      </c>
      <c r="B70" s="55" t="s">
        <v>195</v>
      </c>
      <c r="C70" s="55" t="s">
        <v>154</v>
      </c>
      <c r="D70" s="55" t="s">
        <v>196</v>
      </c>
      <c r="E70" s="55" t="s">
        <v>154</v>
      </c>
      <c r="F70" s="55" t="s">
        <v>197</v>
      </c>
      <c r="G70" s="55" t="s">
        <v>154</v>
      </c>
      <c r="H70" s="55" t="s">
        <v>262</v>
      </c>
      <c r="I70" s="55" t="s">
        <v>154</v>
      </c>
      <c r="J70" s="55" t="s">
        <v>198</v>
      </c>
      <c r="K70" s="55" t="s">
        <v>154</v>
      </c>
      <c r="L70" s="55" t="s">
        <v>199</v>
      </c>
      <c r="M70" s="55" t="s">
        <v>154</v>
      </c>
      <c r="N70" s="88" t="s">
        <v>189</v>
      </c>
      <c r="O70" s="53"/>
    </row>
    <row r="71" spans="1:15" s="63" customFormat="1" x14ac:dyDescent="0.55000000000000004">
      <c r="A71" s="62" t="s">
        <v>122</v>
      </c>
      <c r="B71" s="61">
        <v>426</v>
      </c>
      <c r="C71" s="61"/>
      <c r="D71" s="61">
        <v>2337</v>
      </c>
      <c r="E71" s="61"/>
      <c r="F71" s="61">
        <v>161</v>
      </c>
      <c r="G71" s="61"/>
      <c r="H71" s="61"/>
      <c r="I71" s="61"/>
      <c r="J71" s="61">
        <v>91</v>
      </c>
      <c r="K71" s="61"/>
      <c r="L71" s="51"/>
      <c r="M71" s="51"/>
      <c r="N71" s="89"/>
      <c r="O71" s="89"/>
    </row>
    <row r="72" spans="1:15" ht="57.6" x14ac:dyDescent="0.55000000000000004">
      <c r="A72" s="51" t="s">
        <v>51</v>
      </c>
      <c r="B72" s="66">
        <f>'Kenya Prevalence Data'!B25</f>
        <v>62</v>
      </c>
      <c r="C72" s="52">
        <f>B72/$B$71</f>
        <v>0.14553990610328638</v>
      </c>
      <c r="D72" s="66">
        <f>'Kenya Prevalence Data'!B23</f>
        <v>1914</v>
      </c>
      <c r="E72" s="52">
        <f>D72/$D$71</f>
        <v>0.81899871630295251</v>
      </c>
      <c r="F72" s="66">
        <f>'Kenya Prevalence Data'!B24</f>
        <v>36</v>
      </c>
      <c r="G72" s="52">
        <f>F72/$F$71</f>
        <v>0.2236024844720497</v>
      </c>
      <c r="H72" s="66">
        <f>'Kenya Prevalence Data'!B26</f>
        <v>2012</v>
      </c>
      <c r="I72" s="52"/>
      <c r="J72" s="90">
        <f>'Kenya Prevalence Data'!B27</f>
        <v>14</v>
      </c>
      <c r="K72" s="52">
        <f>J72/$J$71</f>
        <v>0.15384615384615385</v>
      </c>
      <c r="L72" s="90">
        <f>'Kenya Prevalence Data'!B28</f>
        <v>20</v>
      </c>
      <c r="M72" s="51"/>
      <c r="N72" s="55" t="s">
        <v>193</v>
      </c>
      <c r="O72" s="53"/>
    </row>
    <row r="73" spans="1:15" x14ac:dyDescent="0.55000000000000004">
      <c r="A73" s="51" t="s">
        <v>141</v>
      </c>
      <c r="B73" s="60"/>
      <c r="C73" s="52">
        <f>B73/$B$71</f>
        <v>0</v>
      </c>
      <c r="D73" s="60"/>
      <c r="E73" s="52">
        <f>D73/$D$71</f>
        <v>0</v>
      </c>
      <c r="F73" s="60"/>
      <c r="G73" s="52">
        <f>F73/$F$71</f>
        <v>0</v>
      </c>
      <c r="H73" s="52"/>
      <c r="I73" s="52"/>
      <c r="J73" s="60"/>
      <c r="K73" s="51">
        <f>J73/$J$71</f>
        <v>0</v>
      </c>
      <c r="L73" s="51"/>
      <c r="M73" s="51"/>
      <c r="N73" s="53"/>
      <c r="O73" s="53"/>
    </row>
    <row r="74" spans="1:15" x14ac:dyDescent="0.55000000000000004">
      <c r="A74" s="51" t="s">
        <v>219</v>
      </c>
      <c r="B74" s="60"/>
      <c r="C74" s="52"/>
      <c r="D74" s="60"/>
      <c r="E74" s="52"/>
      <c r="F74" s="60"/>
      <c r="G74" s="52"/>
      <c r="H74" s="52"/>
      <c r="I74" s="52"/>
      <c r="J74" s="60"/>
      <c r="K74" s="51"/>
      <c r="L74" s="51"/>
      <c r="M74" s="51"/>
      <c r="N74" s="53"/>
      <c r="O74" s="53"/>
    </row>
    <row r="75" spans="1:15" x14ac:dyDescent="0.55000000000000004">
      <c r="A75" s="51" t="s">
        <v>147</v>
      </c>
      <c r="B75" s="60"/>
      <c r="C75" s="52"/>
      <c r="D75" s="60"/>
      <c r="E75" s="52"/>
      <c r="F75" s="60"/>
      <c r="G75" s="52"/>
      <c r="H75" s="52"/>
      <c r="I75" s="52"/>
      <c r="J75" s="60"/>
      <c r="K75" s="51"/>
      <c r="L75" s="51"/>
      <c r="M75" s="51"/>
      <c r="N75" s="53"/>
      <c r="O75" s="53"/>
    </row>
    <row r="76" spans="1:15" x14ac:dyDescent="0.55000000000000004">
      <c r="A76" s="51" t="s">
        <v>148</v>
      </c>
      <c r="B76" s="60"/>
      <c r="C76" s="52"/>
      <c r="D76" s="60"/>
      <c r="E76" s="52"/>
      <c r="F76" s="60"/>
      <c r="G76" s="52"/>
      <c r="H76" s="52"/>
      <c r="I76" s="52"/>
      <c r="J76" s="60"/>
      <c r="K76" s="51"/>
      <c r="L76" s="51"/>
      <c r="M76" s="51"/>
      <c r="N76" s="53"/>
      <c r="O76" s="53"/>
    </row>
    <row r="77" spans="1:15" x14ac:dyDescent="0.55000000000000004">
      <c r="A77" s="51" t="s">
        <v>98</v>
      </c>
      <c r="B77" s="60"/>
      <c r="C77" s="93">
        <f t="shared" ref="C77:C85" si="9">B77/$B$71</f>
        <v>0</v>
      </c>
      <c r="D77" s="60"/>
      <c r="E77" s="93">
        <f t="shared" ref="E77:E85" si="10">D77/$D$71</f>
        <v>0</v>
      </c>
      <c r="F77" s="60"/>
      <c r="G77" s="93">
        <f t="shared" ref="G77:G85" si="11">F77/$F$71</f>
        <v>0</v>
      </c>
      <c r="H77" s="93"/>
      <c r="I77" s="93"/>
      <c r="J77" s="60"/>
      <c r="K77" s="51">
        <f t="shared" ref="K77:K85" si="12">J77/$J$71</f>
        <v>0</v>
      </c>
      <c r="L77" s="51"/>
      <c r="M77" s="51"/>
      <c r="N77" s="53"/>
      <c r="O77" s="51" t="s">
        <v>217</v>
      </c>
    </row>
    <row r="78" spans="1:15" ht="57.6" x14ac:dyDescent="0.55000000000000004">
      <c r="A78" s="51" t="s">
        <v>99</v>
      </c>
      <c r="B78" s="100">
        <v>129.25</v>
      </c>
      <c r="C78" s="93">
        <f t="shared" si="9"/>
        <v>0.30340375586854462</v>
      </c>
      <c r="D78" s="100">
        <v>1569.6</v>
      </c>
      <c r="E78" s="93">
        <f t="shared" si="10"/>
        <v>0.67163029525032092</v>
      </c>
      <c r="F78" s="100">
        <v>6.93</v>
      </c>
      <c r="G78" s="93">
        <f t="shared" si="11"/>
        <v>4.3043478260869565E-2</v>
      </c>
      <c r="H78" s="93"/>
      <c r="I78" s="93"/>
      <c r="J78" s="96"/>
      <c r="K78" s="51">
        <f t="shared" si="12"/>
        <v>0</v>
      </c>
      <c r="L78" s="51"/>
      <c r="M78" s="51"/>
      <c r="N78" s="55" t="s">
        <v>200</v>
      </c>
      <c r="O78" s="55" t="s">
        <v>201</v>
      </c>
    </row>
    <row r="79" spans="1:15" ht="57.6" x14ac:dyDescent="0.55000000000000004">
      <c r="A79" s="51" t="s">
        <v>100</v>
      </c>
      <c r="B79" s="60" t="s">
        <v>204</v>
      </c>
      <c r="C79" s="52" t="e">
        <f t="shared" si="9"/>
        <v>#VALUE!</v>
      </c>
      <c r="D79" s="60" t="s">
        <v>204</v>
      </c>
      <c r="E79" s="52" t="e">
        <f t="shared" si="10"/>
        <v>#VALUE!</v>
      </c>
      <c r="F79" s="60" t="s">
        <v>204</v>
      </c>
      <c r="G79" s="52" t="e">
        <f t="shared" si="11"/>
        <v>#VALUE!</v>
      </c>
      <c r="H79" s="52"/>
      <c r="I79" s="52"/>
      <c r="J79" s="60" t="s">
        <v>204</v>
      </c>
      <c r="K79" s="51" t="e">
        <f t="shared" si="12"/>
        <v>#VALUE!</v>
      </c>
      <c r="L79" s="51"/>
      <c r="M79" s="51"/>
      <c r="N79" s="53"/>
      <c r="O79" s="55" t="s">
        <v>202</v>
      </c>
    </row>
    <row r="80" spans="1:15" ht="57.6" x14ac:dyDescent="0.55000000000000004">
      <c r="A80" s="51" t="s">
        <v>101</v>
      </c>
      <c r="B80" s="60" t="s">
        <v>204</v>
      </c>
      <c r="C80" s="52" t="e">
        <f t="shared" si="9"/>
        <v>#VALUE!</v>
      </c>
      <c r="D80" s="60" t="s">
        <v>204</v>
      </c>
      <c r="E80" s="52" t="e">
        <f t="shared" si="10"/>
        <v>#VALUE!</v>
      </c>
      <c r="F80" s="60" t="s">
        <v>204</v>
      </c>
      <c r="G80" s="52" t="e">
        <f t="shared" si="11"/>
        <v>#VALUE!</v>
      </c>
      <c r="H80" s="52"/>
      <c r="I80" s="52"/>
      <c r="J80" s="60" t="s">
        <v>204</v>
      </c>
      <c r="K80" s="51" t="e">
        <f t="shared" si="12"/>
        <v>#VALUE!</v>
      </c>
      <c r="L80" s="51"/>
      <c r="M80" s="51"/>
      <c r="N80" s="53"/>
      <c r="O80" s="55" t="s">
        <v>205</v>
      </c>
    </row>
    <row r="81" spans="1:15" ht="72" x14ac:dyDescent="0.55000000000000004">
      <c r="A81" s="51" t="s">
        <v>102</v>
      </c>
      <c r="B81" s="60" t="s">
        <v>204</v>
      </c>
      <c r="C81" s="52" t="e">
        <f t="shared" si="9"/>
        <v>#VALUE!</v>
      </c>
      <c r="D81" s="60" t="s">
        <v>204</v>
      </c>
      <c r="E81" s="52" t="e">
        <f t="shared" si="10"/>
        <v>#VALUE!</v>
      </c>
      <c r="F81" s="60" t="s">
        <v>204</v>
      </c>
      <c r="G81" s="52" t="e">
        <f t="shared" si="11"/>
        <v>#VALUE!</v>
      </c>
      <c r="H81" s="52"/>
      <c r="I81" s="52"/>
      <c r="J81" s="60" t="s">
        <v>204</v>
      </c>
      <c r="K81" s="51" t="e">
        <f t="shared" si="12"/>
        <v>#VALUE!</v>
      </c>
      <c r="L81" s="51"/>
      <c r="M81" s="51"/>
      <c r="N81" s="53"/>
      <c r="O81" s="55" t="s">
        <v>208</v>
      </c>
    </row>
    <row r="82" spans="1:15" ht="28.8" x14ac:dyDescent="0.55000000000000004">
      <c r="A82" s="51" t="s">
        <v>103</v>
      </c>
      <c r="B82" s="60" t="s">
        <v>204</v>
      </c>
      <c r="C82" s="52" t="e">
        <f t="shared" si="9"/>
        <v>#VALUE!</v>
      </c>
      <c r="D82" s="60" t="s">
        <v>204</v>
      </c>
      <c r="E82" s="52" t="e">
        <f t="shared" si="10"/>
        <v>#VALUE!</v>
      </c>
      <c r="F82" s="60" t="s">
        <v>204</v>
      </c>
      <c r="G82" s="52" t="e">
        <f t="shared" si="11"/>
        <v>#VALUE!</v>
      </c>
      <c r="H82" s="52"/>
      <c r="I82" s="52"/>
      <c r="J82" s="60" t="s">
        <v>204</v>
      </c>
      <c r="K82" s="51" t="e">
        <f t="shared" si="12"/>
        <v>#VALUE!</v>
      </c>
      <c r="L82" s="51"/>
      <c r="M82" s="51"/>
      <c r="N82" s="53"/>
      <c r="O82" s="55" t="s">
        <v>210</v>
      </c>
    </row>
    <row r="83" spans="1:15" x14ac:dyDescent="0.55000000000000004">
      <c r="A83" s="51" t="s">
        <v>104</v>
      </c>
      <c r="B83" s="60" t="s">
        <v>204</v>
      </c>
      <c r="C83" s="52" t="e">
        <f t="shared" si="9"/>
        <v>#VALUE!</v>
      </c>
      <c r="D83" s="60" t="s">
        <v>204</v>
      </c>
      <c r="E83" s="52" t="e">
        <f t="shared" si="10"/>
        <v>#VALUE!</v>
      </c>
      <c r="F83" s="60" t="s">
        <v>204</v>
      </c>
      <c r="G83" s="52" t="e">
        <f t="shared" si="11"/>
        <v>#VALUE!</v>
      </c>
      <c r="H83" s="52"/>
      <c r="I83" s="52"/>
      <c r="J83" s="60" t="s">
        <v>204</v>
      </c>
      <c r="K83" s="51" t="e">
        <f t="shared" si="12"/>
        <v>#VALUE!</v>
      </c>
      <c r="L83" s="51"/>
      <c r="M83" s="51"/>
      <c r="N83" s="53"/>
      <c r="O83" s="55" t="s">
        <v>213</v>
      </c>
    </row>
    <row r="84" spans="1:15" ht="115.2" x14ac:dyDescent="0.55000000000000004">
      <c r="A84" s="51" t="s">
        <v>105</v>
      </c>
      <c r="B84" s="60" t="s">
        <v>204</v>
      </c>
      <c r="C84" s="52" t="e">
        <f t="shared" si="9"/>
        <v>#VALUE!</v>
      </c>
      <c r="D84" s="60" t="s">
        <v>204</v>
      </c>
      <c r="E84" s="52" t="e">
        <f t="shared" si="10"/>
        <v>#VALUE!</v>
      </c>
      <c r="F84" s="60" t="s">
        <v>204</v>
      </c>
      <c r="G84" s="52" t="e">
        <f t="shared" si="11"/>
        <v>#VALUE!</v>
      </c>
      <c r="H84" s="52"/>
      <c r="I84" s="52"/>
      <c r="J84" s="60" t="s">
        <v>204</v>
      </c>
      <c r="K84" s="51" t="e">
        <f t="shared" si="12"/>
        <v>#VALUE!</v>
      </c>
      <c r="L84" s="51"/>
      <c r="M84" s="51"/>
      <c r="N84" s="53"/>
      <c r="O84" s="55" t="s">
        <v>216</v>
      </c>
    </row>
    <row r="85" spans="1:15" x14ac:dyDescent="0.55000000000000004">
      <c r="A85" s="51" t="s">
        <v>106</v>
      </c>
      <c r="B85" s="60"/>
      <c r="C85" s="52">
        <f t="shared" si="9"/>
        <v>0</v>
      </c>
      <c r="D85" s="60"/>
      <c r="E85" s="52">
        <f t="shared" si="10"/>
        <v>0</v>
      </c>
      <c r="F85" s="60"/>
      <c r="G85" s="52">
        <f t="shared" si="11"/>
        <v>0</v>
      </c>
      <c r="H85" s="52"/>
      <c r="I85" s="52"/>
      <c r="J85" s="60"/>
      <c r="K85" s="51">
        <f t="shared" si="12"/>
        <v>0</v>
      </c>
      <c r="L85" s="51"/>
      <c r="M85" s="51"/>
      <c r="N85" s="53"/>
      <c r="O85" s="55"/>
    </row>
    <row r="88" spans="1:15" x14ac:dyDescent="0.55000000000000004">
      <c r="C88" s="30"/>
      <c r="D88" s="30"/>
      <c r="E88" s="30"/>
      <c r="F88" s="30"/>
      <c r="G88" s="30"/>
      <c r="H88" s="30"/>
      <c r="I88" s="30"/>
    </row>
    <row r="89" spans="1:15" x14ac:dyDescent="0.55000000000000004">
      <c r="A89" s="33"/>
    </row>
  </sheetData>
  <mergeCells count="18">
    <mergeCell ref="J25:K25"/>
    <mergeCell ref="H25:I25"/>
    <mergeCell ref="H48:I48"/>
    <mergeCell ref="H69:I69"/>
    <mergeCell ref="L69:M69"/>
    <mergeCell ref="L25:M25"/>
    <mergeCell ref="L48:M48"/>
    <mergeCell ref="J69:K69"/>
    <mergeCell ref="B48:C48"/>
    <mergeCell ref="D48:E48"/>
    <mergeCell ref="F48:G48"/>
    <mergeCell ref="J48:K48"/>
    <mergeCell ref="B25:C25"/>
    <mergeCell ref="D25:E25"/>
    <mergeCell ref="F25:G25"/>
    <mergeCell ref="B69:C69"/>
    <mergeCell ref="D69:E69"/>
    <mergeCell ref="F69:G69"/>
  </mergeCells>
  <conditionalFormatting sqref="A70:A73 A77:A85">
    <cfRule type="duplicateValues" dxfId="3" priority="4"/>
  </conditionalFormatting>
  <conditionalFormatting sqref="A3:A19">
    <cfRule type="duplicateValues" dxfId="2" priority="3"/>
  </conditionalFormatting>
  <conditionalFormatting sqref="D3:D19">
    <cfRule type="duplicateValues" dxfId="1" priority="2"/>
  </conditionalFormatting>
  <conditionalFormatting sqref="G3:G20">
    <cfRule type="duplicateValues" dxfId="0" priority="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workbookViewId="0">
      <selection activeCell="C5" sqref="C5"/>
    </sheetView>
  </sheetViews>
  <sheetFormatPr defaultRowHeight="14.4" x14ac:dyDescent="0.55000000000000004"/>
  <cols>
    <col min="1" max="1" width="20.26171875" customWidth="1"/>
    <col min="2" max="2" width="25.15625" customWidth="1"/>
    <col min="3" max="3" width="20.83984375" bestFit="1" customWidth="1"/>
    <col min="4" max="4" width="29.578125" bestFit="1" customWidth="1"/>
    <col min="5" max="5" width="62.83984375" bestFit="1" customWidth="1"/>
    <col min="6" max="6" width="32.15625" customWidth="1"/>
    <col min="7" max="7" width="19.15625" customWidth="1"/>
    <col min="8" max="8" width="18.83984375" customWidth="1"/>
  </cols>
  <sheetData>
    <row r="1" spans="1:8" ht="25.8" x14ac:dyDescent="0.95">
      <c r="A1" s="50" t="s">
        <v>171</v>
      </c>
    </row>
    <row r="2" spans="1:8" ht="100.8" x14ac:dyDescent="0.55000000000000004">
      <c r="A2" s="31" t="s">
        <v>91</v>
      </c>
      <c r="B2" s="32" t="s">
        <v>114</v>
      </c>
      <c r="C2" s="32" t="s">
        <v>93</v>
      </c>
      <c r="D2" s="31" t="s">
        <v>92</v>
      </c>
      <c r="E2" s="31" t="s">
        <v>95</v>
      </c>
      <c r="F2" s="32" t="s">
        <v>162</v>
      </c>
      <c r="G2" s="32" t="s">
        <v>172</v>
      </c>
      <c r="H2" s="32" t="s">
        <v>174</v>
      </c>
    </row>
    <row r="3" spans="1:8" x14ac:dyDescent="0.55000000000000004">
      <c r="A3" s="30" t="s">
        <v>51</v>
      </c>
      <c r="B3" s="30">
        <f>'Other Inputs '!B5</f>
        <v>2013</v>
      </c>
      <c r="C3" s="35">
        <v>0.79300000000000004</v>
      </c>
      <c r="D3" s="30" t="s">
        <v>94</v>
      </c>
      <c r="E3" s="30" t="s">
        <v>96</v>
      </c>
      <c r="F3" s="42" t="s">
        <v>175</v>
      </c>
      <c r="G3" s="30" t="s">
        <v>113</v>
      </c>
      <c r="H3" s="34" t="s">
        <v>113</v>
      </c>
    </row>
    <row r="4" spans="1:8" ht="30" customHeight="1" x14ac:dyDescent="0.55000000000000004">
      <c r="A4" s="30" t="s">
        <v>160</v>
      </c>
      <c r="B4" s="30">
        <f>'Other Inputs '!B6</f>
        <v>2016</v>
      </c>
      <c r="C4" s="34">
        <f>AVERAGE(0.72,0.68)</f>
        <v>0.7</v>
      </c>
      <c r="D4" s="144" t="s">
        <v>161</v>
      </c>
      <c r="E4" s="144" t="s">
        <v>108</v>
      </c>
      <c r="F4" s="30" t="s">
        <v>176</v>
      </c>
      <c r="G4" s="30" t="s">
        <v>113</v>
      </c>
      <c r="H4" s="34" t="s">
        <v>113</v>
      </c>
    </row>
    <row r="5" spans="1:8" ht="30" customHeight="1" x14ac:dyDescent="0.55000000000000004">
      <c r="A5" s="30" t="s">
        <v>146</v>
      </c>
      <c r="B5" s="30">
        <f>'Other Inputs '!B7</f>
        <v>2017</v>
      </c>
      <c r="C5" s="34">
        <f>AVERAGE(0.72,0.68)</f>
        <v>0.7</v>
      </c>
      <c r="D5" s="144"/>
      <c r="E5" s="144"/>
      <c r="F5" s="30" t="s">
        <v>176</v>
      </c>
      <c r="G5" s="30" t="s">
        <v>113</v>
      </c>
      <c r="H5" s="34" t="s">
        <v>113</v>
      </c>
    </row>
    <row r="6" spans="1:8" ht="30" customHeight="1" x14ac:dyDescent="0.55000000000000004">
      <c r="A6" s="30" t="s">
        <v>147</v>
      </c>
      <c r="B6" s="30">
        <f>'Other Inputs '!B8</f>
        <v>2017</v>
      </c>
      <c r="C6" s="34">
        <f>AVERAGE(0.72,0.68)</f>
        <v>0.7</v>
      </c>
      <c r="D6" s="144"/>
      <c r="E6" s="144"/>
      <c r="F6" s="30" t="s">
        <v>176</v>
      </c>
      <c r="G6" s="30" t="s">
        <v>113</v>
      </c>
      <c r="H6" s="34" t="s">
        <v>113</v>
      </c>
    </row>
    <row r="7" spans="1:8" ht="30" customHeight="1" x14ac:dyDescent="0.55000000000000004">
      <c r="A7" s="30" t="s">
        <v>148</v>
      </c>
      <c r="B7" s="30">
        <f>'Other Inputs '!B9</f>
        <v>2018</v>
      </c>
      <c r="C7" s="34">
        <f>AVERAGE(0.72,0.68)</f>
        <v>0.7</v>
      </c>
      <c r="D7" s="144"/>
      <c r="E7" s="144"/>
      <c r="F7" s="30" t="s">
        <v>176</v>
      </c>
      <c r="G7" s="30" t="s">
        <v>113</v>
      </c>
      <c r="H7" s="34" t="s">
        <v>113</v>
      </c>
    </row>
    <row r="8" spans="1:8" ht="28.8" x14ac:dyDescent="0.55000000000000004">
      <c r="A8" s="30" t="s">
        <v>98</v>
      </c>
      <c r="B8" s="30">
        <f>'Other Inputs '!B10</f>
        <v>2016</v>
      </c>
      <c r="C8" s="34">
        <f>AVERAGE(0.98,0.977)</f>
        <v>0.97849999999999993</v>
      </c>
      <c r="D8" s="30" t="s">
        <v>107</v>
      </c>
      <c r="E8" s="33" t="s">
        <v>108</v>
      </c>
      <c r="F8" s="33" t="s">
        <v>177</v>
      </c>
      <c r="G8" s="30" t="s">
        <v>113</v>
      </c>
      <c r="H8" s="34" t="s">
        <v>113</v>
      </c>
    </row>
    <row r="9" spans="1:8" ht="28.8" x14ac:dyDescent="0.55000000000000004">
      <c r="A9" s="30" t="s">
        <v>99</v>
      </c>
      <c r="B9" s="30">
        <f>'Other Inputs '!B11</f>
        <v>2011</v>
      </c>
      <c r="C9" s="35">
        <v>0.56000000000000005</v>
      </c>
      <c r="D9" s="30" t="s">
        <v>109</v>
      </c>
      <c r="E9" s="33" t="s">
        <v>110</v>
      </c>
      <c r="F9" s="35">
        <v>0.53</v>
      </c>
      <c r="G9" s="30">
        <v>2015</v>
      </c>
      <c r="H9" s="34">
        <f t="shared" ref="H9:H16" si="0">C9-F9</f>
        <v>3.0000000000000027E-2</v>
      </c>
    </row>
    <row r="10" spans="1:8" x14ac:dyDescent="0.55000000000000004">
      <c r="A10" s="30" t="s">
        <v>100</v>
      </c>
      <c r="B10" s="30">
        <f>'Other Inputs '!B12</f>
        <v>2015</v>
      </c>
      <c r="C10" s="34">
        <v>0.70499999999999996</v>
      </c>
      <c r="D10" s="30" t="s">
        <v>109</v>
      </c>
      <c r="E10" s="30" t="s">
        <v>111</v>
      </c>
      <c r="F10" s="35">
        <v>0.63800000000000001</v>
      </c>
      <c r="G10" s="30">
        <v>2015</v>
      </c>
      <c r="H10" s="34">
        <f t="shared" si="0"/>
        <v>6.6999999999999948E-2</v>
      </c>
    </row>
    <row r="11" spans="1:8" x14ac:dyDescent="0.55000000000000004">
      <c r="A11" s="30" t="s">
        <v>101</v>
      </c>
      <c r="B11" s="30">
        <f>'Other Inputs '!B13</f>
        <v>2016</v>
      </c>
      <c r="C11" s="34">
        <v>0.69299999999999995</v>
      </c>
      <c r="D11" s="30" t="s">
        <v>109</v>
      </c>
      <c r="E11" s="30" t="s">
        <v>111</v>
      </c>
      <c r="F11" s="35">
        <v>0.63</v>
      </c>
      <c r="G11" s="30">
        <v>2016</v>
      </c>
      <c r="H11" s="34">
        <f t="shared" si="0"/>
        <v>6.2999999999999945E-2</v>
      </c>
    </row>
    <row r="12" spans="1:8" x14ac:dyDescent="0.55000000000000004">
      <c r="A12" s="30" t="s">
        <v>102</v>
      </c>
      <c r="B12" s="30">
        <f>'Other Inputs '!B14</f>
        <v>2015</v>
      </c>
      <c r="C12" s="34">
        <v>0.71499999999999997</v>
      </c>
      <c r="D12" s="30" t="s">
        <v>109</v>
      </c>
      <c r="E12" s="30" t="s">
        <v>111</v>
      </c>
      <c r="F12" s="35">
        <v>0.68</v>
      </c>
      <c r="G12" s="30">
        <v>2015</v>
      </c>
      <c r="H12" s="34">
        <f t="shared" si="0"/>
        <v>3.499999999999992E-2</v>
      </c>
    </row>
    <row r="13" spans="1:8" x14ac:dyDescent="0.55000000000000004">
      <c r="A13" s="30" t="s">
        <v>103</v>
      </c>
      <c r="B13" s="30">
        <f>'Other Inputs '!B15</f>
        <v>2012</v>
      </c>
      <c r="C13" s="34">
        <v>0.67600000000000005</v>
      </c>
      <c r="D13" s="30" t="s">
        <v>109</v>
      </c>
      <c r="E13" s="30" t="s">
        <v>111</v>
      </c>
      <c r="F13" s="70">
        <v>0.72299999999999998</v>
      </c>
      <c r="G13" s="30">
        <v>2015</v>
      </c>
      <c r="H13" s="34">
        <f t="shared" si="0"/>
        <v>-4.6999999999999931E-2</v>
      </c>
    </row>
    <row r="14" spans="1:8" x14ac:dyDescent="0.55000000000000004">
      <c r="A14" s="30" t="s">
        <v>104</v>
      </c>
      <c r="B14" s="30">
        <f>'Other Inputs '!B16</f>
        <v>2016</v>
      </c>
      <c r="C14" s="35">
        <f>AVERAGE(C9:C13,C15:C16)</f>
        <v>0.68142857142857149</v>
      </c>
      <c r="D14" s="30" t="s">
        <v>113</v>
      </c>
      <c r="E14" s="33" t="s">
        <v>112</v>
      </c>
      <c r="F14" s="35">
        <v>0.92</v>
      </c>
      <c r="G14" s="30">
        <v>2016</v>
      </c>
      <c r="H14" s="34">
        <f t="shared" si="0"/>
        <v>-0.23857142857142855</v>
      </c>
    </row>
    <row r="15" spans="1:8" x14ac:dyDescent="0.55000000000000004">
      <c r="A15" s="30" t="s">
        <v>105</v>
      </c>
      <c r="B15" s="30">
        <f>'Other Inputs '!B17</f>
        <v>2016</v>
      </c>
      <c r="C15" s="34">
        <v>0.78300000000000003</v>
      </c>
      <c r="D15" s="30" t="s">
        <v>109</v>
      </c>
      <c r="E15" s="30" t="s">
        <v>111</v>
      </c>
      <c r="F15" s="35">
        <v>0.82</v>
      </c>
      <c r="G15" s="30">
        <v>2016</v>
      </c>
      <c r="H15" s="34">
        <f t="shared" si="0"/>
        <v>-3.6999999999999922E-2</v>
      </c>
    </row>
    <row r="16" spans="1:8" x14ac:dyDescent="0.55000000000000004">
      <c r="A16" s="30" t="s">
        <v>106</v>
      </c>
      <c r="B16" s="30">
        <f>'Other Inputs '!B18</f>
        <v>2016</v>
      </c>
      <c r="C16" s="34">
        <v>0.63800000000000001</v>
      </c>
      <c r="D16" s="30" t="s">
        <v>109</v>
      </c>
      <c r="E16" s="30" t="s">
        <v>111</v>
      </c>
      <c r="F16" s="35">
        <v>0.83</v>
      </c>
      <c r="G16" s="30">
        <v>2016</v>
      </c>
      <c r="H16" s="34">
        <f t="shared" si="0"/>
        <v>-0.19199999999999995</v>
      </c>
    </row>
    <row r="17" spans="1:6" x14ac:dyDescent="0.55000000000000004">
      <c r="A17" s="30"/>
      <c r="B17" s="30"/>
      <c r="C17" s="34"/>
      <c r="D17" s="30"/>
      <c r="E17" s="30"/>
      <c r="F17" s="30"/>
    </row>
    <row r="18" spans="1:6" x14ac:dyDescent="0.55000000000000004">
      <c r="A18" s="30"/>
      <c r="B18" s="30"/>
      <c r="C18" s="34"/>
      <c r="D18" s="30"/>
      <c r="E18" s="30"/>
      <c r="F18" s="30"/>
    </row>
    <row r="19" spans="1:6" x14ac:dyDescent="0.55000000000000004">
      <c r="A19" s="31" t="s">
        <v>159</v>
      </c>
      <c r="B19" s="30"/>
      <c r="C19" s="30"/>
      <c r="D19" s="30"/>
    </row>
    <row r="20" spans="1:6" ht="54" customHeight="1" x14ac:dyDescent="0.55000000000000004">
      <c r="A20" s="143" t="s">
        <v>170</v>
      </c>
      <c r="B20" s="143"/>
      <c r="C20" s="143"/>
      <c r="D20" s="143"/>
      <c r="E20" s="143"/>
    </row>
    <row r="21" spans="1:6" ht="169.5" customHeight="1" x14ac:dyDescent="0.55000000000000004">
      <c r="A21" s="145" t="s">
        <v>178</v>
      </c>
      <c r="B21" s="145"/>
      <c r="C21" s="145"/>
      <c r="D21" s="145"/>
      <c r="E21" s="145"/>
    </row>
    <row r="22" spans="1:6" x14ac:dyDescent="0.55000000000000004">
      <c r="A22" s="30"/>
      <c r="B22" s="30"/>
      <c r="C22" s="30"/>
      <c r="D22" s="30"/>
    </row>
    <row r="23" spans="1:6" x14ac:dyDescent="0.55000000000000004">
      <c r="A23" s="30"/>
      <c r="B23" s="30"/>
      <c r="C23" s="30"/>
      <c r="D23" s="30"/>
    </row>
    <row r="25" spans="1:6" x14ac:dyDescent="0.55000000000000004">
      <c r="A25" t="s">
        <v>173</v>
      </c>
    </row>
    <row r="27" spans="1:6" x14ac:dyDescent="0.55000000000000004">
      <c r="B27" s="13"/>
    </row>
    <row r="28" spans="1:6" x14ac:dyDescent="0.55000000000000004">
      <c r="B28" s="38"/>
      <c r="C28" s="21"/>
    </row>
    <row r="29" spans="1:6" x14ac:dyDescent="0.55000000000000004">
      <c r="B29" t="s">
        <v>233</v>
      </c>
      <c r="C29" s="6" t="s">
        <v>234</v>
      </c>
      <c r="D29" t="s">
        <v>235</v>
      </c>
    </row>
    <row r="30" spans="1:6" x14ac:dyDescent="0.55000000000000004">
      <c r="B30" s="6">
        <v>0.79300000000000004</v>
      </c>
      <c r="C30" s="6">
        <f>0.062</f>
        <v>6.2E-2</v>
      </c>
      <c r="D30" s="9">
        <f>B30+C30</f>
        <v>0.85499999999999998</v>
      </c>
      <c r="E30" s="16">
        <f>(D30-B30)/B30</f>
        <v>7.8184110970996146E-2</v>
      </c>
    </row>
    <row r="31" spans="1:6" x14ac:dyDescent="0.55000000000000004">
      <c r="C31" s="6"/>
    </row>
    <row r="32" spans="1:6" x14ac:dyDescent="0.55000000000000004">
      <c r="B32" s="12" t="s">
        <v>236</v>
      </c>
      <c r="C32" s="6"/>
      <c r="D32" t="s">
        <v>237</v>
      </c>
    </row>
    <row r="33" spans="2:5" x14ac:dyDescent="0.55000000000000004">
      <c r="B33" s="9">
        <f>1-B30</f>
        <v>0.20699999999999996</v>
      </c>
      <c r="D33" s="9">
        <f>1-D30</f>
        <v>0.14500000000000002</v>
      </c>
      <c r="E33" s="6">
        <f>(B33-D33)/B33</f>
        <v>0.29951690821256016</v>
      </c>
    </row>
  </sheetData>
  <mergeCells count="4">
    <mergeCell ref="A20:E20"/>
    <mergeCell ref="E4:E7"/>
    <mergeCell ref="D4:D7"/>
    <mergeCell ref="A21:E2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selection activeCell="J4" sqref="J4"/>
    </sheetView>
  </sheetViews>
  <sheetFormatPr defaultRowHeight="14.4" x14ac:dyDescent="0.55000000000000004"/>
  <cols>
    <col min="1" max="1" width="21.41796875" customWidth="1"/>
    <col min="2" max="2" width="21" customWidth="1"/>
    <col min="3" max="3" width="24" customWidth="1"/>
    <col min="4" max="4" width="25.26171875" customWidth="1"/>
    <col min="5" max="5" width="21" customWidth="1"/>
    <col min="6" max="6" width="23.83984375" customWidth="1"/>
    <col min="7" max="7" width="25.578125" customWidth="1"/>
    <col min="8" max="8" width="25.68359375" customWidth="1"/>
    <col min="9" max="9" width="24.15625" bestFit="1" customWidth="1"/>
    <col min="10" max="10" width="24" customWidth="1"/>
    <col min="11" max="11" width="28.15625" customWidth="1"/>
    <col min="12" max="12" width="22.83984375" customWidth="1"/>
  </cols>
  <sheetData>
    <row r="1" spans="1:12" ht="25.8" x14ac:dyDescent="0.95">
      <c r="A1" s="50" t="s">
        <v>248</v>
      </c>
    </row>
    <row r="2" spans="1:12" ht="19.5" customHeight="1" x14ac:dyDescent="0.95">
      <c r="A2" s="50"/>
      <c r="G2" s="147" t="s">
        <v>276</v>
      </c>
      <c r="H2" s="147"/>
      <c r="I2" s="147"/>
      <c r="J2" s="148" t="s">
        <v>277</v>
      </c>
      <c r="K2" s="148"/>
      <c r="L2" s="148"/>
    </row>
    <row r="3" spans="1:12" ht="57.6" x14ac:dyDescent="0.55000000000000004">
      <c r="A3" s="31" t="s">
        <v>91</v>
      </c>
      <c r="B3" s="32" t="s">
        <v>114</v>
      </c>
      <c r="C3" s="32" t="s">
        <v>143</v>
      </c>
      <c r="D3" s="32" t="s">
        <v>140</v>
      </c>
      <c r="E3" s="32" t="s">
        <v>115</v>
      </c>
      <c r="F3" s="32" t="s">
        <v>158</v>
      </c>
      <c r="G3" s="32" t="s">
        <v>278</v>
      </c>
      <c r="H3" s="32" t="s">
        <v>280</v>
      </c>
      <c r="I3" s="32" t="s">
        <v>279</v>
      </c>
      <c r="J3" s="32" t="s">
        <v>278</v>
      </c>
      <c r="K3" s="32" t="s">
        <v>280</v>
      </c>
      <c r="L3" s="32" t="s">
        <v>281</v>
      </c>
    </row>
    <row r="4" spans="1:12" x14ac:dyDescent="0.55000000000000004">
      <c r="A4" s="30" t="s">
        <v>122</v>
      </c>
      <c r="B4" s="32"/>
      <c r="C4" s="32"/>
      <c r="D4" s="32"/>
      <c r="E4" s="32"/>
      <c r="F4" s="32"/>
      <c r="G4" s="109">
        <f>((B26+B25)-B26)/B26</f>
        <v>7.8184110970996146E-2</v>
      </c>
      <c r="H4" s="109">
        <f>((B26+B25)-B26)/B26</f>
        <v>7.8184110970996146E-2</v>
      </c>
      <c r="I4" s="109">
        <f>((B26+B25)-B26)/B26</f>
        <v>7.8184110970996146E-2</v>
      </c>
      <c r="J4" s="35">
        <f>ABS(((B24-B23)-B24)/B24)</f>
        <v>0.81081081081081074</v>
      </c>
      <c r="K4" s="35">
        <f>ABS(((B24-B23)-B24)/B24)</f>
        <v>0.81081081081081074</v>
      </c>
      <c r="L4" s="34">
        <f>ABS(((B24-B23)-B24)/B24)</f>
        <v>0.81081081081081074</v>
      </c>
    </row>
    <row r="5" spans="1:12" x14ac:dyDescent="0.55000000000000004">
      <c r="A5" s="30" t="s">
        <v>51</v>
      </c>
      <c r="B5" s="42">
        <v>2013</v>
      </c>
      <c r="C5" s="42" t="s">
        <v>144</v>
      </c>
      <c r="D5" s="39">
        <v>5953198</v>
      </c>
      <c r="E5" s="39">
        <v>4348857</v>
      </c>
      <c r="F5" s="67">
        <v>0.47309949599703632</v>
      </c>
      <c r="G5" s="108">
        <f>($I$4/2)*'Prevalence Inputs '!E5</f>
        <v>7.5825895416059275E-3</v>
      </c>
      <c r="H5" s="108">
        <f>($I$4/2)*'Prevalence Inputs '!H5</f>
        <v>3.3032786885245869E-3</v>
      </c>
      <c r="I5" s="108">
        <f>($I$4/2)*'Prevalence Inputs '!B5</f>
        <v>1.0226114776868378E-2</v>
      </c>
      <c r="J5" s="34">
        <f>($L$4/2)*'Prevalence Inputs '!E5</f>
        <v>7.8635486135486127E-2</v>
      </c>
      <c r="K5" s="34">
        <f>($L$4/2)*'Prevalence Inputs '!H5</f>
        <v>3.4256756756756754E-2</v>
      </c>
      <c r="L5" s="34">
        <f>($L$4/2)*'Prevalence Inputs '!B5</f>
        <v>0.10605024871041802</v>
      </c>
    </row>
    <row r="6" spans="1:12" x14ac:dyDescent="0.55000000000000004">
      <c r="A6" s="30" t="s">
        <v>141</v>
      </c>
      <c r="B6" s="123">
        <v>2016</v>
      </c>
      <c r="C6" s="123" t="s">
        <v>144</v>
      </c>
      <c r="D6" s="39">
        <v>492179</v>
      </c>
      <c r="E6" s="43" t="s">
        <v>164</v>
      </c>
      <c r="F6" s="67">
        <v>0.73999864222406875</v>
      </c>
      <c r="G6" s="108">
        <f>($I$4/2)*'Prevalence Inputs '!E6</f>
        <v>0</v>
      </c>
      <c r="H6" s="108" t="e">
        <f>($I$4/2)*'Prevalence Inputs '!H6</f>
        <v>#VALUE!</v>
      </c>
      <c r="I6" s="108">
        <f>($I$4/2)*'Prevalence Inputs '!B6</f>
        <v>0</v>
      </c>
      <c r="J6" s="34">
        <f>($L$4/2)*'Prevalence Inputs '!E6</f>
        <v>0</v>
      </c>
      <c r="K6" s="34" t="e">
        <f>($L$4/2)*'Prevalence Inputs '!H6</f>
        <v>#VALUE!</v>
      </c>
      <c r="L6" s="34">
        <f>($L$4/2)*'Prevalence Inputs '!B6</f>
        <v>0</v>
      </c>
    </row>
    <row r="7" spans="1:12" x14ac:dyDescent="0.55000000000000004">
      <c r="A7" s="30" t="s">
        <v>146</v>
      </c>
      <c r="B7" s="123">
        <v>2017</v>
      </c>
      <c r="C7" s="123" t="s">
        <v>144</v>
      </c>
      <c r="D7" s="39">
        <v>1284401</v>
      </c>
      <c r="E7" s="43" t="s">
        <v>164</v>
      </c>
      <c r="F7" s="67">
        <v>0.52022512816856348</v>
      </c>
      <c r="G7" s="108">
        <f>($I$4/2)*'Prevalence Inputs '!E7</f>
        <v>0</v>
      </c>
      <c r="H7" s="108">
        <f>($I$4/2)*'Prevalence Inputs '!H7</f>
        <v>0</v>
      </c>
      <c r="I7" s="108">
        <f>($I$4/2)*'Prevalence Inputs '!B7</f>
        <v>0</v>
      </c>
      <c r="J7" s="34">
        <f>($L$4/2)*'Prevalence Inputs '!E7</f>
        <v>0</v>
      </c>
      <c r="K7" s="34">
        <f>($L$4/2)*'Prevalence Inputs '!H7</f>
        <v>0</v>
      </c>
      <c r="L7" s="34">
        <f>($L$4/2)*'Prevalence Inputs '!B7</f>
        <v>0</v>
      </c>
    </row>
    <row r="8" spans="1:12" x14ac:dyDescent="0.55000000000000004">
      <c r="A8" s="30" t="s">
        <v>147</v>
      </c>
      <c r="B8" s="123">
        <v>2017</v>
      </c>
      <c r="C8" s="123" t="s">
        <v>144</v>
      </c>
      <c r="D8" s="39">
        <v>521739</v>
      </c>
      <c r="E8" s="43" t="s">
        <v>164</v>
      </c>
      <c r="F8" s="67">
        <v>0.87872869114521002</v>
      </c>
      <c r="G8" s="108">
        <f>($I$4/2)*'Prevalence Inputs '!E8</f>
        <v>0</v>
      </c>
      <c r="H8" s="108">
        <f>($I$4/2)*'Prevalence Inputs '!H8</f>
        <v>0</v>
      </c>
      <c r="I8" s="108">
        <f>($I$4/2)*'Prevalence Inputs '!B8</f>
        <v>0</v>
      </c>
      <c r="J8" s="34">
        <f>($L$4/2)*'Prevalence Inputs '!E8</f>
        <v>0</v>
      </c>
      <c r="K8" s="34">
        <f>($L$4/2)*'Prevalence Inputs '!H8</f>
        <v>0</v>
      </c>
      <c r="L8" s="34">
        <f>($L$4/2)*'Prevalence Inputs '!B8</f>
        <v>0</v>
      </c>
    </row>
    <row r="9" spans="1:12" x14ac:dyDescent="0.55000000000000004">
      <c r="A9" s="30" t="s">
        <v>148</v>
      </c>
      <c r="B9" s="123">
        <v>2018</v>
      </c>
      <c r="C9" s="123" t="s">
        <v>144</v>
      </c>
      <c r="D9" s="39">
        <v>1005852</v>
      </c>
      <c r="E9" s="43" t="s">
        <v>164</v>
      </c>
      <c r="F9" s="67">
        <v>0.54101271887536417</v>
      </c>
      <c r="G9" s="108">
        <f>($I$4/2)*'Prevalence Inputs '!E9</f>
        <v>0</v>
      </c>
      <c r="H9" s="108">
        <f>($I$4/2)*'Prevalence Inputs '!H9</f>
        <v>0</v>
      </c>
      <c r="I9" s="108">
        <f>($I$4/2)*'Prevalence Inputs '!B9</f>
        <v>0</v>
      </c>
      <c r="J9" s="34">
        <f>($L$4/2)*'Prevalence Inputs '!E9</f>
        <v>0</v>
      </c>
      <c r="K9" s="34">
        <f>($L$4/2)*'Prevalence Inputs '!H9</f>
        <v>0</v>
      </c>
      <c r="L9" s="34">
        <f>($L$4/2)*'Prevalence Inputs '!B9</f>
        <v>0</v>
      </c>
    </row>
    <row r="10" spans="1:12" x14ac:dyDescent="0.55000000000000004">
      <c r="A10" s="30" t="s">
        <v>98</v>
      </c>
      <c r="B10" s="42">
        <v>2016</v>
      </c>
      <c r="C10" s="42" t="s">
        <v>145</v>
      </c>
      <c r="D10" s="39">
        <v>693162</v>
      </c>
      <c r="E10" s="39">
        <v>690121</v>
      </c>
      <c r="F10" s="68">
        <v>0.47</v>
      </c>
      <c r="G10" s="108">
        <f>($I$4/2)*'Prevalence Inputs '!E10</f>
        <v>1.9193691554347274E-3</v>
      </c>
      <c r="H10" s="108">
        <f>($I$4/2)*'Prevalence Inputs '!H10</f>
        <v>8.2459804539722489E-4</v>
      </c>
      <c r="I10" s="108">
        <f>($I$4)*'Prevalence Inputs '!B10</f>
        <v>0</v>
      </c>
      <c r="J10" s="34">
        <f>($L$4)*'Prevalence Inputs '!E10</f>
        <v>3.9809757809757804E-2</v>
      </c>
      <c r="K10" s="34">
        <f>($L$4)*'Prevalence Inputs '!H10</f>
        <v>1.7103040540540536E-2</v>
      </c>
      <c r="L10" s="34">
        <f>($L$4)*'Prevalence Inputs '!B10</f>
        <v>0</v>
      </c>
    </row>
    <row r="11" spans="1:12" x14ac:dyDescent="0.55000000000000004">
      <c r="A11" s="30" t="s">
        <v>99</v>
      </c>
      <c r="B11" s="42">
        <v>2011</v>
      </c>
      <c r="C11" s="42" t="s">
        <v>144</v>
      </c>
      <c r="D11" s="69">
        <v>17044840</v>
      </c>
      <c r="E11" s="69">
        <v>15764566</v>
      </c>
      <c r="F11" s="67">
        <v>9.1552003268705204E-2</v>
      </c>
      <c r="G11" s="108">
        <f>($I$4/2)*'Prevalence Inputs '!E11</f>
        <v>1.4255654181883678E-2</v>
      </c>
      <c r="H11" s="108">
        <f>($I$4/2)*'Prevalence Inputs '!H11</f>
        <v>6.2586380832282424E-3</v>
      </c>
      <c r="I11" s="108">
        <f>($I$4/2)*'Prevalence Inputs '!B11</f>
        <v>7.7489129588959585E-3</v>
      </c>
      <c r="J11" s="34">
        <f>($L$4/2)*'Prevalence Inputs '!E11</f>
        <v>0.14783871533871534</v>
      </c>
      <c r="K11" s="34">
        <f>($L$4/2)*'Prevalence Inputs '!H11</f>
        <v>6.4905405405405403E-2</v>
      </c>
      <c r="L11" s="34">
        <f>($L$4/2)*'Prevalence Inputs '!B11</f>
        <v>8.0360348427260253E-2</v>
      </c>
    </row>
    <row r="12" spans="1:12" x14ac:dyDescent="0.55000000000000004">
      <c r="A12" s="30" t="s">
        <v>100</v>
      </c>
      <c r="B12" s="42">
        <v>2015</v>
      </c>
      <c r="C12" s="42" t="s">
        <v>144</v>
      </c>
      <c r="D12" s="69">
        <v>18490500</v>
      </c>
      <c r="E12" s="43" t="s">
        <v>163</v>
      </c>
      <c r="F12" s="67">
        <v>8.3626641805044671E-2</v>
      </c>
      <c r="G12" s="108">
        <f>($I$4/2)*'Prevalence Inputs '!E12</f>
        <v>1.8559232570707961E-3</v>
      </c>
      <c r="H12" s="108">
        <f>($I$4/2)*'Prevalence Inputs '!H12</f>
        <v>1.3560056746532143E-6</v>
      </c>
      <c r="I12" s="108" t="e">
        <f>($I$4/2)*'Prevalence Inputs '!B12</f>
        <v>#VALUE!</v>
      </c>
      <c r="J12" s="34">
        <f>($L$4/2)*'Prevalence Inputs '!E12</f>
        <v>1.9246911196911194E-2</v>
      </c>
      <c r="K12" s="34">
        <f>($L$4/2)*'Prevalence Inputs '!H12</f>
        <v>1.4062499999999998E-5</v>
      </c>
      <c r="L12" s="34" t="e">
        <f>($L$4/2)*'Prevalence Inputs '!B12</f>
        <v>#VALUE!</v>
      </c>
    </row>
    <row r="13" spans="1:12" x14ac:dyDescent="0.55000000000000004">
      <c r="A13" s="30" t="s">
        <v>101</v>
      </c>
      <c r="B13" s="42">
        <v>2016</v>
      </c>
      <c r="C13" s="42" t="s">
        <v>145</v>
      </c>
      <c r="D13" s="69">
        <v>8240036</v>
      </c>
      <c r="E13" s="69">
        <f>3431773+3586355</f>
        <v>7018128</v>
      </c>
      <c r="F13" s="67">
        <v>0.09</v>
      </c>
      <c r="G13" s="108">
        <f>($I$4/2)*'Prevalence Inputs '!E13</f>
        <v>1.3664957992826831E-2</v>
      </c>
      <c r="H13" s="108">
        <f>($I$4/2)*'Prevalence Inputs '!H13</f>
        <v>5.1992433795712443E-3</v>
      </c>
      <c r="I13" s="108" t="e">
        <f>($I$4)*'Prevalence Inputs '!B13</f>
        <v>#VALUE!</v>
      </c>
      <c r="J13" s="34">
        <f>($L$4)*'Prevalence Inputs '!E13</f>
        <v>0.28342576342576337</v>
      </c>
      <c r="K13" s="34">
        <f>($L$4)*'Prevalence Inputs '!H13</f>
        <v>0.10783783783783783</v>
      </c>
      <c r="L13" s="34" t="e">
        <f>($L$4)*'Prevalence Inputs '!B13</f>
        <v>#VALUE!</v>
      </c>
    </row>
    <row r="14" spans="1:12" x14ac:dyDescent="0.55000000000000004">
      <c r="A14" s="30" t="s">
        <v>102</v>
      </c>
      <c r="B14" s="42">
        <v>2015</v>
      </c>
      <c r="C14" s="42" t="s">
        <v>144</v>
      </c>
      <c r="D14" s="69">
        <v>916596</v>
      </c>
      <c r="E14" s="43" t="s">
        <v>163</v>
      </c>
      <c r="F14" s="67">
        <v>0.11</v>
      </c>
      <c r="G14" s="108">
        <f>($I$4/2)*'Prevalence Inputs '!E14</f>
        <v>1.1433410851443629E-2</v>
      </c>
      <c r="H14" s="108">
        <f>($I$4/2)*'Prevalence Inputs '!H14</f>
        <v>1.253389029003782E-3</v>
      </c>
      <c r="I14" s="108" t="e">
        <f>($I$4/2)*'Prevalence Inputs '!B14</f>
        <v>#VALUE!</v>
      </c>
      <c r="J14" s="34">
        <f>($L$4/2)*'Prevalence Inputs '!E14</f>
        <v>0.11857055107055108</v>
      </c>
      <c r="K14" s="34">
        <f>($L$4/2)*'Prevalence Inputs '!H14</f>
        <v>1.299831081081081E-2</v>
      </c>
      <c r="L14" s="34" t="e">
        <f>($L$4/2)*'Prevalence Inputs '!B14</f>
        <v>#VALUE!</v>
      </c>
    </row>
    <row r="15" spans="1:12" x14ac:dyDescent="0.55000000000000004">
      <c r="A15" s="30" t="s">
        <v>103</v>
      </c>
      <c r="B15" s="42">
        <v>2012</v>
      </c>
      <c r="C15" s="42" t="s">
        <v>144</v>
      </c>
      <c r="D15" s="69">
        <v>10816419</v>
      </c>
      <c r="E15" s="43" t="s">
        <v>163</v>
      </c>
      <c r="F15" s="67">
        <v>0.1012241567987337</v>
      </c>
      <c r="G15" s="108">
        <f>($I$4/2)*'Prevalence Inputs '!E15</f>
        <v>2.9938422233504176E-3</v>
      </c>
      <c r="H15" s="108" t="e">
        <f>($I$4/2)*'Prevalence Inputs '!H15</f>
        <v>#VALUE!</v>
      </c>
      <c r="I15" s="108" t="e">
        <f>($I$4/2)*'Prevalence Inputs '!B15</f>
        <v>#VALUE!</v>
      </c>
      <c r="J15" s="34">
        <f>($L$4/2)*'Prevalence Inputs '!E15</f>
        <v>3.1047736047736047E-2</v>
      </c>
      <c r="K15" s="34" t="e">
        <f>($L$4/2)*'Prevalence Inputs '!H15</f>
        <v>#VALUE!</v>
      </c>
      <c r="L15" s="34" t="e">
        <f>($L$4/2)*'Prevalence Inputs '!B15</f>
        <v>#VALUE!</v>
      </c>
    </row>
    <row r="16" spans="1:12" x14ac:dyDescent="0.55000000000000004">
      <c r="A16" s="30" t="s">
        <v>104</v>
      </c>
      <c r="B16" s="42">
        <v>2016</v>
      </c>
      <c r="C16" s="42" t="s">
        <v>145</v>
      </c>
      <c r="D16" s="69">
        <v>9277057</v>
      </c>
      <c r="E16" s="69">
        <f>3598958+3034907+1512690</f>
        <v>8146555</v>
      </c>
      <c r="F16" s="68">
        <v>0.06</v>
      </c>
      <c r="G16" s="108">
        <f>($I$4/2)*'Prevalence Inputs '!E16</f>
        <v>8.7812433468171074E-3</v>
      </c>
      <c r="H16" s="108">
        <f>($I$4/2)*'Prevalence Inputs '!H16</f>
        <v>2.0523329129886486E-4</v>
      </c>
      <c r="I16" s="108" t="e">
        <f>($I$4)*'Prevalence Inputs '!B16</f>
        <v>#VALUE!</v>
      </c>
      <c r="J16" s="34">
        <f>($L$4)*'Prevalence Inputs '!E16</f>
        <v>0.18213232713232708</v>
      </c>
      <c r="K16" s="34">
        <f>($L$4)*'Prevalence Inputs '!H16</f>
        <v>4.2567567567567558E-3</v>
      </c>
      <c r="L16" s="34" t="e">
        <f>($L$4)*'Prevalence Inputs '!B16</f>
        <v>#VALUE!</v>
      </c>
    </row>
    <row r="17" spans="1:12" x14ac:dyDescent="0.55000000000000004">
      <c r="A17" s="30" t="s">
        <v>105</v>
      </c>
      <c r="B17" s="42">
        <v>2016</v>
      </c>
      <c r="C17" s="42" t="s">
        <v>145</v>
      </c>
      <c r="D17" s="69">
        <v>946472</v>
      </c>
      <c r="E17" s="69">
        <f>250939+41837+287380+26898+270488</f>
        <v>877542</v>
      </c>
      <c r="F17" s="67">
        <v>0.31443934649288929</v>
      </c>
      <c r="G17" s="108">
        <f>($I$4/2)*'Prevalence Inputs '!E17</f>
        <v>8.8967426016606267E-3</v>
      </c>
      <c r="H17" s="108">
        <f>($I$4/2)*'Prevalence Inputs '!H17</f>
        <v>4.2952395964691017E-3</v>
      </c>
      <c r="I17" s="108" t="e">
        <f>($I$4)*'Prevalence Inputs '!B17</f>
        <v>#VALUE!</v>
      </c>
      <c r="J17" s="34">
        <f>($L$4)*'Prevalence Inputs '!E17</f>
        <v>0.18452790452790452</v>
      </c>
      <c r="K17" s="34">
        <f>($L$4)*'Prevalence Inputs '!H17</f>
        <v>8.9087837837837844E-2</v>
      </c>
      <c r="L17" s="34" t="e">
        <f>($L$4/'Prevalence Inputs '!B17)</f>
        <v>#VALUE!</v>
      </c>
    </row>
    <row r="18" spans="1:12" x14ac:dyDescent="0.55000000000000004">
      <c r="A18" s="30" t="s">
        <v>106</v>
      </c>
      <c r="B18" s="42">
        <v>2016</v>
      </c>
      <c r="C18" s="42" t="s">
        <v>144</v>
      </c>
      <c r="D18" s="69">
        <v>8914090</v>
      </c>
      <c r="E18" s="69">
        <f>2668378+412627+2210359+325816+2367309</f>
        <v>7984489</v>
      </c>
      <c r="F18" s="68">
        <v>0.06</v>
      </c>
      <c r="G18" s="108">
        <f>($I$4/2)*'Prevalence Inputs '!E18</f>
        <v>0</v>
      </c>
      <c r="H18" s="108">
        <f>($I$4/2)*'Prevalence Inputs '!H18</f>
        <v>0</v>
      </c>
      <c r="I18" s="108">
        <f>($I$4/2)*'Prevalence Inputs '!B18</f>
        <v>0</v>
      </c>
      <c r="J18" s="34">
        <f>($L$4/2)*'Prevalence Inputs '!E18</f>
        <v>0</v>
      </c>
      <c r="K18" s="34">
        <f>($L$4/2)*'Prevalence Inputs '!H18</f>
        <v>0</v>
      </c>
      <c r="L18" s="34">
        <f>($L$4/2)*'Prevalence Inputs '!B18</f>
        <v>0</v>
      </c>
    </row>
    <row r="19" spans="1:12" x14ac:dyDescent="0.55000000000000004">
      <c r="A19" s="30" t="s">
        <v>138</v>
      </c>
    </row>
    <row r="20" spans="1:12" x14ac:dyDescent="0.55000000000000004">
      <c r="A20" s="30"/>
    </row>
    <row r="21" spans="1:12" ht="25.8" x14ac:dyDescent="0.95">
      <c r="A21" s="50" t="s">
        <v>247</v>
      </c>
    </row>
    <row r="22" spans="1:12" ht="25.8" x14ac:dyDescent="0.95">
      <c r="A22" s="50"/>
      <c r="B22" s="30" t="s">
        <v>249</v>
      </c>
      <c r="C22" s="30" t="s">
        <v>11</v>
      </c>
    </row>
    <row r="23" spans="1:12" ht="72" x14ac:dyDescent="0.55000000000000004">
      <c r="A23" s="33" t="s">
        <v>268</v>
      </c>
      <c r="B23" s="126">
        <f>0.19+0.11</f>
        <v>0.3</v>
      </c>
      <c r="C23" s="128" t="s">
        <v>250</v>
      </c>
    </row>
    <row r="24" spans="1:12" ht="86.4" x14ac:dyDescent="0.55000000000000004">
      <c r="A24" s="33" t="s">
        <v>266</v>
      </c>
      <c r="B24" s="30">
        <v>0.37</v>
      </c>
      <c r="C24" s="128" t="s">
        <v>267</v>
      </c>
    </row>
    <row r="25" spans="1:12" ht="72" x14ac:dyDescent="0.55000000000000004">
      <c r="A25" s="33" t="s">
        <v>263</v>
      </c>
      <c r="B25" s="30">
        <v>6.2E-2</v>
      </c>
      <c r="C25" s="33" t="s">
        <v>264</v>
      </c>
    </row>
    <row r="26" spans="1:12" ht="57.6" x14ac:dyDescent="0.55000000000000004">
      <c r="A26" s="33" t="s">
        <v>238</v>
      </c>
      <c r="B26" s="30">
        <v>0.79300000000000004</v>
      </c>
      <c r="C26" s="127" t="s">
        <v>265</v>
      </c>
    </row>
    <row r="27" spans="1:12" x14ac:dyDescent="0.55000000000000004">
      <c r="A27" s="30"/>
    </row>
    <row r="28" spans="1:12" x14ac:dyDescent="0.55000000000000004">
      <c r="A28" s="30"/>
    </row>
    <row r="33" spans="1:11" x14ac:dyDescent="0.55000000000000004">
      <c r="A33" s="31" t="s">
        <v>159</v>
      </c>
    </row>
    <row r="34" spans="1:11" ht="61.5" customHeight="1" x14ac:dyDescent="0.55000000000000004">
      <c r="A34" s="149" t="s">
        <v>167</v>
      </c>
      <c r="B34" s="149"/>
      <c r="C34" s="149"/>
      <c r="D34" s="149"/>
      <c r="E34" s="149"/>
      <c r="F34" s="149"/>
      <c r="G34" s="149"/>
      <c r="H34" s="149"/>
      <c r="I34" s="149"/>
      <c r="J34" s="149"/>
      <c r="K34" s="149"/>
    </row>
    <row r="35" spans="1:11" ht="60" customHeight="1" x14ac:dyDescent="0.55000000000000004">
      <c r="A35" s="145" t="s">
        <v>165</v>
      </c>
      <c r="B35" s="145"/>
      <c r="C35" s="145"/>
      <c r="D35" s="145"/>
      <c r="E35" s="145"/>
      <c r="F35" s="145"/>
      <c r="G35" s="145"/>
      <c r="H35" s="145"/>
      <c r="I35" s="145"/>
      <c r="J35" s="145"/>
      <c r="K35" s="145"/>
    </row>
    <row r="36" spans="1:11" x14ac:dyDescent="0.55000000000000004">
      <c r="A36" s="150" t="s">
        <v>168</v>
      </c>
      <c r="B36" s="151"/>
      <c r="C36" s="151"/>
      <c r="D36" s="151"/>
      <c r="E36" s="151"/>
      <c r="F36" s="151"/>
      <c r="G36" s="151"/>
      <c r="H36" s="151"/>
      <c r="I36" s="151"/>
      <c r="J36" s="151"/>
      <c r="K36" s="151"/>
    </row>
    <row r="37" spans="1:11" ht="33" customHeight="1" x14ac:dyDescent="0.55000000000000004">
      <c r="A37" s="145" t="s">
        <v>169</v>
      </c>
      <c r="B37" s="145"/>
      <c r="C37" s="145"/>
      <c r="D37" s="145"/>
      <c r="E37" s="145"/>
      <c r="F37" s="145"/>
      <c r="G37" s="145"/>
      <c r="H37" s="145"/>
      <c r="I37" s="145"/>
      <c r="J37" s="145"/>
      <c r="K37" s="145"/>
    </row>
    <row r="38" spans="1:11" ht="63" customHeight="1" x14ac:dyDescent="0.55000000000000004">
      <c r="A38" s="143" t="s">
        <v>166</v>
      </c>
      <c r="B38" s="143"/>
      <c r="C38" s="143"/>
      <c r="D38" s="143"/>
      <c r="E38" s="143"/>
      <c r="F38" s="143"/>
      <c r="G38" s="143"/>
      <c r="H38" s="143"/>
      <c r="I38" s="143"/>
      <c r="J38" s="143"/>
      <c r="K38" s="143"/>
    </row>
    <row r="39" spans="1:11" ht="82.5" customHeight="1" x14ac:dyDescent="0.55000000000000004">
      <c r="A39" s="145" t="s">
        <v>240</v>
      </c>
      <c r="B39" s="145"/>
      <c r="C39" s="145"/>
      <c r="D39" s="145"/>
      <c r="E39" s="145"/>
      <c r="F39" s="145"/>
      <c r="G39" s="145"/>
      <c r="H39" s="145"/>
      <c r="I39" s="145"/>
      <c r="J39" s="145"/>
      <c r="K39" s="145"/>
    </row>
    <row r="40" spans="1:11" ht="45" customHeight="1" x14ac:dyDescent="0.55000000000000004">
      <c r="A40" s="145" t="s">
        <v>282</v>
      </c>
      <c r="B40" s="146"/>
      <c r="C40" s="146"/>
      <c r="D40" s="146"/>
      <c r="E40" s="146"/>
      <c r="F40" s="146"/>
      <c r="G40" s="146"/>
      <c r="H40" s="146"/>
      <c r="I40" s="146"/>
      <c r="J40" s="146"/>
      <c r="K40" s="146"/>
    </row>
  </sheetData>
  <mergeCells count="9">
    <mergeCell ref="A40:K40"/>
    <mergeCell ref="G2:I2"/>
    <mergeCell ref="J2:L2"/>
    <mergeCell ref="A39:K39"/>
    <mergeCell ref="A38:K38"/>
    <mergeCell ref="A34:K34"/>
    <mergeCell ref="A35:K35"/>
    <mergeCell ref="A36:K36"/>
    <mergeCell ref="A37:K3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V12" sqref="V12"/>
    </sheetView>
  </sheetViews>
  <sheetFormatPr defaultRowHeight="14.4" x14ac:dyDescent="0.55000000000000004"/>
  <cols>
    <col min="1" max="1" width="30.15625" customWidth="1"/>
    <col min="2" max="2" width="31.68359375" customWidth="1"/>
    <col min="3" max="3" width="18.15625" style="30" customWidth="1"/>
    <col min="4" max="4" width="16" style="30" hidden="1" customWidth="1"/>
    <col min="5" max="5" width="14.83984375" style="30" hidden="1" customWidth="1"/>
    <col min="6" max="6" width="11.578125" style="30" hidden="1" customWidth="1"/>
    <col min="7" max="7" width="12.15625" style="30" hidden="1" customWidth="1"/>
    <col min="8" max="8" width="14.41796875" style="30" hidden="1" customWidth="1"/>
    <col min="9" max="9" width="16.83984375" hidden="1" customWidth="1"/>
    <col min="10" max="10" width="15.26171875" hidden="1" customWidth="1"/>
    <col min="11" max="11" width="15.83984375" hidden="1" customWidth="1"/>
    <col min="12" max="12" width="14.83984375" hidden="1" customWidth="1"/>
    <col min="13" max="13" width="12.83984375" hidden="1" customWidth="1"/>
    <col min="14" max="14" width="16.15625" hidden="1" customWidth="1"/>
    <col min="15" max="15" width="14.15625" hidden="1" customWidth="1"/>
    <col min="16" max="16" width="16.41796875" hidden="1" customWidth="1"/>
  </cols>
  <sheetData>
    <row r="1" spans="1:16" ht="28.8" x14ac:dyDescent="0.55000000000000004">
      <c r="B1" s="49" t="s">
        <v>132</v>
      </c>
      <c r="C1" s="30" t="s">
        <v>137</v>
      </c>
      <c r="D1" s="33" t="s">
        <v>141</v>
      </c>
      <c r="E1" s="33" t="s">
        <v>146</v>
      </c>
      <c r="F1" s="33" t="s">
        <v>147</v>
      </c>
      <c r="G1" s="33" t="s">
        <v>227</v>
      </c>
      <c r="H1" s="30" t="s">
        <v>98</v>
      </c>
      <c r="I1" s="30" t="s">
        <v>99</v>
      </c>
      <c r="J1" s="30" t="s">
        <v>100</v>
      </c>
      <c r="K1" s="30" t="s">
        <v>101</v>
      </c>
      <c r="L1" s="30" t="s">
        <v>102</v>
      </c>
      <c r="M1" s="30" t="s">
        <v>103</v>
      </c>
      <c r="N1" s="30" t="s">
        <v>104</v>
      </c>
      <c r="O1" s="30" t="s">
        <v>105</v>
      </c>
      <c r="P1" s="30" t="s">
        <v>106</v>
      </c>
    </row>
    <row r="2" spans="1:16" ht="37.799999999999997" x14ac:dyDescent="0.55000000000000004">
      <c r="A2" s="46" t="s">
        <v>123</v>
      </c>
      <c r="B2" s="47"/>
      <c r="C2" s="48"/>
      <c r="D2" s="48"/>
      <c r="E2" s="48"/>
      <c r="F2" s="48"/>
      <c r="G2" s="48"/>
      <c r="H2" s="48"/>
      <c r="I2" s="47"/>
      <c r="J2" s="47"/>
      <c r="K2" s="47"/>
      <c r="L2" s="47"/>
      <c r="M2" s="47"/>
      <c r="N2" s="47"/>
      <c r="O2" s="47"/>
      <c r="P2" s="47"/>
    </row>
    <row r="3" spans="1:16" ht="25.8" x14ac:dyDescent="0.55000000000000004">
      <c r="A3" s="36" t="s">
        <v>139</v>
      </c>
      <c r="C3" s="39">
        <f>'Other Inputs '!D5</f>
        <v>5953198</v>
      </c>
      <c r="D3" s="39">
        <f>'Other Inputs '!D6</f>
        <v>492179</v>
      </c>
      <c r="E3" s="39">
        <f>'Other Inputs '!D7</f>
        <v>1284401</v>
      </c>
      <c r="F3" s="39">
        <f>'Other Inputs '!D8</f>
        <v>521739</v>
      </c>
      <c r="G3" s="39">
        <f>'Other Inputs '!D9</f>
        <v>1005852</v>
      </c>
      <c r="H3" s="39">
        <f>'Other Inputs '!D10</f>
        <v>693162</v>
      </c>
      <c r="I3" s="39">
        <f>'Other Inputs '!D11</f>
        <v>17044840</v>
      </c>
      <c r="J3" s="39">
        <f>'Other Inputs '!D12</f>
        <v>18490500</v>
      </c>
      <c r="K3" s="39">
        <f>'Other Inputs '!D13</f>
        <v>8240036</v>
      </c>
      <c r="L3" s="39">
        <f>'Other Inputs '!D14</f>
        <v>916596</v>
      </c>
      <c r="M3" s="39">
        <f>'Other Inputs '!D15</f>
        <v>10816419</v>
      </c>
      <c r="N3" s="39">
        <f>'Other Inputs '!D16</f>
        <v>9277057</v>
      </c>
      <c r="O3" s="39">
        <f>'Other Inputs '!D17</f>
        <v>946472</v>
      </c>
      <c r="P3" s="39">
        <f>'Other Inputs '!D18</f>
        <v>8914090</v>
      </c>
    </row>
    <row r="4" spans="1:16" x14ac:dyDescent="0.55000000000000004">
      <c r="A4" s="36" t="s">
        <v>124</v>
      </c>
      <c r="C4" s="39">
        <f>'Other Inputs '!E5</f>
        <v>4348857</v>
      </c>
      <c r="D4" s="39" t="str">
        <f>'Other Inputs '!E6</f>
        <v xml:space="preserve">Data not disaggregated by enrollment status </v>
      </c>
      <c r="E4" s="39" t="str">
        <f>'Other Inputs '!E7</f>
        <v xml:space="preserve">Data not disaggregated by enrollment status </v>
      </c>
      <c r="F4" s="39" t="str">
        <f>'Other Inputs '!E8</f>
        <v xml:space="preserve">Data not disaggregated by enrollment status </v>
      </c>
      <c r="G4" s="39" t="str">
        <f>'Other Inputs '!E9</f>
        <v xml:space="preserve">Data not disaggregated by enrollment status </v>
      </c>
      <c r="H4" s="39">
        <f>'Other Inputs '!E10</f>
        <v>690121</v>
      </c>
      <c r="I4" s="39">
        <f>'Other Inputs '!E11</f>
        <v>15764566</v>
      </c>
      <c r="J4" s="39" t="str">
        <f>'Other Inputs '!E12</f>
        <v xml:space="preserve">Can't find treatment report </v>
      </c>
      <c r="K4" s="39">
        <f>'Other Inputs '!E13</f>
        <v>7018128</v>
      </c>
      <c r="L4" s="39" t="str">
        <f>'Other Inputs '!E14</f>
        <v xml:space="preserve">Can't find treatment report </v>
      </c>
      <c r="M4" s="39" t="str">
        <f>'Other Inputs '!E15</f>
        <v xml:space="preserve">Can't find treatment report </v>
      </c>
      <c r="N4" s="39">
        <f>'Other Inputs '!E16</f>
        <v>8146555</v>
      </c>
      <c r="O4" s="39">
        <f>'Other Inputs '!E17</f>
        <v>877542</v>
      </c>
      <c r="P4" s="39">
        <f>'Other Inputs '!E18</f>
        <v>7984489</v>
      </c>
    </row>
    <row r="5" spans="1:16" ht="25.8" x14ac:dyDescent="0.55000000000000004">
      <c r="A5" s="36" t="s">
        <v>125</v>
      </c>
      <c r="B5" s="36" t="s">
        <v>133</v>
      </c>
      <c r="C5" s="40">
        <f>189*C4</f>
        <v>821933973</v>
      </c>
      <c r="D5" s="40" t="e">
        <f t="shared" ref="D5:P5" si="0">189*D4</f>
        <v>#VALUE!</v>
      </c>
      <c r="E5" s="40" t="e">
        <f t="shared" si="0"/>
        <v>#VALUE!</v>
      </c>
      <c r="F5" s="40" t="e">
        <f t="shared" si="0"/>
        <v>#VALUE!</v>
      </c>
      <c r="G5" s="40" t="e">
        <f t="shared" si="0"/>
        <v>#VALUE!</v>
      </c>
      <c r="H5" s="40">
        <f t="shared" si="0"/>
        <v>130432869</v>
      </c>
      <c r="I5" s="40">
        <f t="shared" si="0"/>
        <v>2979502974</v>
      </c>
      <c r="J5" s="40" t="e">
        <f t="shared" si="0"/>
        <v>#VALUE!</v>
      </c>
      <c r="K5" s="40">
        <f t="shared" si="0"/>
        <v>1326426192</v>
      </c>
      <c r="L5" s="40" t="e">
        <f t="shared" si="0"/>
        <v>#VALUE!</v>
      </c>
      <c r="M5" s="40" t="e">
        <f t="shared" si="0"/>
        <v>#VALUE!</v>
      </c>
      <c r="N5" s="40">
        <f t="shared" si="0"/>
        <v>1539698895</v>
      </c>
      <c r="O5" s="40">
        <f t="shared" si="0"/>
        <v>165855438</v>
      </c>
      <c r="P5" s="40">
        <f t="shared" si="0"/>
        <v>1509068421</v>
      </c>
    </row>
    <row r="6" spans="1:16" x14ac:dyDescent="0.55000000000000004">
      <c r="A6" s="36" t="s">
        <v>238</v>
      </c>
      <c r="B6" s="36"/>
      <c r="C6" s="34">
        <f>'School Attendance'!C3</f>
        <v>0.79300000000000004</v>
      </c>
      <c r="D6" s="34">
        <f>'School Attendance'!C4</f>
        <v>0.7</v>
      </c>
      <c r="E6" s="34">
        <f>'School Attendance'!C5</f>
        <v>0.7</v>
      </c>
      <c r="F6" s="34">
        <f>'School Attendance'!C6</f>
        <v>0.7</v>
      </c>
      <c r="G6" s="34">
        <f>'School Attendance'!C7</f>
        <v>0.7</v>
      </c>
      <c r="H6" s="34">
        <f>'School Attendance'!C8</f>
        <v>0.97849999999999993</v>
      </c>
      <c r="I6" s="34">
        <f>'School Attendance'!C9</f>
        <v>0.56000000000000005</v>
      </c>
      <c r="J6" s="34">
        <f>'School Attendance'!C10</f>
        <v>0.70499999999999996</v>
      </c>
      <c r="K6" s="34">
        <f>'School Attendance'!C11</f>
        <v>0.69299999999999995</v>
      </c>
      <c r="L6" s="34">
        <f>'School Attendance'!C12</f>
        <v>0.71499999999999997</v>
      </c>
      <c r="M6" s="34">
        <f>'School Attendance'!C13</f>
        <v>0.67600000000000005</v>
      </c>
      <c r="N6" s="34">
        <f>'School Attendance'!C14</f>
        <v>0.68142857142857149</v>
      </c>
      <c r="O6" s="34">
        <f>'School Attendance'!C15</f>
        <v>0.78300000000000003</v>
      </c>
      <c r="P6" s="34">
        <f>'School Attendance'!C16</f>
        <v>0.63800000000000001</v>
      </c>
    </row>
    <row r="7" spans="1:16" x14ac:dyDescent="0.55000000000000004">
      <c r="A7" s="36" t="s">
        <v>126</v>
      </c>
    </row>
    <row r="8" spans="1:16" x14ac:dyDescent="0.55000000000000004">
      <c r="A8" s="37" t="s">
        <v>127</v>
      </c>
      <c r="B8" s="36" t="s">
        <v>142</v>
      </c>
      <c r="C8" s="35">
        <f>1-C6</f>
        <v>0.20699999999999996</v>
      </c>
      <c r="D8" s="35">
        <f t="shared" ref="D8:P8" si="1">1-D6</f>
        <v>0.30000000000000004</v>
      </c>
      <c r="E8" s="35">
        <f t="shared" si="1"/>
        <v>0.30000000000000004</v>
      </c>
      <c r="F8" s="35">
        <f t="shared" si="1"/>
        <v>0.30000000000000004</v>
      </c>
      <c r="G8" s="35">
        <f t="shared" si="1"/>
        <v>0.30000000000000004</v>
      </c>
      <c r="H8" s="35">
        <f t="shared" si="1"/>
        <v>2.1500000000000075E-2</v>
      </c>
      <c r="I8" s="35">
        <f t="shared" si="1"/>
        <v>0.43999999999999995</v>
      </c>
      <c r="J8" s="35">
        <f t="shared" si="1"/>
        <v>0.29500000000000004</v>
      </c>
      <c r="K8" s="35">
        <f t="shared" si="1"/>
        <v>0.30700000000000005</v>
      </c>
      <c r="L8" s="35">
        <f t="shared" si="1"/>
        <v>0.28500000000000003</v>
      </c>
      <c r="M8" s="35">
        <f t="shared" si="1"/>
        <v>0.32399999999999995</v>
      </c>
      <c r="N8" s="35">
        <f t="shared" si="1"/>
        <v>0.31857142857142851</v>
      </c>
      <c r="O8" s="35">
        <f t="shared" si="1"/>
        <v>0.21699999999999997</v>
      </c>
      <c r="P8" s="35">
        <f t="shared" si="1"/>
        <v>0.36199999999999999</v>
      </c>
    </row>
    <row r="9" spans="1:16" x14ac:dyDescent="0.55000000000000004">
      <c r="A9" s="37" t="s">
        <v>128</v>
      </c>
      <c r="B9" s="36" t="s">
        <v>134</v>
      </c>
      <c r="C9" s="40">
        <f>C8*C5</f>
        <v>170140332.41099995</v>
      </c>
      <c r="D9" s="40" t="e">
        <f t="shared" ref="D9:P9" si="2">D8*D5</f>
        <v>#VALUE!</v>
      </c>
      <c r="E9" s="40" t="e">
        <f t="shared" si="2"/>
        <v>#VALUE!</v>
      </c>
      <c r="F9" s="40" t="e">
        <f t="shared" si="2"/>
        <v>#VALUE!</v>
      </c>
      <c r="G9" s="40" t="e">
        <f t="shared" si="2"/>
        <v>#VALUE!</v>
      </c>
      <c r="H9" s="40">
        <f t="shared" si="2"/>
        <v>2804306.6835000096</v>
      </c>
      <c r="I9" s="40">
        <f t="shared" si="2"/>
        <v>1310981308.5599999</v>
      </c>
      <c r="J9" s="40" t="e">
        <f t="shared" si="2"/>
        <v>#VALUE!</v>
      </c>
      <c r="K9" s="40">
        <f t="shared" si="2"/>
        <v>407212840.94400007</v>
      </c>
      <c r="L9" s="40" t="e">
        <f t="shared" si="2"/>
        <v>#VALUE!</v>
      </c>
      <c r="M9" s="40" t="e">
        <f t="shared" si="2"/>
        <v>#VALUE!</v>
      </c>
      <c r="N9" s="40">
        <f t="shared" si="2"/>
        <v>490504076.54999989</v>
      </c>
      <c r="O9" s="40">
        <f t="shared" si="2"/>
        <v>35990630.045999996</v>
      </c>
      <c r="P9" s="40">
        <f t="shared" si="2"/>
        <v>546282768.40199995</v>
      </c>
    </row>
    <row r="10" spans="1:16" ht="25.8" x14ac:dyDescent="0.55000000000000004">
      <c r="A10" s="44" t="s">
        <v>149</v>
      </c>
      <c r="C10" s="68">
        <f>'Other Inputs '!F5</f>
        <v>0.47309949599703632</v>
      </c>
      <c r="D10" s="68">
        <f>'Other Inputs '!F6</f>
        <v>0.73999864222406875</v>
      </c>
      <c r="E10" s="68">
        <f>'Other Inputs '!F7</f>
        <v>0.52022512816856348</v>
      </c>
      <c r="F10" s="68">
        <f>'Other Inputs '!F8</f>
        <v>0.87872869114521002</v>
      </c>
      <c r="G10" s="68">
        <f>'Other Inputs '!F9</f>
        <v>0.54101271887536417</v>
      </c>
      <c r="H10" s="68">
        <f>'Other Inputs '!F10</f>
        <v>0.47</v>
      </c>
      <c r="I10" s="68">
        <f>'Other Inputs '!F11</f>
        <v>9.1552003268705204E-2</v>
      </c>
      <c r="J10" s="68">
        <f>'Other Inputs '!F12</f>
        <v>8.3626641805044671E-2</v>
      </c>
      <c r="K10" s="68">
        <f>'Other Inputs '!F13</f>
        <v>0.09</v>
      </c>
      <c r="L10" s="68">
        <f>'Other Inputs '!F14</f>
        <v>0.11</v>
      </c>
      <c r="M10" s="68">
        <f>'Other Inputs '!F15</f>
        <v>0.1012241567987337</v>
      </c>
      <c r="N10" s="68">
        <f>'Other Inputs '!F16</f>
        <v>0.06</v>
      </c>
      <c r="O10" s="68">
        <f>'Other Inputs '!F17</f>
        <v>0.31443934649288929</v>
      </c>
      <c r="P10" s="68">
        <f>'Other Inputs '!F18</f>
        <v>0.06</v>
      </c>
    </row>
    <row r="11" spans="1:16" x14ac:dyDescent="0.55000000000000004">
      <c r="A11" s="37"/>
    </row>
    <row r="12" spans="1:16" ht="25.5" x14ac:dyDescent="0.55000000000000004">
      <c r="A12" s="46" t="s">
        <v>230</v>
      </c>
      <c r="B12" s="47"/>
      <c r="C12" s="48"/>
      <c r="D12" s="102"/>
      <c r="E12" s="48"/>
      <c r="F12" s="48"/>
      <c r="G12" s="48"/>
      <c r="H12" s="48"/>
      <c r="I12" s="47"/>
      <c r="J12" s="47"/>
      <c r="K12" s="47"/>
      <c r="L12" s="47"/>
      <c r="M12" s="47"/>
      <c r="N12" s="47"/>
      <c r="O12" s="47"/>
      <c r="P12" s="47"/>
    </row>
    <row r="13" spans="1:16" ht="38.4" x14ac:dyDescent="0.55000000000000004">
      <c r="A13" s="45" t="s">
        <v>239</v>
      </c>
      <c r="B13" s="111" t="s">
        <v>270</v>
      </c>
      <c r="C13" s="110">
        <f>'Other Inputs '!G5</f>
        <v>7.5825895416059275E-3</v>
      </c>
      <c r="D13" s="114">
        <f>'Other Inputs '!G6</f>
        <v>0</v>
      </c>
      <c r="E13" s="110">
        <f>'Other Inputs '!G7</f>
        <v>0</v>
      </c>
      <c r="F13" s="110">
        <f>'Other Inputs '!G8</f>
        <v>0</v>
      </c>
      <c r="G13" s="110">
        <f>'Other Inputs '!G9</f>
        <v>0</v>
      </c>
      <c r="H13" s="110">
        <f>'Other Inputs '!G10</f>
        <v>1.9193691554347274E-3</v>
      </c>
      <c r="I13" s="110">
        <f>'Other Inputs '!G11</f>
        <v>1.4255654181883678E-2</v>
      </c>
      <c r="J13" s="110">
        <f>'Other Inputs '!G12</f>
        <v>1.8559232570707961E-3</v>
      </c>
      <c r="K13" s="110">
        <f>'Other Inputs '!G13</f>
        <v>1.3664957992826831E-2</v>
      </c>
      <c r="L13" s="110">
        <f>'Other Inputs '!G14</f>
        <v>1.1433410851443629E-2</v>
      </c>
      <c r="M13" s="110">
        <f>'Other Inputs '!G15</f>
        <v>2.9938422233504176E-3</v>
      </c>
      <c r="N13" s="110">
        <f>'Other Inputs '!G16</f>
        <v>8.7812433468171074E-3</v>
      </c>
      <c r="O13" s="110">
        <f>'Other Inputs '!G17</f>
        <v>8.8967426016606267E-3</v>
      </c>
      <c r="P13" s="110">
        <f>'Other Inputs '!G18</f>
        <v>0</v>
      </c>
    </row>
    <row r="14" spans="1:16" ht="38.4" x14ac:dyDescent="0.55000000000000004">
      <c r="A14" s="45" t="s">
        <v>129</v>
      </c>
      <c r="B14" s="111" t="s">
        <v>243</v>
      </c>
      <c r="C14" s="115">
        <f>C6*C13*189</f>
        <v>1.1364557727272717</v>
      </c>
      <c r="D14" s="115">
        <f t="shared" ref="D14:P14" si="3">D6*D13*189</f>
        <v>0</v>
      </c>
      <c r="E14" s="115">
        <f t="shared" si="3"/>
        <v>0</v>
      </c>
      <c r="F14" s="115">
        <f t="shared" si="3"/>
        <v>0</v>
      </c>
      <c r="G14" s="115">
        <f t="shared" si="3"/>
        <v>0</v>
      </c>
      <c r="H14" s="115">
        <f t="shared" si="3"/>
        <v>0.35496141381405444</v>
      </c>
      <c r="I14" s="115">
        <f t="shared" si="3"/>
        <v>1.5088184386105685</v>
      </c>
      <c r="J14" s="115">
        <f t="shared" si="3"/>
        <v>0.2472924943883982</v>
      </c>
      <c r="K14" s="115">
        <f t="shared" si="3"/>
        <v>1.7897952030264799</v>
      </c>
      <c r="L14" s="115">
        <f t="shared" si="3"/>
        <v>1.5450539754098349</v>
      </c>
      <c r="M14" s="115">
        <f t="shared" si="3"/>
        <v>0.38250525782414274</v>
      </c>
      <c r="N14" s="115">
        <f t="shared" si="3"/>
        <v>1.1309363306365754</v>
      </c>
      <c r="O14" s="115">
        <f t="shared" si="3"/>
        <v>1.3166022473919512</v>
      </c>
      <c r="P14" s="115">
        <f t="shared" si="3"/>
        <v>0</v>
      </c>
    </row>
    <row r="15" spans="1:16" ht="25.8" x14ac:dyDescent="0.55000000000000004">
      <c r="A15" s="36" t="s">
        <v>130</v>
      </c>
      <c r="B15" s="36" t="s">
        <v>135</v>
      </c>
      <c r="C15" s="40">
        <f>C14*C4</f>
        <v>4942283.6424154043</v>
      </c>
      <c r="D15" s="40" t="e">
        <f t="shared" ref="D15:P15" si="4">D14*D4</f>
        <v>#VALUE!</v>
      </c>
      <c r="E15" s="40" t="e">
        <f t="shared" si="4"/>
        <v>#VALUE!</v>
      </c>
      <c r="F15" s="40" t="e">
        <f t="shared" si="4"/>
        <v>#VALUE!</v>
      </c>
      <c r="G15" s="40" t="e">
        <f t="shared" si="4"/>
        <v>#VALUE!</v>
      </c>
      <c r="H15" s="40">
        <f t="shared" si="4"/>
        <v>244966.32586276907</v>
      </c>
      <c r="I15" s="40">
        <f t="shared" si="4"/>
        <v>23785867.857493255</v>
      </c>
      <c r="J15" s="40" t="e">
        <f t="shared" si="4"/>
        <v>#VALUE!</v>
      </c>
      <c r="K15" s="40">
        <f t="shared" si="4"/>
        <v>12561011.828625822</v>
      </c>
      <c r="L15" s="40" t="e">
        <f t="shared" si="4"/>
        <v>#VALUE!</v>
      </c>
      <c r="M15" s="40" t="e">
        <f t="shared" si="4"/>
        <v>#VALUE!</v>
      </c>
      <c r="N15" s="40">
        <f t="shared" si="4"/>
        <v>9213235.0190290473</v>
      </c>
      <c r="O15" s="40">
        <f t="shared" si="4"/>
        <v>1155373.7693808277</v>
      </c>
      <c r="P15" s="40">
        <f t="shared" si="4"/>
        <v>0</v>
      </c>
    </row>
    <row r="16" spans="1:16" ht="25.8" x14ac:dyDescent="0.55000000000000004">
      <c r="A16" s="36" t="s">
        <v>131</v>
      </c>
      <c r="B16" s="36" t="s">
        <v>136</v>
      </c>
      <c r="C16" s="108">
        <f t="shared" ref="C16:P16" si="5">C15/C5</f>
        <v>6.0129935064935011E-3</v>
      </c>
      <c r="D16" s="34" t="e">
        <f t="shared" si="5"/>
        <v>#VALUE!</v>
      </c>
      <c r="E16" s="34" t="e">
        <f t="shared" si="5"/>
        <v>#VALUE!</v>
      </c>
      <c r="F16" s="34" t="e">
        <f t="shared" si="5"/>
        <v>#VALUE!</v>
      </c>
      <c r="G16" s="34" t="e">
        <f t="shared" si="5"/>
        <v>#VALUE!</v>
      </c>
      <c r="H16" s="34">
        <f t="shared" si="5"/>
        <v>1.8781027185928807E-3</v>
      </c>
      <c r="I16" s="34">
        <f t="shared" si="5"/>
        <v>7.9831663418548603E-3</v>
      </c>
      <c r="J16" s="34" t="e">
        <f t="shared" si="5"/>
        <v>#VALUE!</v>
      </c>
      <c r="K16" s="34">
        <f t="shared" si="5"/>
        <v>9.469815889028994E-3</v>
      </c>
      <c r="L16" s="34" t="e">
        <f t="shared" si="5"/>
        <v>#VALUE!</v>
      </c>
      <c r="M16" s="34" t="e">
        <f t="shared" si="5"/>
        <v>#VALUE!</v>
      </c>
      <c r="N16" s="34">
        <f t="shared" si="5"/>
        <v>5.9837901091882298E-3</v>
      </c>
      <c r="O16" s="34">
        <f t="shared" si="5"/>
        <v>6.9661494571002713E-3</v>
      </c>
      <c r="P16" s="34">
        <f t="shared" si="5"/>
        <v>0</v>
      </c>
    </row>
    <row r="17" spans="1:16" x14ac:dyDescent="0.55000000000000004">
      <c r="A17" s="117" t="s">
        <v>246</v>
      </c>
      <c r="C17" s="68">
        <f>C10/C14</f>
        <v>0.41629380337581462</v>
      </c>
      <c r="D17" s="68" t="e">
        <f t="shared" ref="D17:P17" si="6">D10/D14</f>
        <v>#DIV/0!</v>
      </c>
      <c r="E17" s="68" t="e">
        <f t="shared" si="6"/>
        <v>#DIV/0!</v>
      </c>
      <c r="F17" s="68" t="e">
        <f t="shared" si="6"/>
        <v>#DIV/0!</v>
      </c>
      <c r="G17" s="68" t="e">
        <f t="shared" si="6"/>
        <v>#DIV/0!</v>
      </c>
      <c r="H17" s="68">
        <f t="shared" si="6"/>
        <v>1.3240875816609412</v>
      </c>
      <c r="I17" s="68">
        <f t="shared" si="6"/>
        <v>6.0677945686435975E-2</v>
      </c>
      <c r="J17" s="68">
        <f t="shared" si="6"/>
        <v>0.33816894447957024</v>
      </c>
      <c r="K17" s="68">
        <f t="shared" si="6"/>
        <v>5.0285082811605042E-2</v>
      </c>
      <c r="L17" s="68">
        <f t="shared" si="6"/>
        <v>7.1194923770104432E-2</v>
      </c>
      <c r="M17" s="68">
        <f t="shared" si="6"/>
        <v>0.26463468077417024</v>
      </c>
      <c r="N17" s="68">
        <f t="shared" si="6"/>
        <v>5.3053384505056547E-2</v>
      </c>
      <c r="O17" s="68">
        <f t="shared" si="6"/>
        <v>0.23882637836579737</v>
      </c>
      <c r="P17" s="68" t="e">
        <f t="shared" si="6"/>
        <v>#DIV/0!</v>
      </c>
    </row>
    <row r="18" spans="1:16" ht="25.5" x14ac:dyDescent="0.55000000000000004">
      <c r="A18" s="46" t="s">
        <v>228</v>
      </c>
      <c r="B18" s="47"/>
      <c r="C18" s="48"/>
      <c r="D18" s="48"/>
      <c r="E18" s="48"/>
      <c r="F18" s="48"/>
      <c r="G18" s="48"/>
      <c r="H18" s="48"/>
      <c r="I18" s="47"/>
      <c r="J18" s="47"/>
      <c r="K18" s="47"/>
      <c r="L18" s="47"/>
      <c r="M18" s="47"/>
      <c r="N18" s="47"/>
      <c r="O18" s="47"/>
      <c r="P18" s="47"/>
    </row>
    <row r="19" spans="1:16" ht="38.4" x14ac:dyDescent="0.55000000000000004">
      <c r="A19" s="45" t="s">
        <v>239</v>
      </c>
      <c r="B19" s="111" t="s">
        <v>272</v>
      </c>
      <c r="C19" s="116">
        <f>'Other Inputs '!H5</f>
        <v>3.3032786885245869E-3</v>
      </c>
      <c r="D19" s="116" t="e">
        <f>'Other Inputs '!H6</f>
        <v>#VALUE!</v>
      </c>
      <c r="E19" s="116">
        <f>'Other Inputs '!H7</f>
        <v>0</v>
      </c>
      <c r="F19" s="116">
        <f>'Other Inputs '!H8</f>
        <v>0</v>
      </c>
      <c r="G19" s="116">
        <f>'Other Inputs '!H9</f>
        <v>0</v>
      </c>
      <c r="H19" s="116">
        <f>'Other Inputs '!H10</f>
        <v>8.2459804539722489E-4</v>
      </c>
      <c r="I19" s="116">
        <f>'Other Inputs '!H11</f>
        <v>6.2586380832282424E-3</v>
      </c>
      <c r="J19" s="116">
        <f>'Other Inputs '!H12</f>
        <v>1.3560056746532143E-6</v>
      </c>
      <c r="K19" s="116">
        <f>'Other Inputs '!H13</f>
        <v>5.1992433795712443E-3</v>
      </c>
      <c r="L19" s="116">
        <f>'Other Inputs '!H14</f>
        <v>1.253389029003782E-3</v>
      </c>
      <c r="M19" s="116" t="e">
        <f>'Other Inputs '!H15</f>
        <v>#VALUE!</v>
      </c>
      <c r="N19" s="116">
        <f>'Other Inputs '!H16</f>
        <v>2.0523329129886486E-4</v>
      </c>
      <c r="O19" s="116">
        <f>'Other Inputs '!H17</f>
        <v>4.2952395964691017E-3</v>
      </c>
      <c r="P19" s="116">
        <f>'Other Inputs '!H18</f>
        <v>0</v>
      </c>
    </row>
    <row r="20" spans="1:16" ht="38.4" x14ac:dyDescent="0.55000000000000004">
      <c r="A20" s="36" t="s">
        <v>129</v>
      </c>
      <c r="B20" s="111" t="s">
        <v>244</v>
      </c>
      <c r="C20" s="121">
        <f>C6*C19*189</f>
        <v>0.49508549999999957</v>
      </c>
      <c r="D20" s="121" t="e">
        <f t="shared" ref="D20:P20" si="7">D6*D19*189</f>
        <v>#VALUE!</v>
      </c>
      <c r="E20" s="121">
        <f t="shared" si="7"/>
        <v>0</v>
      </c>
      <c r="F20" s="121">
        <f t="shared" si="7"/>
        <v>0</v>
      </c>
      <c r="G20" s="121">
        <f t="shared" si="7"/>
        <v>0</v>
      </c>
      <c r="H20" s="121">
        <f t="shared" si="7"/>
        <v>0.15249827642260386</v>
      </c>
      <c r="I20" s="121">
        <f t="shared" si="7"/>
        <v>0.66241425472887727</v>
      </c>
      <c r="J20" s="121">
        <f t="shared" si="7"/>
        <v>1.8068097611916755E-4</v>
      </c>
      <c r="K20" s="121">
        <f t="shared" si="7"/>
        <v>0.68098130012610281</v>
      </c>
      <c r="L20" s="121">
        <f t="shared" si="7"/>
        <v>0.16937672643442608</v>
      </c>
      <c r="M20" s="121" t="e">
        <f t="shared" si="7"/>
        <v>#VALUE!</v>
      </c>
      <c r="N20" s="121">
        <f t="shared" si="7"/>
        <v>2.6431995586380805E-2</v>
      </c>
      <c r="O20" s="121">
        <f t="shared" si="7"/>
        <v>0.635639622162673</v>
      </c>
      <c r="P20" s="121">
        <f t="shared" si="7"/>
        <v>0</v>
      </c>
    </row>
    <row r="21" spans="1:16" ht="25.8" x14ac:dyDescent="0.55000000000000004">
      <c r="A21" s="36" t="s">
        <v>130</v>
      </c>
      <c r="B21" s="36" t="s">
        <v>135</v>
      </c>
      <c r="C21" s="40">
        <f t="shared" ref="C21:P21" si="8">C20*C4</f>
        <v>2153056.0422734981</v>
      </c>
      <c r="D21" s="40" t="e">
        <f t="shared" si="8"/>
        <v>#VALUE!</v>
      </c>
      <c r="E21" s="40" t="e">
        <f t="shared" si="8"/>
        <v>#VALUE!</v>
      </c>
      <c r="F21" s="40" t="e">
        <f t="shared" si="8"/>
        <v>#VALUE!</v>
      </c>
      <c r="G21" s="40" t="e">
        <f t="shared" si="8"/>
        <v>#VALUE!</v>
      </c>
      <c r="H21" s="40">
        <f t="shared" si="8"/>
        <v>105242.26302304379</v>
      </c>
      <c r="I21" s="40">
        <f t="shared" si="8"/>
        <v>10442673.238014197</v>
      </c>
      <c r="J21" s="40" t="e">
        <f t="shared" si="8"/>
        <v>#VALUE!</v>
      </c>
      <c r="K21" s="40">
        <f t="shared" si="8"/>
        <v>4779213.9298914056</v>
      </c>
      <c r="L21" s="40" t="e">
        <f t="shared" si="8"/>
        <v>#VALUE!</v>
      </c>
      <c r="M21" s="40" t="e">
        <f t="shared" si="8"/>
        <v>#VALUE!</v>
      </c>
      <c r="N21" s="40">
        <f t="shared" si="8"/>
        <v>215329.70580420847</v>
      </c>
      <c r="O21" s="40">
        <f t="shared" si="8"/>
        <v>557800.46531187638</v>
      </c>
      <c r="P21" s="40">
        <f t="shared" si="8"/>
        <v>0</v>
      </c>
    </row>
    <row r="22" spans="1:16" ht="25.8" x14ac:dyDescent="0.55000000000000004">
      <c r="A22" s="45" t="s">
        <v>131</v>
      </c>
      <c r="B22" s="45" t="s">
        <v>136</v>
      </c>
      <c r="C22" s="34">
        <f t="shared" ref="C22:P22" si="9">C21/C5</f>
        <v>2.6194999999999977E-3</v>
      </c>
      <c r="D22" s="34" t="e">
        <f t="shared" si="9"/>
        <v>#VALUE!</v>
      </c>
      <c r="E22" s="34" t="e">
        <f t="shared" si="9"/>
        <v>#VALUE!</v>
      </c>
      <c r="F22" s="34" t="e">
        <f t="shared" si="9"/>
        <v>#VALUE!</v>
      </c>
      <c r="G22" s="34" t="e">
        <f t="shared" si="9"/>
        <v>#VALUE!</v>
      </c>
      <c r="H22" s="34">
        <f t="shared" si="9"/>
        <v>8.0686918742118436E-4</v>
      </c>
      <c r="I22" s="34">
        <f t="shared" si="9"/>
        <v>3.5048373266078161E-3</v>
      </c>
      <c r="J22" s="34" t="e">
        <f t="shared" si="9"/>
        <v>#VALUE!</v>
      </c>
      <c r="K22" s="34">
        <f t="shared" si="9"/>
        <v>3.6030756620428722E-3</v>
      </c>
      <c r="L22" s="34" t="e">
        <f t="shared" si="9"/>
        <v>#VALUE!</v>
      </c>
      <c r="M22" s="34" t="e">
        <f t="shared" si="9"/>
        <v>#VALUE!</v>
      </c>
      <c r="N22" s="34">
        <f t="shared" si="9"/>
        <v>1.3985182849936934E-4</v>
      </c>
      <c r="O22" s="34">
        <f t="shared" si="9"/>
        <v>3.3631726040353068E-3</v>
      </c>
      <c r="P22" s="34">
        <f t="shared" si="9"/>
        <v>0</v>
      </c>
    </row>
    <row r="23" spans="1:16" x14ac:dyDescent="0.55000000000000004">
      <c r="A23" s="117" t="s">
        <v>246</v>
      </c>
      <c r="B23" s="45"/>
      <c r="C23" s="67">
        <f>C10/C20</f>
        <v>0.95559150085598699</v>
      </c>
      <c r="D23" s="67" t="e">
        <f t="shared" ref="D23:P23" si="10">D10/D20</f>
        <v>#VALUE!</v>
      </c>
      <c r="E23" s="67" t="e">
        <f t="shared" si="10"/>
        <v>#DIV/0!</v>
      </c>
      <c r="F23" s="67" t="e">
        <f t="shared" si="10"/>
        <v>#DIV/0!</v>
      </c>
      <c r="G23" s="67" t="e">
        <f t="shared" si="10"/>
        <v>#DIV/0!</v>
      </c>
      <c r="H23" s="67">
        <f t="shared" si="10"/>
        <v>3.0820020463545044</v>
      </c>
      <c r="I23" s="67">
        <f t="shared" si="10"/>
        <v>0.13820959107556791</v>
      </c>
      <c r="J23" s="67">
        <f t="shared" si="10"/>
        <v>462.84143245877192</v>
      </c>
      <c r="K23" s="67">
        <f t="shared" si="10"/>
        <v>0.1321622194079837</v>
      </c>
      <c r="L23" s="67">
        <f t="shared" si="10"/>
        <v>0.64943987474327713</v>
      </c>
      <c r="M23" s="67" t="e">
        <f t="shared" si="10"/>
        <v>#VALUE!</v>
      </c>
      <c r="N23" s="67">
        <f t="shared" si="10"/>
        <v>2.2699761659658888</v>
      </c>
      <c r="O23" s="67">
        <f t="shared" si="10"/>
        <v>0.49468179063956763</v>
      </c>
      <c r="P23" s="67" t="e">
        <f t="shared" si="10"/>
        <v>#DIV/0!</v>
      </c>
    </row>
    <row r="24" spans="1:16" x14ac:dyDescent="0.55000000000000004">
      <c r="A24" s="46" t="s">
        <v>229</v>
      </c>
      <c r="B24" s="47"/>
      <c r="C24" s="48"/>
      <c r="D24" s="48"/>
      <c r="E24" s="48"/>
      <c r="F24" s="48"/>
      <c r="G24" s="48"/>
      <c r="H24" s="48"/>
      <c r="I24" s="47"/>
      <c r="J24" s="47"/>
      <c r="K24" s="47"/>
      <c r="L24" s="47"/>
      <c r="M24" s="47"/>
      <c r="N24" s="47"/>
      <c r="O24" s="47"/>
      <c r="P24" s="47"/>
    </row>
    <row r="25" spans="1:16" ht="38.4" x14ac:dyDescent="0.55000000000000004">
      <c r="A25" s="45" t="s">
        <v>239</v>
      </c>
      <c r="B25" s="111" t="s">
        <v>273</v>
      </c>
      <c r="C25" s="116">
        <f>'Other Inputs '!I5</f>
        <v>1.0226114776868378E-2</v>
      </c>
      <c r="D25" s="116">
        <f>'Other Inputs '!I6</f>
        <v>0</v>
      </c>
      <c r="E25" s="116">
        <f>'Other Inputs '!I7</f>
        <v>0</v>
      </c>
      <c r="F25" s="116">
        <f>'Other Inputs '!I8</f>
        <v>0</v>
      </c>
      <c r="G25" s="116">
        <f>'Other Inputs '!I9</f>
        <v>0</v>
      </c>
      <c r="H25" s="116">
        <f>'Other Inputs '!I10</f>
        <v>0</v>
      </c>
      <c r="I25" s="116">
        <f>'Other Inputs '!I11</f>
        <v>7.7489129588959585E-3</v>
      </c>
      <c r="J25" s="116" t="e">
        <f>'Other Inputs '!I12</f>
        <v>#VALUE!</v>
      </c>
      <c r="K25" s="116" t="e">
        <f>'Other Inputs '!I13</f>
        <v>#VALUE!</v>
      </c>
      <c r="L25" s="116" t="e">
        <f>'Other Inputs '!I14</f>
        <v>#VALUE!</v>
      </c>
      <c r="M25" s="116" t="e">
        <f>'Other Inputs '!I15</f>
        <v>#VALUE!</v>
      </c>
      <c r="N25" s="116" t="e">
        <f>'Other Inputs '!I16</f>
        <v>#VALUE!</v>
      </c>
      <c r="O25" s="116" t="e">
        <f>'Other Inputs '!I17</f>
        <v>#VALUE!</v>
      </c>
      <c r="P25" s="116">
        <f>'Other Inputs '!I18</f>
        <v>0</v>
      </c>
    </row>
    <row r="26" spans="1:16" ht="38.4" x14ac:dyDescent="0.55000000000000004">
      <c r="A26" s="36" t="s">
        <v>129</v>
      </c>
      <c r="B26" s="111" t="s">
        <v>245</v>
      </c>
      <c r="C26" s="121">
        <f>C6*C25*189</f>
        <v>1.532659404412702</v>
      </c>
      <c r="D26" s="121">
        <f t="shared" ref="D26:P26" si="11">D6*D25*189</f>
        <v>0</v>
      </c>
      <c r="E26" s="121">
        <f t="shared" si="11"/>
        <v>0</v>
      </c>
      <c r="F26" s="121">
        <f t="shared" si="11"/>
        <v>0</v>
      </c>
      <c r="G26" s="121">
        <f t="shared" si="11"/>
        <v>0</v>
      </c>
      <c r="H26" s="121">
        <f t="shared" si="11"/>
        <v>0</v>
      </c>
      <c r="I26" s="121">
        <f t="shared" si="11"/>
        <v>0.82014494756954825</v>
      </c>
      <c r="J26" s="121" t="e">
        <f t="shared" si="11"/>
        <v>#VALUE!</v>
      </c>
      <c r="K26" s="121" t="e">
        <f t="shared" si="11"/>
        <v>#VALUE!</v>
      </c>
      <c r="L26" s="121" t="e">
        <f t="shared" si="11"/>
        <v>#VALUE!</v>
      </c>
      <c r="M26" s="121" t="e">
        <f t="shared" si="11"/>
        <v>#VALUE!</v>
      </c>
      <c r="N26" s="121" t="e">
        <f t="shared" si="11"/>
        <v>#VALUE!</v>
      </c>
      <c r="O26" s="121" t="e">
        <f t="shared" si="11"/>
        <v>#VALUE!</v>
      </c>
      <c r="P26" s="121">
        <f t="shared" si="11"/>
        <v>0</v>
      </c>
    </row>
    <row r="27" spans="1:16" ht="25.8" x14ac:dyDescent="0.55000000000000004">
      <c r="A27" s="36" t="s">
        <v>130</v>
      </c>
      <c r="B27" s="36" t="s">
        <v>135</v>
      </c>
      <c r="C27" s="40">
        <f t="shared" ref="C27:P27" si="12">C26*C4</f>
        <v>6665316.5794960102</v>
      </c>
      <c r="D27" s="40" t="e">
        <f t="shared" si="12"/>
        <v>#VALUE!</v>
      </c>
      <c r="E27" s="40" t="e">
        <f t="shared" si="12"/>
        <v>#VALUE!</v>
      </c>
      <c r="F27" s="40" t="e">
        <f t="shared" si="12"/>
        <v>#VALUE!</v>
      </c>
      <c r="G27" s="40" t="e">
        <f t="shared" si="12"/>
        <v>#VALUE!</v>
      </c>
      <c r="H27" s="40">
        <f t="shared" si="12"/>
        <v>0</v>
      </c>
      <c r="I27" s="40">
        <f t="shared" si="12"/>
        <v>12929229.155526683</v>
      </c>
      <c r="J27" s="40" t="e">
        <f t="shared" si="12"/>
        <v>#VALUE!</v>
      </c>
      <c r="K27" s="40" t="e">
        <f t="shared" si="12"/>
        <v>#VALUE!</v>
      </c>
      <c r="L27" s="40" t="e">
        <f t="shared" si="12"/>
        <v>#VALUE!</v>
      </c>
      <c r="M27" s="40" t="e">
        <f t="shared" si="12"/>
        <v>#VALUE!</v>
      </c>
      <c r="N27" s="40" t="e">
        <f t="shared" si="12"/>
        <v>#VALUE!</v>
      </c>
      <c r="O27" s="40" t="e">
        <f t="shared" si="12"/>
        <v>#VALUE!</v>
      </c>
      <c r="P27" s="40">
        <f t="shared" si="12"/>
        <v>0</v>
      </c>
    </row>
    <row r="28" spans="1:16" ht="25.8" x14ac:dyDescent="0.55000000000000004">
      <c r="A28" s="45" t="s">
        <v>131</v>
      </c>
      <c r="B28" s="45" t="s">
        <v>136</v>
      </c>
      <c r="C28" s="34">
        <f t="shared" ref="C28:P28" si="13">C27/C5</f>
        <v>8.1093090180566242E-3</v>
      </c>
      <c r="D28" s="34" t="e">
        <f t="shared" si="13"/>
        <v>#VALUE!</v>
      </c>
      <c r="E28" s="34" t="e">
        <f t="shared" si="13"/>
        <v>#VALUE!</v>
      </c>
      <c r="F28" s="34" t="e">
        <f t="shared" si="13"/>
        <v>#VALUE!</v>
      </c>
      <c r="G28" s="34" t="e">
        <f t="shared" si="13"/>
        <v>#VALUE!</v>
      </c>
      <c r="H28" s="34">
        <f t="shared" si="13"/>
        <v>0</v>
      </c>
      <c r="I28" s="34">
        <f t="shared" si="13"/>
        <v>4.3393912569817368E-3</v>
      </c>
      <c r="J28" s="34" t="e">
        <f t="shared" si="13"/>
        <v>#VALUE!</v>
      </c>
      <c r="K28" s="34" t="e">
        <f t="shared" si="13"/>
        <v>#VALUE!</v>
      </c>
      <c r="L28" s="34" t="e">
        <f t="shared" si="13"/>
        <v>#VALUE!</v>
      </c>
      <c r="M28" s="34" t="e">
        <f t="shared" si="13"/>
        <v>#VALUE!</v>
      </c>
      <c r="N28" s="34" t="e">
        <f t="shared" si="13"/>
        <v>#VALUE!</v>
      </c>
      <c r="O28" s="34" t="e">
        <f t="shared" si="13"/>
        <v>#VALUE!</v>
      </c>
      <c r="P28" s="34">
        <f t="shared" si="13"/>
        <v>0</v>
      </c>
    </row>
    <row r="29" spans="1:16" x14ac:dyDescent="0.55000000000000004">
      <c r="A29" s="118" t="s">
        <v>246</v>
      </c>
      <c r="B29" s="119"/>
      <c r="C29" s="120">
        <f>C10/C26</f>
        <v>0.30867881972663247</v>
      </c>
      <c r="D29" s="120" t="e">
        <f t="shared" ref="D29:P29" si="14">D10/D26</f>
        <v>#DIV/0!</v>
      </c>
      <c r="E29" s="120" t="e">
        <f t="shared" si="14"/>
        <v>#DIV/0!</v>
      </c>
      <c r="F29" s="120" t="e">
        <f t="shared" si="14"/>
        <v>#DIV/0!</v>
      </c>
      <c r="G29" s="120" t="e">
        <f t="shared" si="14"/>
        <v>#DIV/0!</v>
      </c>
      <c r="H29" s="120" t="e">
        <f t="shared" si="14"/>
        <v>#DIV/0!</v>
      </c>
      <c r="I29" s="120">
        <f t="shared" si="14"/>
        <v>0.11162905232790159</v>
      </c>
      <c r="J29" s="120" t="e">
        <f t="shared" si="14"/>
        <v>#VALUE!</v>
      </c>
      <c r="K29" s="120" t="e">
        <f t="shared" si="14"/>
        <v>#VALUE!</v>
      </c>
      <c r="L29" s="120" t="e">
        <f t="shared" si="14"/>
        <v>#VALUE!</v>
      </c>
      <c r="M29" s="120" t="e">
        <f t="shared" si="14"/>
        <v>#VALUE!</v>
      </c>
      <c r="N29" s="120" t="e">
        <f t="shared" si="14"/>
        <v>#VALUE!</v>
      </c>
      <c r="O29" s="120" t="e">
        <f t="shared" si="14"/>
        <v>#VALUE!</v>
      </c>
      <c r="P29" s="120" t="e">
        <f t="shared" si="14"/>
        <v>#DIV/0!</v>
      </c>
    </row>
    <row r="33" spans="3:10" x14ac:dyDescent="0.55000000000000004">
      <c r="D33" s="30" t="s">
        <v>241</v>
      </c>
      <c r="E33" s="30" t="s">
        <v>242</v>
      </c>
    </row>
    <row r="34" spans="3:10" x14ac:dyDescent="0.55000000000000004">
      <c r="D34" s="30">
        <f>(0.062/2)*189</f>
        <v>5.859</v>
      </c>
      <c r="E34" s="30">
        <f>(0.062/2)*189*(0.36/0.92)</f>
        <v>2.2926521739130434</v>
      </c>
    </row>
    <row r="35" spans="3:10" x14ac:dyDescent="0.55000000000000004">
      <c r="C35" s="40"/>
      <c r="D35" s="41">
        <f>D34*C4</f>
        <v>25479953.162999999</v>
      </c>
      <c r="E35" s="40">
        <f>E34*C4</f>
        <v>9970416.4550869558</v>
      </c>
      <c r="I35" s="112"/>
    </row>
    <row r="36" spans="3:10" x14ac:dyDescent="0.55000000000000004">
      <c r="C36" s="40"/>
      <c r="D36" s="41">
        <f>C9+D35</f>
        <v>195620285.57399994</v>
      </c>
      <c r="E36" s="40">
        <f>E35+C9</f>
        <v>180110748.8660869</v>
      </c>
    </row>
    <row r="37" spans="3:10" x14ac:dyDescent="0.55000000000000004">
      <c r="C37" s="40"/>
      <c r="D37" s="40">
        <f>C5</f>
        <v>821933973</v>
      </c>
      <c r="E37" s="40">
        <f>C5</f>
        <v>821933973</v>
      </c>
    </row>
    <row r="38" spans="3:10" x14ac:dyDescent="0.55000000000000004">
      <c r="D38" s="30">
        <f>D36/D37</f>
        <v>0.23799999999999993</v>
      </c>
      <c r="E38" s="30">
        <f>E36/E37</f>
        <v>0.21913043478260863</v>
      </c>
    </row>
    <row r="40" spans="3:10" x14ac:dyDescent="0.55000000000000004">
      <c r="C40" s="34"/>
      <c r="D40" s="34">
        <f>(D38-C8)/C8</f>
        <v>0.14975845410628008</v>
      </c>
    </row>
    <row r="42" spans="3:10" x14ac:dyDescent="0.55000000000000004">
      <c r="I42" s="6"/>
      <c r="J42" s="113"/>
    </row>
    <row r="43" spans="3:10" x14ac:dyDescent="0.55000000000000004">
      <c r="I43" s="9"/>
      <c r="J43" s="113"/>
    </row>
    <row r="44" spans="3:10" x14ac:dyDescent="0.55000000000000004">
      <c r="D44" s="34"/>
      <c r="I44" s="6"/>
    </row>
    <row r="45" spans="3:10" x14ac:dyDescent="0.55000000000000004">
      <c r="C45" s="125"/>
      <c r="D45" s="108"/>
    </row>
    <row r="46" spans="3:10" x14ac:dyDescent="0.55000000000000004">
      <c r="C46" s="6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workbookViewId="0">
      <selection activeCell="C15" sqref="C15"/>
    </sheetView>
  </sheetViews>
  <sheetFormatPr defaultRowHeight="14.4" x14ac:dyDescent="0.55000000000000004"/>
  <cols>
    <col min="1" max="1" width="28.26171875" customWidth="1"/>
    <col min="2" max="2" width="37" customWidth="1"/>
    <col min="3" max="3" width="13.41796875" bestFit="1" customWidth="1"/>
    <col min="4" max="4" width="9.41796875" hidden="1" customWidth="1"/>
    <col min="5" max="5" width="11.26171875" hidden="1" customWidth="1"/>
    <col min="6" max="6" width="9" hidden="1" customWidth="1"/>
    <col min="7" max="7" width="10.41796875" hidden="1" customWidth="1"/>
    <col min="8" max="8" width="9" hidden="1" customWidth="1"/>
    <col min="9" max="10" width="11.83984375" hidden="1" customWidth="1"/>
    <col min="11" max="11" width="10.83984375" hidden="1" customWidth="1"/>
    <col min="12" max="12" width="12.83984375" hidden="1" customWidth="1"/>
    <col min="13" max="13" width="11.15625" hidden="1" customWidth="1"/>
    <col min="14" max="14" width="10.68359375" hidden="1" customWidth="1"/>
    <col min="15" max="15" width="9.15625" hidden="1" customWidth="1"/>
    <col min="16" max="16" width="10.83984375" hidden="1" customWidth="1"/>
  </cols>
  <sheetData>
    <row r="1" spans="1:17" ht="43.2" x14ac:dyDescent="0.55000000000000004">
      <c r="B1" s="49" t="s">
        <v>132</v>
      </c>
      <c r="C1" s="30" t="s">
        <v>137</v>
      </c>
      <c r="D1" s="33" t="s">
        <v>141</v>
      </c>
      <c r="E1" s="33" t="s">
        <v>146</v>
      </c>
      <c r="F1" s="33" t="s">
        <v>147</v>
      </c>
      <c r="G1" s="33" t="s">
        <v>227</v>
      </c>
      <c r="H1" s="30" t="s">
        <v>98</v>
      </c>
      <c r="I1" s="30" t="s">
        <v>99</v>
      </c>
      <c r="J1" s="30" t="s">
        <v>100</v>
      </c>
      <c r="K1" s="30" t="s">
        <v>101</v>
      </c>
      <c r="L1" s="30" t="s">
        <v>102</v>
      </c>
      <c r="M1" s="30" t="s">
        <v>103</v>
      </c>
      <c r="N1" s="30" t="s">
        <v>104</v>
      </c>
      <c r="O1" s="30" t="s">
        <v>105</v>
      </c>
      <c r="P1" s="30" t="s">
        <v>106</v>
      </c>
    </row>
    <row r="2" spans="1:17" ht="25.8" x14ac:dyDescent="0.55000000000000004">
      <c r="A2" s="36" t="s">
        <v>139</v>
      </c>
      <c r="C2" s="39">
        <f>'Other Inputs '!D5</f>
        <v>5953198</v>
      </c>
      <c r="D2" s="39">
        <f>'Other Inputs '!D6</f>
        <v>492179</v>
      </c>
      <c r="E2" s="39">
        <f>'Other Inputs '!D7</f>
        <v>1284401</v>
      </c>
      <c r="F2" s="39">
        <f>'Other Inputs '!D8</f>
        <v>521739</v>
      </c>
      <c r="G2" s="39">
        <f>'Other Inputs '!D9</f>
        <v>1005852</v>
      </c>
      <c r="H2" s="39">
        <f>'Other Inputs '!D10</f>
        <v>693162</v>
      </c>
      <c r="I2" s="39">
        <f>'Other Inputs '!D11</f>
        <v>17044840</v>
      </c>
      <c r="J2" s="39">
        <f>'Other Inputs '!D12</f>
        <v>18490500</v>
      </c>
      <c r="K2" s="39">
        <f>'Other Inputs '!D13</f>
        <v>8240036</v>
      </c>
      <c r="L2" s="39">
        <f>'Other Inputs '!D14</f>
        <v>916596</v>
      </c>
      <c r="M2" s="39">
        <f>'Other Inputs '!D15</f>
        <v>10816419</v>
      </c>
      <c r="N2" s="39">
        <f>'Other Inputs '!D16</f>
        <v>9277057</v>
      </c>
      <c r="O2" s="39">
        <f>'Other Inputs '!D17</f>
        <v>946472</v>
      </c>
      <c r="P2" s="39">
        <f>'Other Inputs '!D18</f>
        <v>8914090</v>
      </c>
    </row>
    <row r="3" spans="1:17" ht="25.8" x14ac:dyDescent="0.55000000000000004">
      <c r="A3" s="36" t="s">
        <v>252</v>
      </c>
      <c r="C3" s="67">
        <f>'Other Inputs '!F5</f>
        <v>0.47309949599703632</v>
      </c>
      <c r="D3" s="67">
        <f>'Other Inputs '!F6</f>
        <v>0.73999864222406875</v>
      </c>
      <c r="E3" s="67">
        <f>'Other Inputs '!F7</f>
        <v>0.52022512816856348</v>
      </c>
      <c r="F3" s="67">
        <f>'Other Inputs '!F8</f>
        <v>0.87872869114521002</v>
      </c>
      <c r="G3" s="67">
        <f>'Other Inputs '!F9</f>
        <v>0.54101271887536417</v>
      </c>
      <c r="H3" s="67">
        <f>'Other Inputs '!F10</f>
        <v>0.47</v>
      </c>
      <c r="I3" s="67">
        <f>'Other Inputs '!F11</f>
        <v>9.1552003268705204E-2</v>
      </c>
      <c r="J3" s="67">
        <f>'Other Inputs '!F12</f>
        <v>8.3626641805044671E-2</v>
      </c>
      <c r="K3" s="67">
        <f>'Other Inputs '!F13</f>
        <v>0.09</v>
      </c>
      <c r="L3" s="67">
        <f>'Other Inputs '!F14</f>
        <v>0.11</v>
      </c>
      <c r="M3" s="67">
        <f>'Other Inputs '!F15</f>
        <v>0.1012241567987337</v>
      </c>
      <c r="N3" s="67">
        <f>'Other Inputs '!F16</f>
        <v>0.06</v>
      </c>
      <c r="O3" s="67">
        <f>'Other Inputs '!F17</f>
        <v>0.31443934649288929</v>
      </c>
      <c r="P3" s="67">
        <f>'Other Inputs '!F18</f>
        <v>0.06</v>
      </c>
    </row>
    <row r="4" spans="1:17" ht="32.1" x14ac:dyDescent="0.55000000000000004">
      <c r="A4" s="135" t="s">
        <v>251</v>
      </c>
      <c r="C4" s="39"/>
      <c r="D4" s="39"/>
      <c r="E4" s="39"/>
      <c r="F4" s="39"/>
      <c r="G4" s="39"/>
      <c r="H4" s="39"/>
      <c r="I4" s="39"/>
      <c r="J4" s="39"/>
      <c r="K4" s="39"/>
      <c r="L4" s="39"/>
      <c r="M4" s="39"/>
      <c r="N4" s="39"/>
      <c r="O4" s="39"/>
      <c r="P4" s="39"/>
    </row>
    <row r="5" spans="1:17" ht="42.6" x14ac:dyDescent="0.55000000000000004">
      <c r="A5" s="124" t="s">
        <v>283</v>
      </c>
      <c r="B5" s="111" t="s">
        <v>269</v>
      </c>
      <c r="C5" s="35">
        <f>'Other Inputs '!J5</f>
        <v>7.8635486135486127E-2</v>
      </c>
      <c r="D5" s="35">
        <f>'Other Inputs '!J6</f>
        <v>0</v>
      </c>
      <c r="E5" s="35">
        <f>'Other Inputs '!J7</f>
        <v>0</v>
      </c>
      <c r="F5" s="35">
        <f>'Other Inputs '!J8</f>
        <v>0</v>
      </c>
      <c r="G5" s="35">
        <f>'Other Inputs '!J9</f>
        <v>0</v>
      </c>
      <c r="H5" s="35">
        <f>'Other Inputs '!J10</f>
        <v>3.9809757809757804E-2</v>
      </c>
      <c r="I5" s="35">
        <f>'Other Inputs '!J11</f>
        <v>0.14783871533871534</v>
      </c>
      <c r="J5" s="35">
        <f>'Other Inputs '!J12</f>
        <v>1.9246911196911194E-2</v>
      </c>
      <c r="K5" s="35">
        <f>'Other Inputs '!J13</f>
        <v>0.28342576342576337</v>
      </c>
      <c r="L5" s="35">
        <f>'Other Inputs '!J14</f>
        <v>0.11857055107055108</v>
      </c>
      <c r="M5" s="35">
        <f>'Other Inputs '!J15</f>
        <v>3.1047736047736047E-2</v>
      </c>
      <c r="N5" s="35">
        <f>'Other Inputs '!J16</f>
        <v>0.18213232713232708</v>
      </c>
      <c r="O5" s="35">
        <f>'Other Inputs '!J17</f>
        <v>0.18452790452790452</v>
      </c>
      <c r="P5" s="35">
        <f>'Other Inputs '!J18</f>
        <v>0</v>
      </c>
    </row>
    <row r="6" spans="1:17" ht="28.5" x14ac:dyDescent="0.55000000000000004">
      <c r="A6" s="131" t="s">
        <v>284</v>
      </c>
      <c r="B6" s="130" t="s">
        <v>293</v>
      </c>
      <c r="C6" s="40">
        <f>C2*'Prevalence Inputs '!$H28</f>
        <v>0</v>
      </c>
      <c r="D6" s="40">
        <f>D2*'Prevalence Inputs '!$H29</f>
        <v>0</v>
      </c>
      <c r="E6" s="40">
        <f>E2*'Prevalence Inputs '!$H30</f>
        <v>0</v>
      </c>
      <c r="F6" s="40">
        <f>F2*'Prevalence Inputs '!$H31</f>
        <v>0</v>
      </c>
      <c r="G6" s="40">
        <f>G2*'Prevalence Inputs '!$H32</f>
        <v>0</v>
      </c>
      <c r="H6" s="40">
        <f>H2*'Prevalence Inputs '!$H33</f>
        <v>0</v>
      </c>
      <c r="I6" s="40">
        <f>I2*'Prevalence Inputs '!$H34</f>
        <v>0</v>
      </c>
      <c r="J6" s="40">
        <f>J2*'Prevalence Inputs '!$H35</f>
        <v>0</v>
      </c>
      <c r="K6" s="40">
        <f>K2*'Prevalence Inputs '!$H36</f>
        <v>0</v>
      </c>
      <c r="L6" s="40">
        <f>L2*'Prevalence Inputs '!$H37</f>
        <v>0</v>
      </c>
      <c r="M6" s="40">
        <f>M2*'Prevalence Inputs '!$H38</f>
        <v>0</v>
      </c>
      <c r="N6" s="40">
        <f>N2*'Prevalence Inputs '!$H39</f>
        <v>0</v>
      </c>
      <c r="O6" s="40">
        <f>O2*'Prevalence Inputs '!$H40</f>
        <v>0</v>
      </c>
      <c r="P6" s="40">
        <f>P2*'Prevalence Inputs '!$H41</f>
        <v>0</v>
      </c>
    </row>
    <row r="7" spans="1:17" ht="28.5" x14ac:dyDescent="0.55000000000000004">
      <c r="A7" s="131" t="s">
        <v>285</v>
      </c>
      <c r="B7" s="130" t="s">
        <v>294</v>
      </c>
      <c r="C7" s="39">
        <f>C6*(1-C5)</f>
        <v>0</v>
      </c>
      <c r="D7" s="129">
        <f t="shared" ref="D7:P7" si="0">D6*(1-D5)</f>
        <v>0</v>
      </c>
      <c r="E7" s="129">
        <f t="shared" si="0"/>
        <v>0</v>
      </c>
      <c r="F7" s="129">
        <f t="shared" si="0"/>
        <v>0</v>
      </c>
      <c r="G7" s="129">
        <f t="shared" si="0"/>
        <v>0</v>
      </c>
      <c r="H7" s="129">
        <f t="shared" si="0"/>
        <v>0</v>
      </c>
      <c r="I7" s="129">
        <f t="shared" si="0"/>
        <v>0</v>
      </c>
      <c r="J7" s="129">
        <f t="shared" si="0"/>
        <v>0</v>
      </c>
      <c r="K7" s="129">
        <f t="shared" si="0"/>
        <v>0</v>
      </c>
      <c r="L7" s="129">
        <f t="shared" si="0"/>
        <v>0</v>
      </c>
      <c r="M7" s="129">
        <f t="shared" si="0"/>
        <v>0</v>
      </c>
      <c r="N7" s="129">
        <f t="shared" si="0"/>
        <v>0</v>
      </c>
      <c r="O7" s="129">
        <f t="shared" si="0"/>
        <v>0</v>
      </c>
      <c r="P7" s="129">
        <f t="shared" si="0"/>
        <v>0</v>
      </c>
    </row>
    <row r="8" spans="1:17" ht="28.5" x14ac:dyDescent="0.55000000000000004">
      <c r="A8" s="131" t="s">
        <v>286</v>
      </c>
      <c r="B8" s="130" t="s">
        <v>295</v>
      </c>
      <c r="C8" s="40">
        <f>C6-C7</f>
        <v>0</v>
      </c>
      <c r="D8" s="40">
        <f t="shared" ref="D8:P8" si="1">D6-D7</f>
        <v>0</v>
      </c>
      <c r="E8" s="40">
        <f t="shared" si="1"/>
        <v>0</v>
      </c>
      <c r="F8" s="40">
        <f t="shared" si="1"/>
        <v>0</v>
      </c>
      <c r="G8" s="40">
        <f t="shared" si="1"/>
        <v>0</v>
      </c>
      <c r="H8" s="40">
        <f t="shared" si="1"/>
        <v>0</v>
      </c>
      <c r="I8" s="40">
        <f t="shared" si="1"/>
        <v>0</v>
      </c>
      <c r="J8" s="40">
        <f t="shared" si="1"/>
        <v>0</v>
      </c>
      <c r="K8" s="40">
        <f t="shared" si="1"/>
        <v>0</v>
      </c>
      <c r="L8" s="40">
        <f t="shared" si="1"/>
        <v>0</v>
      </c>
      <c r="M8" s="40">
        <f t="shared" si="1"/>
        <v>0</v>
      </c>
      <c r="N8" s="40">
        <f t="shared" si="1"/>
        <v>0</v>
      </c>
      <c r="O8" s="40">
        <f t="shared" si="1"/>
        <v>0</v>
      </c>
      <c r="P8" s="40">
        <f t="shared" si="1"/>
        <v>0</v>
      </c>
      <c r="Q8" s="40"/>
    </row>
    <row r="9" spans="1:17" ht="28.5" x14ac:dyDescent="0.55000000000000004">
      <c r="A9" s="132" t="s">
        <v>287</v>
      </c>
      <c r="B9" s="130" t="s">
        <v>296</v>
      </c>
      <c r="C9" s="40">
        <f>C2*'Prevalence Inputs '!$H31</f>
        <v>0</v>
      </c>
      <c r="D9" s="40">
        <f>D5*'Prevalence Inputs '!$H32</f>
        <v>0</v>
      </c>
      <c r="E9" s="40">
        <f>E5*'Prevalence Inputs '!$H33</f>
        <v>0</v>
      </c>
      <c r="F9" s="40">
        <f>F5*'Prevalence Inputs '!$H34</f>
        <v>0</v>
      </c>
      <c r="G9" s="40">
        <f>G5*'Prevalence Inputs '!$H35</f>
        <v>0</v>
      </c>
      <c r="H9" s="40">
        <f>H5*'Prevalence Inputs '!$H36</f>
        <v>0</v>
      </c>
      <c r="I9" s="40">
        <f>I5*'Prevalence Inputs '!$H37</f>
        <v>0</v>
      </c>
      <c r="J9" s="40">
        <f>J5*'Prevalence Inputs '!$H38</f>
        <v>0</v>
      </c>
      <c r="K9" s="40">
        <f>K5*'Prevalence Inputs '!$H39</f>
        <v>0</v>
      </c>
      <c r="L9" s="40">
        <f>L5*'Prevalence Inputs '!$H40</f>
        <v>0</v>
      </c>
      <c r="M9" s="40">
        <f>M5*'Prevalence Inputs '!$H41</f>
        <v>0</v>
      </c>
      <c r="N9" s="40">
        <f>N5*'Prevalence Inputs '!$H42</f>
        <v>0</v>
      </c>
      <c r="O9" s="40">
        <f>O5*'Prevalence Inputs '!$H43</f>
        <v>0</v>
      </c>
      <c r="P9" s="40">
        <f>P5*'Prevalence Inputs '!$H44</f>
        <v>0</v>
      </c>
    </row>
    <row r="10" spans="1:17" ht="28.5" x14ac:dyDescent="0.55000000000000004">
      <c r="A10" s="132" t="s">
        <v>288</v>
      </c>
      <c r="B10" s="130" t="s">
        <v>297</v>
      </c>
      <c r="C10" s="39">
        <f>C9*(1-C5)</f>
        <v>0</v>
      </c>
      <c r="D10" s="129">
        <f t="shared" ref="D10:P10" si="2">D9*(1-D8)</f>
        <v>0</v>
      </c>
      <c r="E10" s="129">
        <f t="shared" si="2"/>
        <v>0</v>
      </c>
      <c r="F10" s="129">
        <f t="shared" si="2"/>
        <v>0</v>
      </c>
      <c r="G10" s="129">
        <f t="shared" si="2"/>
        <v>0</v>
      </c>
      <c r="H10" s="129">
        <f t="shared" si="2"/>
        <v>0</v>
      </c>
      <c r="I10" s="129">
        <f t="shared" si="2"/>
        <v>0</v>
      </c>
      <c r="J10" s="129">
        <f t="shared" si="2"/>
        <v>0</v>
      </c>
      <c r="K10" s="129">
        <f t="shared" si="2"/>
        <v>0</v>
      </c>
      <c r="L10" s="129">
        <f t="shared" si="2"/>
        <v>0</v>
      </c>
      <c r="M10" s="129">
        <f t="shared" si="2"/>
        <v>0</v>
      </c>
      <c r="N10" s="129">
        <f t="shared" si="2"/>
        <v>0</v>
      </c>
      <c r="O10" s="129">
        <f t="shared" si="2"/>
        <v>0</v>
      </c>
      <c r="P10" s="129">
        <f t="shared" si="2"/>
        <v>0</v>
      </c>
    </row>
    <row r="11" spans="1:17" ht="28.5" x14ac:dyDescent="0.55000000000000004">
      <c r="A11" s="132" t="s">
        <v>289</v>
      </c>
      <c r="B11" s="130" t="s">
        <v>298</v>
      </c>
      <c r="C11" s="40">
        <f>C9-C10</f>
        <v>0</v>
      </c>
      <c r="D11" s="40">
        <f t="shared" ref="D11:P11" si="3">D9-D10</f>
        <v>0</v>
      </c>
      <c r="E11" s="40">
        <f t="shared" si="3"/>
        <v>0</v>
      </c>
      <c r="F11" s="40">
        <f t="shared" si="3"/>
        <v>0</v>
      </c>
      <c r="G11" s="40">
        <f t="shared" si="3"/>
        <v>0</v>
      </c>
      <c r="H11" s="40">
        <f t="shared" si="3"/>
        <v>0</v>
      </c>
      <c r="I11" s="40">
        <f t="shared" si="3"/>
        <v>0</v>
      </c>
      <c r="J11" s="40">
        <f t="shared" si="3"/>
        <v>0</v>
      </c>
      <c r="K11" s="40">
        <f t="shared" si="3"/>
        <v>0</v>
      </c>
      <c r="L11" s="40">
        <f t="shared" si="3"/>
        <v>0</v>
      </c>
      <c r="M11" s="40">
        <f t="shared" si="3"/>
        <v>0</v>
      </c>
      <c r="N11" s="40">
        <f t="shared" si="3"/>
        <v>0</v>
      </c>
      <c r="O11" s="40">
        <f t="shared" si="3"/>
        <v>0</v>
      </c>
      <c r="P11" s="40">
        <f t="shared" si="3"/>
        <v>0</v>
      </c>
      <c r="Q11" s="40"/>
    </row>
    <row r="12" spans="1:17" ht="28.5" x14ac:dyDescent="0.55000000000000004">
      <c r="A12" s="133" t="s">
        <v>290</v>
      </c>
      <c r="B12" s="130" t="s">
        <v>299</v>
      </c>
      <c r="C12" s="40">
        <f>C2*'Prevalence Inputs '!$H34</f>
        <v>0</v>
      </c>
      <c r="D12" s="40">
        <f>D8*'Prevalence Inputs '!$H35</f>
        <v>0</v>
      </c>
      <c r="E12" s="40">
        <f>E8*'Prevalence Inputs '!$H36</f>
        <v>0</v>
      </c>
      <c r="F12" s="40">
        <f>F8*'Prevalence Inputs '!$H37</f>
        <v>0</v>
      </c>
      <c r="G12" s="40">
        <f>G8*'Prevalence Inputs '!$H38</f>
        <v>0</v>
      </c>
      <c r="H12" s="40">
        <f>H8*'Prevalence Inputs '!$H39</f>
        <v>0</v>
      </c>
      <c r="I12" s="40">
        <f>I8*'Prevalence Inputs '!$H40</f>
        <v>0</v>
      </c>
      <c r="J12" s="40">
        <f>J8*'Prevalence Inputs '!$H41</f>
        <v>0</v>
      </c>
      <c r="K12" s="40">
        <f>K8*'Prevalence Inputs '!$H42</f>
        <v>0</v>
      </c>
      <c r="L12" s="40">
        <f>L8*'Prevalence Inputs '!$H43</f>
        <v>0</v>
      </c>
      <c r="M12" s="40">
        <f>M8*'Prevalence Inputs '!$H44</f>
        <v>0</v>
      </c>
      <c r="N12" s="40">
        <f>N8*'Prevalence Inputs '!$H45</f>
        <v>0</v>
      </c>
      <c r="O12" s="40">
        <f>O8*'Prevalence Inputs '!$H46</f>
        <v>0</v>
      </c>
      <c r="P12" s="40">
        <f>P8*'Prevalence Inputs '!$H47</f>
        <v>0</v>
      </c>
    </row>
    <row r="13" spans="1:17" ht="28.5" x14ac:dyDescent="0.55000000000000004">
      <c r="A13" s="133" t="s">
        <v>291</v>
      </c>
      <c r="B13" s="130" t="s">
        <v>300</v>
      </c>
      <c r="C13" s="39">
        <f>C12*(1-C5)</f>
        <v>0</v>
      </c>
      <c r="D13" s="129">
        <f t="shared" ref="D13:P13" si="4">D12*(1-D11)</f>
        <v>0</v>
      </c>
      <c r="E13" s="129">
        <f t="shared" si="4"/>
        <v>0</v>
      </c>
      <c r="F13" s="129">
        <f t="shared" si="4"/>
        <v>0</v>
      </c>
      <c r="G13" s="129">
        <f t="shared" si="4"/>
        <v>0</v>
      </c>
      <c r="H13" s="129">
        <f t="shared" si="4"/>
        <v>0</v>
      </c>
      <c r="I13" s="129">
        <f t="shared" si="4"/>
        <v>0</v>
      </c>
      <c r="J13" s="129">
        <f t="shared" si="4"/>
        <v>0</v>
      </c>
      <c r="K13" s="129">
        <f t="shared" si="4"/>
        <v>0</v>
      </c>
      <c r="L13" s="129">
        <f t="shared" si="4"/>
        <v>0</v>
      </c>
      <c r="M13" s="129">
        <f t="shared" si="4"/>
        <v>0</v>
      </c>
      <c r="N13" s="129">
        <f t="shared" si="4"/>
        <v>0</v>
      </c>
      <c r="O13" s="129">
        <f t="shared" si="4"/>
        <v>0</v>
      </c>
      <c r="P13" s="129">
        <f t="shared" si="4"/>
        <v>0</v>
      </c>
    </row>
    <row r="14" spans="1:17" ht="28.5" x14ac:dyDescent="0.55000000000000004">
      <c r="A14" s="133" t="s">
        <v>292</v>
      </c>
      <c r="B14" s="130" t="s">
        <v>301</v>
      </c>
      <c r="C14" s="40">
        <f>C12-C13</f>
        <v>0</v>
      </c>
      <c r="D14" s="40">
        <f t="shared" ref="D14:P14" si="5">D12-D13</f>
        <v>0</v>
      </c>
      <c r="E14" s="40">
        <f t="shared" si="5"/>
        <v>0</v>
      </c>
      <c r="F14" s="40">
        <f t="shared" si="5"/>
        <v>0</v>
      </c>
      <c r="G14" s="40">
        <f t="shared" si="5"/>
        <v>0</v>
      </c>
      <c r="H14" s="40">
        <f t="shared" si="5"/>
        <v>0</v>
      </c>
      <c r="I14" s="40">
        <f t="shared" si="5"/>
        <v>0</v>
      </c>
      <c r="J14" s="40">
        <f t="shared" si="5"/>
        <v>0</v>
      </c>
      <c r="K14" s="40">
        <f t="shared" si="5"/>
        <v>0</v>
      </c>
      <c r="L14" s="40">
        <f t="shared" si="5"/>
        <v>0</v>
      </c>
      <c r="M14" s="40">
        <f t="shared" si="5"/>
        <v>0</v>
      </c>
      <c r="N14" s="40">
        <f t="shared" si="5"/>
        <v>0</v>
      </c>
      <c r="O14" s="40">
        <f t="shared" si="5"/>
        <v>0</v>
      </c>
      <c r="P14" s="40">
        <f t="shared" si="5"/>
        <v>0</v>
      </c>
      <c r="Q14" s="40"/>
    </row>
    <row r="15" spans="1:17" ht="25.8" x14ac:dyDescent="0.55000000000000004">
      <c r="A15" s="124" t="s">
        <v>253</v>
      </c>
      <c r="B15" s="130" t="s">
        <v>271</v>
      </c>
      <c r="C15" s="134" t="e">
        <f>(C3*C2)/(C8+C11+C14)</f>
        <v>#DIV/0!</v>
      </c>
      <c r="D15" s="67" t="e">
        <f t="shared" ref="D15:P15" si="6">(D3*D2)/D8</f>
        <v>#DIV/0!</v>
      </c>
      <c r="E15" s="67" t="e">
        <f t="shared" si="6"/>
        <v>#DIV/0!</v>
      </c>
      <c r="F15" s="67" t="e">
        <f t="shared" si="6"/>
        <v>#DIV/0!</v>
      </c>
      <c r="G15" s="67" t="e">
        <f t="shared" si="6"/>
        <v>#DIV/0!</v>
      </c>
      <c r="H15" s="67" t="e">
        <f t="shared" si="6"/>
        <v>#DIV/0!</v>
      </c>
      <c r="I15" s="67" t="e">
        <f t="shared" si="6"/>
        <v>#DIV/0!</v>
      </c>
      <c r="J15" s="67" t="e">
        <f t="shared" si="6"/>
        <v>#DIV/0!</v>
      </c>
      <c r="K15" s="67" t="e">
        <f t="shared" si="6"/>
        <v>#DIV/0!</v>
      </c>
      <c r="L15" s="67" t="e">
        <f t="shared" si="6"/>
        <v>#DIV/0!</v>
      </c>
      <c r="M15" s="67" t="e">
        <f t="shared" si="6"/>
        <v>#DIV/0!</v>
      </c>
      <c r="N15" s="67" t="e">
        <f t="shared" si="6"/>
        <v>#DIV/0!</v>
      </c>
      <c r="O15" s="67" t="e">
        <f t="shared" si="6"/>
        <v>#DIV/0!</v>
      </c>
      <c r="P15" s="67" t="e">
        <f t="shared" si="6"/>
        <v>#DIV/0!</v>
      </c>
    </row>
    <row r="16" spans="1:17" ht="32.1" x14ac:dyDescent="0.55000000000000004">
      <c r="A16" s="135" t="s">
        <v>254</v>
      </c>
      <c r="B16" s="117"/>
      <c r="C16" s="30"/>
      <c r="D16" s="30"/>
      <c r="E16" s="30"/>
      <c r="F16" s="30"/>
      <c r="G16" s="30"/>
      <c r="H16" s="30"/>
      <c r="I16" s="30"/>
      <c r="J16" s="30"/>
      <c r="K16" s="30"/>
      <c r="L16" s="30"/>
      <c r="M16" s="30"/>
      <c r="N16" s="30"/>
      <c r="O16" s="30"/>
      <c r="P16" s="30"/>
    </row>
    <row r="17" spans="1:17" ht="42.6" x14ac:dyDescent="0.55000000000000004">
      <c r="A17" s="124" t="s">
        <v>255</v>
      </c>
      <c r="B17" s="111" t="s">
        <v>274</v>
      </c>
      <c r="C17" s="34">
        <f>'Other Inputs '!$K5</f>
        <v>3.4256756756756754E-2</v>
      </c>
      <c r="D17" s="34" t="e">
        <f>'Other Inputs '!$K6</f>
        <v>#VALUE!</v>
      </c>
      <c r="E17" s="34">
        <f>'Other Inputs '!$K7</f>
        <v>0</v>
      </c>
      <c r="F17" s="34">
        <f>'Other Inputs '!$K8</f>
        <v>0</v>
      </c>
      <c r="G17" s="34">
        <f>'Other Inputs '!$K9</f>
        <v>0</v>
      </c>
      <c r="H17" s="34">
        <f>'Other Inputs '!$K10</f>
        <v>1.7103040540540536E-2</v>
      </c>
      <c r="I17" s="34">
        <f>'Other Inputs '!$K11</f>
        <v>6.4905405405405403E-2</v>
      </c>
      <c r="J17" s="34">
        <f>'Other Inputs '!$K12</f>
        <v>1.4062499999999998E-5</v>
      </c>
      <c r="K17" s="34">
        <f>'Other Inputs '!$K13</f>
        <v>0.10783783783783783</v>
      </c>
      <c r="L17" s="34">
        <f>'Other Inputs '!$K14</f>
        <v>1.299831081081081E-2</v>
      </c>
      <c r="M17" s="34" t="e">
        <f>'Other Inputs '!$K15</f>
        <v>#VALUE!</v>
      </c>
      <c r="N17" s="34">
        <f>'Other Inputs '!$K16</f>
        <v>4.2567567567567558E-3</v>
      </c>
      <c r="O17" s="34">
        <f>'Other Inputs '!$K17</f>
        <v>8.9087837837837844E-2</v>
      </c>
      <c r="P17" s="34">
        <f>'Other Inputs '!$K18</f>
        <v>0</v>
      </c>
    </row>
    <row r="18" spans="1:17" ht="28.5" x14ac:dyDescent="0.55000000000000004">
      <c r="A18" s="131" t="s">
        <v>284</v>
      </c>
      <c r="B18" s="130" t="s">
        <v>293</v>
      </c>
      <c r="C18" s="40">
        <f>C14*'Prevalence Inputs '!$H40</f>
        <v>0</v>
      </c>
      <c r="D18" s="40">
        <f>D14*'Prevalence Inputs '!$H41</f>
        <v>0</v>
      </c>
      <c r="E18" s="40">
        <f>E14*'Prevalence Inputs '!$H42</f>
        <v>0</v>
      </c>
      <c r="F18" s="40">
        <f>F14*'Prevalence Inputs '!$H43</f>
        <v>0</v>
      </c>
      <c r="G18" s="40">
        <f>G14*'Prevalence Inputs '!$H44</f>
        <v>0</v>
      </c>
      <c r="H18" s="40">
        <f>H14*'Prevalence Inputs '!$H45</f>
        <v>0</v>
      </c>
      <c r="I18" s="40">
        <f>I14*'Prevalence Inputs '!$H46</f>
        <v>0</v>
      </c>
      <c r="J18" s="40">
        <f>J14*'Prevalence Inputs '!$H47</f>
        <v>0</v>
      </c>
      <c r="K18" s="40" t="e">
        <f>K14*'Prevalence Inputs '!$H48</f>
        <v>#VALUE!</v>
      </c>
      <c r="L18" s="40" t="e">
        <f>L14*'Prevalence Inputs '!$H49</f>
        <v>#VALUE!</v>
      </c>
      <c r="M18" s="40">
        <f>M14*'Prevalence Inputs '!$H50</f>
        <v>0</v>
      </c>
      <c r="N18" s="40">
        <f>N14*'Prevalence Inputs '!$H51</f>
        <v>0</v>
      </c>
      <c r="O18" s="40">
        <f>O14*'Prevalence Inputs '!$H52</f>
        <v>0</v>
      </c>
      <c r="P18" s="40">
        <f>P14*'Prevalence Inputs '!$H53</f>
        <v>0</v>
      </c>
    </row>
    <row r="19" spans="1:17" ht="28.5" x14ac:dyDescent="0.55000000000000004">
      <c r="A19" s="131" t="s">
        <v>285</v>
      </c>
      <c r="B19" s="130" t="s">
        <v>294</v>
      </c>
      <c r="C19" s="39">
        <f>C18*(1-C17)</f>
        <v>0</v>
      </c>
      <c r="D19" s="129" t="e">
        <f t="shared" ref="D19:P19" si="7">D18*(1-D17)</f>
        <v>#VALUE!</v>
      </c>
      <c r="E19" s="129">
        <f t="shared" si="7"/>
        <v>0</v>
      </c>
      <c r="F19" s="129">
        <f t="shared" si="7"/>
        <v>0</v>
      </c>
      <c r="G19" s="129">
        <f t="shared" si="7"/>
        <v>0</v>
      </c>
      <c r="H19" s="129">
        <f t="shared" si="7"/>
        <v>0</v>
      </c>
      <c r="I19" s="129">
        <f t="shared" si="7"/>
        <v>0</v>
      </c>
      <c r="J19" s="129">
        <f t="shared" si="7"/>
        <v>0</v>
      </c>
      <c r="K19" s="129" t="e">
        <f t="shared" si="7"/>
        <v>#VALUE!</v>
      </c>
      <c r="L19" s="129" t="e">
        <f t="shared" si="7"/>
        <v>#VALUE!</v>
      </c>
      <c r="M19" s="129" t="e">
        <f t="shared" si="7"/>
        <v>#VALUE!</v>
      </c>
      <c r="N19" s="129">
        <f t="shared" si="7"/>
        <v>0</v>
      </c>
      <c r="O19" s="129">
        <f t="shared" si="7"/>
        <v>0</v>
      </c>
      <c r="P19" s="129">
        <f t="shared" si="7"/>
        <v>0</v>
      </c>
    </row>
    <row r="20" spans="1:17" ht="28.5" x14ac:dyDescent="0.55000000000000004">
      <c r="A20" s="131" t="s">
        <v>286</v>
      </c>
      <c r="B20" s="130" t="s">
        <v>295</v>
      </c>
      <c r="C20" s="40">
        <f>C18-C19</f>
        <v>0</v>
      </c>
      <c r="D20" s="40" t="e">
        <f t="shared" ref="D20:P20" si="8">D18-D19</f>
        <v>#VALUE!</v>
      </c>
      <c r="E20" s="40">
        <f t="shared" si="8"/>
        <v>0</v>
      </c>
      <c r="F20" s="40">
        <f t="shared" si="8"/>
        <v>0</v>
      </c>
      <c r="G20" s="40">
        <f t="shared" si="8"/>
        <v>0</v>
      </c>
      <c r="H20" s="40">
        <f t="shared" si="8"/>
        <v>0</v>
      </c>
      <c r="I20" s="40">
        <f t="shared" si="8"/>
        <v>0</v>
      </c>
      <c r="J20" s="40">
        <f t="shared" si="8"/>
        <v>0</v>
      </c>
      <c r="K20" s="40" t="e">
        <f t="shared" si="8"/>
        <v>#VALUE!</v>
      </c>
      <c r="L20" s="40" t="e">
        <f t="shared" si="8"/>
        <v>#VALUE!</v>
      </c>
      <c r="M20" s="40" t="e">
        <f t="shared" si="8"/>
        <v>#VALUE!</v>
      </c>
      <c r="N20" s="40">
        <f t="shared" si="8"/>
        <v>0</v>
      </c>
      <c r="O20" s="40">
        <f t="shared" si="8"/>
        <v>0</v>
      </c>
      <c r="P20" s="40">
        <f t="shared" si="8"/>
        <v>0</v>
      </c>
      <c r="Q20" s="40"/>
    </row>
    <row r="21" spans="1:17" ht="28.5" x14ac:dyDescent="0.55000000000000004">
      <c r="A21" s="132" t="s">
        <v>287</v>
      </c>
      <c r="B21" s="130" t="s">
        <v>296</v>
      </c>
      <c r="C21" s="40">
        <f>C14*'Prevalence Inputs '!$H43</f>
        <v>0</v>
      </c>
      <c r="D21" s="40" t="e">
        <f>D17*'Prevalence Inputs '!$H44</f>
        <v>#VALUE!</v>
      </c>
      <c r="E21" s="40">
        <f>E17*'Prevalence Inputs '!$H45</f>
        <v>0</v>
      </c>
      <c r="F21" s="40">
        <f>F17*'Prevalence Inputs '!$H46</f>
        <v>0</v>
      </c>
      <c r="G21" s="40">
        <f>G17*'Prevalence Inputs '!$H47</f>
        <v>0</v>
      </c>
      <c r="H21" s="40" t="e">
        <f>H17*'Prevalence Inputs '!$H48</f>
        <v>#VALUE!</v>
      </c>
      <c r="I21" s="40" t="e">
        <f>I17*'Prevalence Inputs '!$H49</f>
        <v>#VALUE!</v>
      </c>
      <c r="J21" s="40">
        <f>J17*'Prevalence Inputs '!$H50</f>
        <v>0</v>
      </c>
      <c r="K21" s="40">
        <f>K17*'Prevalence Inputs '!$H51</f>
        <v>3.6233513513513511E-2</v>
      </c>
      <c r="L21" s="40">
        <f>L17*'Prevalence Inputs '!$H52</f>
        <v>0</v>
      </c>
      <c r="M21" s="40" t="e">
        <f>M17*'Prevalence Inputs '!$H53</f>
        <v>#VALUE!</v>
      </c>
      <c r="N21" s="40">
        <f>N17*'Prevalence Inputs '!$H54</f>
        <v>0</v>
      </c>
      <c r="O21" s="40">
        <f>O17*'Prevalence Inputs '!$H55</f>
        <v>0</v>
      </c>
      <c r="P21" s="40">
        <f>P17*'Prevalence Inputs '!$H56</f>
        <v>0</v>
      </c>
    </row>
    <row r="22" spans="1:17" ht="28.5" x14ac:dyDescent="0.55000000000000004">
      <c r="A22" s="132" t="s">
        <v>288</v>
      </c>
      <c r="B22" s="130" t="s">
        <v>297</v>
      </c>
      <c r="C22" s="39">
        <f>C21*(1-C17)</f>
        <v>0</v>
      </c>
      <c r="D22" s="129" t="e">
        <f t="shared" ref="D22:P22" si="9">D21*(1-D20)</f>
        <v>#VALUE!</v>
      </c>
      <c r="E22" s="129">
        <f t="shared" si="9"/>
        <v>0</v>
      </c>
      <c r="F22" s="129">
        <f t="shared" si="9"/>
        <v>0</v>
      </c>
      <c r="G22" s="129">
        <f t="shared" si="9"/>
        <v>0</v>
      </c>
      <c r="H22" s="129" t="e">
        <f t="shared" si="9"/>
        <v>#VALUE!</v>
      </c>
      <c r="I22" s="129" t="e">
        <f t="shared" si="9"/>
        <v>#VALUE!</v>
      </c>
      <c r="J22" s="129">
        <f t="shared" si="9"/>
        <v>0</v>
      </c>
      <c r="K22" s="129" t="e">
        <f t="shared" si="9"/>
        <v>#VALUE!</v>
      </c>
      <c r="L22" s="129" t="e">
        <f t="shared" si="9"/>
        <v>#VALUE!</v>
      </c>
      <c r="M22" s="129" t="e">
        <f t="shared" si="9"/>
        <v>#VALUE!</v>
      </c>
      <c r="N22" s="129">
        <f t="shared" si="9"/>
        <v>0</v>
      </c>
      <c r="O22" s="129">
        <f t="shared" si="9"/>
        <v>0</v>
      </c>
      <c r="P22" s="129">
        <f t="shared" si="9"/>
        <v>0</v>
      </c>
    </row>
    <row r="23" spans="1:17" ht="28.5" x14ac:dyDescent="0.55000000000000004">
      <c r="A23" s="132" t="s">
        <v>289</v>
      </c>
      <c r="B23" s="130" t="s">
        <v>298</v>
      </c>
      <c r="C23" s="40">
        <f>C21-C22</f>
        <v>0</v>
      </c>
      <c r="D23" s="40" t="e">
        <f t="shared" ref="D23:P23" si="10">D21-D22</f>
        <v>#VALUE!</v>
      </c>
      <c r="E23" s="40">
        <f t="shared" si="10"/>
        <v>0</v>
      </c>
      <c r="F23" s="40">
        <f t="shared" si="10"/>
        <v>0</v>
      </c>
      <c r="G23" s="40">
        <f t="shared" si="10"/>
        <v>0</v>
      </c>
      <c r="H23" s="40" t="e">
        <f t="shared" si="10"/>
        <v>#VALUE!</v>
      </c>
      <c r="I23" s="40" t="e">
        <f t="shared" si="10"/>
        <v>#VALUE!</v>
      </c>
      <c r="J23" s="40">
        <f t="shared" si="10"/>
        <v>0</v>
      </c>
      <c r="K23" s="40" t="e">
        <f t="shared" si="10"/>
        <v>#VALUE!</v>
      </c>
      <c r="L23" s="40" t="e">
        <f t="shared" si="10"/>
        <v>#VALUE!</v>
      </c>
      <c r="M23" s="40" t="e">
        <f t="shared" si="10"/>
        <v>#VALUE!</v>
      </c>
      <c r="N23" s="40">
        <f t="shared" si="10"/>
        <v>0</v>
      </c>
      <c r="O23" s="40">
        <f t="shared" si="10"/>
        <v>0</v>
      </c>
      <c r="P23" s="40">
        <f t="shared" si="10"/>
        <v>0</v>
      </c>
      <c r="Q23" s="40"/>
    </row>
    <row r="24" spans="1:17" ht="28.5" x14ac:dyDescent="0.55000000000000004">
      <c r="A24" s="133" t="s">
        <v>290</v>
      </c>
      <c r="B24" s="130" t="s">
        <v>299</v>
      </c>
      <c r="C24" s="40">
        <f>C14*'Prevalence Inputs '!$H46</f>
        <v>0</v>
      </c>
      <c r="D24" s="40" t="e">
        <f>D20*'Prevalence Inputs '!$H47</f>
        <v>#VALUE!</v>
      </c>
      <c r="E24" s="40" t="e">
        <f>E20*'Prevalence Inputs '!$H48</f>
        <v>#VALUE!</v>
      </c>
      <c r="F24" s="40" t="e">
        <f>F20*'Prevalence Inputs '!$H49</f>
        <v>#VALUE!</v>
      </c>
      <c r="G24" s="40">
        <f>G20*'Prevalence Inputs '!$H50</f>
        <v>0</v>
      </c>
      <c r="H24" s="40">
        <f>H20*'Prevalence Inputs '!$H51</f>
        <v>0</v>
      </c>
      <c r="I24" s="40">
        <f>I20*'Prevalence Inputs '!$H52</f>
        <v>0</v>
      </c>
      <c r="J24" s="40">
        <f>J20*'Prevalence Inputs '!$H53</f>
        <v>0</v>
      </c>
      <c r="K24" s="40" t="e">
        <f>K20*'Prevalence Inputs '!$H54</f>
        <v>#VALUE!</v>
      </c>
      <c r="L24" s="40" t="e">
        <f>L20*'Prevalence Inputs '!$H55</f>
        <v>#VALUE!</v>
      </c>
      <c r="M24" s="40" t="e">
        <f>M20*'Prevalence Inputs '!$H56</f>
        <v>#VALUE!</v>
      </c>
      <c r="N24" s="40">
        <f>N20*'Prevalence Inputs '!$H57</f>
        <v>0</v>
      </c>
      <c r="O24" s="40">
        <f>O20*'Prevalence Inputs '!$H58</f>
        <v>0</v>
      </c>
      <c r="P24" s="40">
        <f>P20*'Prevalence Inputs '!$H59</f>
        <v>0</v>
      </c>
    </row>
    <row r="25" spans="1:17" ht="28.5" x14ac:dyDescent="0.55000000000000004">
      <c r="A25" s="133" t="s">
        <v>291</v>
      </c>
      <c r="B25" s="130" t="s">
        <v>300</v>
      </c>
      <c r="C25" s="39">
        <f>C24*(1-C17)</f>
        <v>0</v>
      </c>
      <c r="D25" s="129" t="e">
        <f t="shared" ref="D25:P25" si="11">D24*(1-D23)</f>
        <v>#VALUE!</v>
      </c>
      <c r="E25" s="129" t="e">
        <f t="shared" si="11"/>
        <v>#VALUE!</v>
      </c>
      <c r="F25" s="129" t="e">
        <f t="shared" si="11"/>
        <v>#VALUE!</v>
      </c>
      <c r="G25" s="129">
        <f t="shared" si="11"/>
        <v>0</v>
      </c>
      <c r="H25" s="129" t="e">
        <f t="shared" si="11"/>
        <v>#VALUE!</v>
      </c>
      <c r="I25" s="129" t="e">
        <f t="shared" si="11"/>
        <v>#VALUE!</v>
      </c>
      <c r="J25" s="129">
        <f t="shared" si="11"/>
        <v>0</v>
      </c>
      <c r="K25" s="129" t="e">
        <f t="shared" si="11"/>
        <v>#VALUE!</v>
      </c>
      <c r="L25" s="129" t="e">
        <f t="shared" si="11"/>
        <v>#VALUE!</v>
      </c>
      <c r="M25" s="129" t="e">
        <f t="shared" si="11"/>
        <v>#VALUE!</v>
      </c>
      <c r="N25" s="129">
        <f t="shared" si="11"/>
        <v>0</v>
      </c>
      <c r="O25" s="129">
        <f t="shared" si="11"/>
        <v>0</v>
      </c>
      <c r="P25" s="129">
        <f t="shared" si="11"/>
        <v>0</v>
      </c>
    </row>
    <row r="26" spans="1:17" ht="28.5" x14ac:dyDescent="0.55000000000000004">
      <c r="A26" s="133" t="s">
        <v>292</v>
      </c>
      <c r="B26" s="130" t="s">
        <v>301</v>
      </c>
      <c r="C26" s="40">
        <f>C24-C25</f>
        <v>0</v>
      </c>
      <c r="D26" s="40" t="e">
        <f t="shared" ref="D26:P26" si="12">D24-D25</f>
        <v>#VALUE!</v>
      </c>
      <c r="E26" s="40" t="e">
        <f t="shared" si="12"/>
        <v>#VALUE!</v>
      </c>
      <c r="F26" s="40" t="e">
        <f t="shared" si="12"/>
        <v>#VALUE!</v>
      </c>
      <c r="G26" s="40">
        <f t="shared" si="12"/>
        <v>0</v>
      </c>
      <c r="H26" s="40" t="e">
        <f t="shared" si="12"/>
        <v>#VALUE!</v>
      </c>
      <c r="I26" s="40" t="e">
        <f t="shared" si="12"/>
        <v>#VALUE!</v>
      </c>
      <c r="J26" s="40">
        <f t="shared" si="12"/>
        <v>0</v>
      </c>
      <c r="K26" s="40" t="e">
        <f t="shared" si="12"/>
        <v>#VALUE!</v>
      </c>
      <c r="L26" s="40" t="e">
        <f t="shared" si="12"/>
        <v>#VALUE!</v>
      </c>
      <c r="M26" s="40" t="e">
        <f t="shared" si="12"/>
        <v>#VALUE!</v>
      </c>
      <c r="N26" s="40">
        <f t="shared" si="12"/>
        <v>0</v>
      </c>
      <c r="O26" s="40">
        <f t="shared" si="12"/>
        <v>0</v>
      </c>
      <c r="P26" s="40">
        <f t="shared" si="12"/>
        <v>0</v>
      </c>
      <c r="Q26" s="40"/>
    </row>
    <row r="27" spans="1:17" ht="25.8" x14ac:dyDescent="0.55000000000000004">
      <c r="A27" s="124" t="s">
        <v>253</v>
      </c>
      <c r="B27" s="130" t="s">
        <v>271</v>
      </c>
      <c r="C27" s="134" t="e">
        <f>(C15*C14)/(C20+C23+C26)</f>
        <v>#DIV/0!</v>
      </c>
      <c r="D27" s="67" t="e">
        <f t="shared" ref="D27:P27" si="13">(D15*D14)/D20</f>
        <v>#DIV/0!</v>
      </c>
      <c r="E27" s="67" t="e">
        <f t="shared" si="13"/>
        <v>#DIV/0!</v>
      </c>
      <c r="F27" s="67" t="e">
        <f t="shared" si="13"/>
        <v>#DIV/0!</v>
      </c>
      <c r="G27" s="67" t="e">
        <f t="shared" si="13"/>
        <v>#DIV/0!</v>
      </c>
      <c r="H27" s="67" t="e">
        <f t="shared" si="13"/>
        <v>#DIV/0!</v>
      </c>
      <c r="I27" s="67" t="e">
        <f t="shared" si="13"/>
        <v>#DIV/0!</v>
      </c>
      <c r="J27" s="67" t="e">
        <f t="shared" si="13"/>
        <v>#DIV/0!</v>
      </c>
      <c r="K27" s="67" t="e">
        <f t="shared" si="13"/>
        <v>#DIV/0!</v>
      </c>
      <c r="L27" s="67" t="e">
        <f t="shared" si="13"/>
        <v>#DIV/0!</v>
      </c>
      <c r="M27" s="67" t="e">
        <f t="shared" si="13"/>
        <v>#DIV/0!</v>
      </c>
      <c r="N27" s="67" t="e">
        <f t="shared" si="13"/>
        <v>#DIV/0!</v>
      </c>
      <c r="O27" s="67" t="e">
        <f t="shared" si="13"/>
        <v>#DIV/0!</v>
      </c>
      <c r="P27" s="67" t="e">
        <f t="shared" si="13"/>
        <v>#DIV/0!</v>
      </c>
    </row>
    <row r="28" spans="1:17" ht="16.2" x14ac:dyDescent="0.55000000000000004">
      <c r="A28" s="135" t="s">
        <v>256</v>
      </c>
      <c r="B28" s="117"/>
      <c r="C28" s="30"/>
      <c r="D28" s="30"/>
      <c r="E28" s="30"/>
      <c r="F28" s="30"/>
      <c r="G28" s="30"/>
      <c r="H28" s="30"/>
      <c r="I28" s="30"/>
      <c r="J28" s="30"/>
      <c r="K28" s="30"/>
      <c r="L28" s="30"/>
      <c r="M28" s="30"/>
      <c r="N28" s="30"/>
      <c r="O28" s="30"/>
      <c r="P28" s="30"/>
    </row>
    <row r="29" spans="1:17" ht="42.6" x14ac:dyDescent="0.55000000000000004">
      <c r="A29" s="124" t="s">
        <v>257</v>
      </c>
      <c r="B29" s="111" t="s">
        <v>275</v>
      </c>
      <c r="C29" s="35">
        <f>'Other Inputs '!L5</f>
        <v>0.10605024871041802</v>
      </c>
      <c r="D29" s="30"/>
      <c r="E29" s="30"/>
      <c r="F29" s="30"/>
      <c r="G29" s="30"/>
      <c r="H29" s="30"/>
      <c r="I29" s="30"/>
      <c r="J29" s="30"/>
      <c r="K29" s="30"/>
      <c r="L29" s="30"/>
      <c r="M29" s="30"/>
      <c r="N29" s="30"/>
      <c r="O29" s="30"/>
      <c r="P29" s="30"/>
    </row>
    <row r="30" spans="1:17" ht="28.5" x14ac:dyDescent="0.55000000000000004">
      <c r="A30" s="131" t="s">
        <v>284</v>
      </c>
      <c r="B30" s="130" t="s">
        <v>293</v>
      </c>
      <c r="C30" s="40">
        <f>C26*'Prevalence Inputs '!$H52</f>
        <v>0</v>
      </c>
      <c r="D30" s="40" t="e">
        <f>D26*'Prevalence Inputs '!$H53</f>
        <v>#VALUE!</v>
      </c>
      <c r="E30" s="40" t="e">
        <f>E26*'Prevalence Inputs '!$H54</f>
        <v>#VALUE!</v>
      </c>
      <c r="F30" s="40" t="e">
        <f>F26*'Prevalence Inputs '!$H55</f>
        <v>#VALUE!</v>
      </c>
      <c r="G30" s="40">
        <f>G26*'Prevalence Inputs '!$H56</f>
        <v>0</v>
      </c>
      <c r="H30" s="40" t="e">
        <f>H26*'Prevalence Inputs '!$H57</f>
        <v>#VALUE!</v>
      </c>
      <c r="I30" s="40" t="e">
        <f>I26*'Prevalence Inputs '!$H58</f>
        <v>#VALUE!</v>
      </c>
      <c r="J30" s="40">
        <f>J26*'Prevalence Inputs '!$H59</f>
        <v>0</v>
      </c>
      <c r="K30" s="40" t="e">
        <f>K26*'Prevalence Inputs '!$H60</f>
        <v>#VALUE!</v>
      </c>
      <c r="L30" s="40" t="e">
        <f>L26*'Prevalence Inputs '!$H61</f>
        <v>#VALUE!</v>
      </c>
      <c r="M30" s="40" t="e">
        <f>M26*'Prevalence Inputs '!$H62</f>
        <v>#VALUE!</v>
      </c>
      <c r="N30" s="40">
        <f>N26*'Prevalence Inputs '!$H63</f>
        <v>0</v>
      </c>
      <c r="O30" s="40">
        <f>O26*'Prevalence Inputs '!$H64</f>
        <v>0</v>
      </c>
      <c r="P30" s="40">
        <f>P26*'Prevalence Inputs '!$H65</f>
        <v>0</v>
      </c>
    </row>
    <row r="31" spans="1:17" ht="28.5" x14ac:dyDescent="0.55000000000000004">
      <c r="A31" s="131" t="s">
        <v>285</v>
      </c>
      <c r="B31" s="130" t="s">
        <v>294</v>
      </c>
      <c r="C31" s="39">
        <f>C30*(1-C29)</f>
        <v>0</v>
      </c>
      <c r="D31" s="129" t="e">
        <f t="shared" ref="D31:P31" si="14">D30*(1-D29)</f>
        <v>#VALUE!</v>
      </c>
      <c r="E31" s="129" t="e">
        <f t="shared" si="14"/>
        <v>#VALUE!</v>
      </c>
      <c r="F31" s="129" t="e">
        <f t="shared" si="14"/>
        <v>#VALUE!</v>
      </c>
      <c r="G31" s="129">
        <f t="shared" si="14"/>
        <v>0</v>
      </c>
      <c r="H31" s="129" t="e">
        <f t="shared" si="14"/>
        <v>#VALUE!</v>
      </c>
      <c r="I31" s="129" t="e">
        <f t="shared" si="14"/>
        <v>#VALUE!</v>
      </c>
      <c r="J31" s="129">
        <f t="shared" si="14"/>
        <v>0</v>
      </c>
      <c r="K31" s="129" t="e">
        <f t="shared" si="14"/>
        <v>#VALUE!</v>
      </c>
      <c r="L31" s="129" t="e">
        <f t="shared" si="14"/>
        <v>#VALUE!</v>
      </c>
      <c r="M31" s="129" t="e">
        <f t="shared" si="14"/>
        <v>#VALUE!</v>
      </c>
      <c r="N31" s="129">
        <f t="shared" si="14"/>
        <v>0</v>
      </c>
      <c r="O31" s="129">
        <f t="shared" si="14"/>
        <v>0</v>
      </c>
      <c r="P31" s="129">
        <f t="shared" si="14"/>
        <v>0</v>
      </c>
    </row>
    <row r="32" spans="1:17" ht="28.5" x14ac:dyDescent="0.55000000000000004">
      <c r="A32" s="131" t="s">
        <v>286</v>
      </c>
      <c r="B32" s="130" t="s">
        <v>295</v>
      </c>
      <c r="C32" s="40">
        <f>C30-C31</f>
        <v>0</v>
      </c>
      <c r="D32" s="40" t="e">
        <f t="shared" ref="D32:P32" si="15">D30-D31</f>
        <v>#VALUE!</v>
      </c>
      <c r="E32" s="40" t="e">
        <f t="shared" si="15"/>
        <v>#VALUE!</v>
      </c>
      <c r="F32" s="40" t="e">
        <f t="shared" si="15"/>
        <v>#VALUE!</v>
      </c>
      <c r="G32" s="40">
        <f t="shared" si="15"/>
        <v>0</v>
      </c>
      <c r="H32" s="40" t="e">
        <f t="shared" si="15"/>
        <v>#VALUE!</v>
      </c>
      <c r="I32" s="40" t="e">
        <f t="shared" si="15"/>
        <v>#VALUE!</v>
      </c>
      <c r="J32" s="40">
        <f t="shared" si="15"/>
        <v>0</v>
      </c>
      <c r="K32" s="40" t="e">
        <f t="shared" si="15"/>
        <v>#VALUE!</v>
      </c>
      <c r="L32" s="40" t="e">
        <f t="shared" si="15"/>
        <v>#VALUE!</v>
      </c>
      <c r="M32" s="40" t="e">
        <f t="shared" si="15"/>
        <v>#VALUE!</v>
      </c>
      <c r="N32" s="40">
        <f t="shared" si="15"/>
        <v>0</v>
      </c>
      <c r="O32" s="40">
        <f t="shared" si="15"/>
        <v>0</v>
      </c>
      <c r="P32" s="40">
        <f t="shared" si="15"/>
        <v>0</v>
      </c>
      <c r="Q32" s="40"/>
    </row>
    <row r="33" spans="1:17" ht="28.5" x14ac:dyDescent="0.55000000000000004">
      <c r="A33" s="132" t="s">
        <v>287</v>
      </c>
      <c r="B33" s="130" t="s">
        <v>296</v>
      </c>
      <c r="C33" s="40">
        <f>C26*'Prevalence Inputs '!$H55</f>
        <v>0</v>
      </c>
      <c r="D33" s="40">
        <f>D29*'Prevalence Inputs '!$H56</f>
        <v>0</v>
      </c>
      <c r="E33" s="40">
        <f>E29*'Prevalence Inputs '!$H57</f>
        <v>0</v>
      </c>
      <c r="F33" s="40">
        <f>F29*'Prevalence Inputs '!$H58</f>
        <v>0</v>
      </c>
      <c r="G33" s="40">
        <f>G29*'Prevalence Inputs '!$H59</f>
        <v>0</v>
      </c>
      <c r="H33" s="40">
        <f>H29*'Prevalence Inputs '!$H60</f>
        <v>0</v>
      </c>
      <c r="I33" s="40">
        <f>I29*'Prevalence Inputs '!$H61</f>
        <v>0</v>
      </c>
      <c r="J33" s="40">
        <f>J29*'Prevalence Inputs '!$H62</f>
        <v>0</v>
      </c>
      <c r="K33" s="40">
        <f>K29*'Prevalence Inputs '!$H63</f>
        <v>0</v>
      </c>
      <c r="L33" s="40">
        <f>L29*'Prevalence Inputs '!$H64</f>
        <v>0</v>
      </c>
      <c r="M33" s="40">
        <f>M29*'Prevalence Inputs '!$H65</f>
        <v>0</v>
      </c>
      <c r="N33" s="40">
        <f>N29*'Prevalence Inputs '!$H66</f>
        <v>0</v>
      </c>
      <c r="O33" s="40">
        <f>O29*'Prevalence Inputs '!$H67</f>
        <v>0</v>
      </c>
      <c r="P33" s="40">
        <f>P29*'Prevalence Inputs '!$H68</f>
        <v>0</v>
      </c>
    </row>
    <row r="34" spans="1:17" ht="28.5" x14ac:dyDescent="0.55000000000000004">
      <c r="A34" s="132" t="s">
        <v>288</v>
      </c>
      <c r="B34" s="130" t="s">
        <v>297</v>
      </c>
      <c r="C34" s="39">
        <f>C33*(1-C29)</f>
        <v>0</v>
      </c>
      <c r="D34" s="129" t="e">
        <f t="shared" ref="D34:P34" si="16">D33*(1-D32)</f>
        <v>#VALUE!</v>
      </c>
      <c r="E34" s="129" t="e">
        <f t="shared" si="16"/>
        <v>#VALUE!</v>
      </c>
      <c r="F34" s="129" t="e">
        <f t="shared" si="16"/>
        <v>#VALUE!</v>
      </c>
      <c r="G34" s="129">
        <f t="shared" si="16"/>
        <v>0</v>
      </c>
      <c r="H34" s="129" t="e">
        <f t="shared" si="16"/>
        <v>#VALUE!</v>
      </c>
      <c r="I34" s="129" t="e">
        <f t="shared" si="16"/>
        <v>#VALUE!</v>
      </c>
      <c r="J34" s="129">
        <f t="shared" si="16"/>
        <v>0</v>
      </c>
      <c r="K34" s="129" t="e">
        <f t="shared" si="16"/>
        <v>#VALUE!</v>
      </c>
      <c r="L34" s="129" t="e">
        <f t="shared" si="16"/>
        <v>#VALUE!</v>
      </c>
      <c r="M34" s="129" t="e">
        <f t="shared" si="16"/>
        <v>#VALUE!</v>
      </c>
      <c r="N34" s="129">
        <f t="shared" si="16"/>
        <v>0</v>
      </c>
      <c r="O34" s="129">
        <f t="shared" si="16"/>
        <v>0</v>
      </c>
      <c r="P34" s="129">
        <f t="shared" si="16"/>
        <v>0</v>
      </c>
    </row>
    <row r="35" spans="1:17" ht="28.5" x14ac:dyDescent="0.55000000000000004">
      <c r="A35" s="132" t="s">
        <v>289</v>
      </c>
      <c r="B35" s="130" t="s">
        <v>298</v>
      </c>
      <c r="C35" s="40">
        <f>C33-C34</f>
        <v>0</v>
      </c>
      <c r="D35" s="40" t="e">
        <f t="shared" ref="D35:P35" si="17">D33-D34</f>
        <v>#VALUE!</v>
      </c>
      <c r="E35" s="40" t="e">
        <f t="shared" si="17"/>
        <v>#VALUE!</v>
      </c>
      <c r="F35" s="40" t="e">
        <f t="shared" si="17"/>
        <v>#VALUE!</v>
      </c>
      <c r="G35" s="40">
        <f t="shared" si="17"/>
        <v>0</v>
      </c>
      <c r="H35" s="40" t="e">
        <f t="shared" si="17"/>
        <v>#VALUE!</v>
      </c>
      <c r="I35" s="40" t="e">
        <f t="shared" si="17"/>
        <v>#VALUE!</v>
      </c>
      <c r="J35" s="40">
        <f t="shared" si="17"/>
        <v>0</v>
      </c>
      <c r="K35" s="40" t="e">
        <f t="shared" si="17"/>
        <v>#VALUE!</v>
      </c>
      <c r="L35" s="40" t="e">
        <f t="shared" si="17"/>
        <v>#VALUE!</v>
      </c>
      <c r="M35" s="40" t="e">
        <f t="shared" si="17"/>
        <v>#VALUE!</v>
      </c>
      <c r="N35" s="40">
        <f t="shared" si="17"/>
        <v>0</v>
      </c>
      <c r="O35" s="40">
        <f t="shared" si="17"/>
        <v>0</v>
      </c>
      <c r="P35" s="40">
        <f t="shared" si="17"/>
        <v>0</v>
      </c>
      <c r="Q35" s="40"/>
    </row>
    <row r="36" spans="1:17" ht="28.5" x14ac:dyDescent="0.55000000000000004">
      <c r="A36" s="133" t="s">
        <v>290</v>
      </c>
      <c r="B36" s="130" t="s">
        <v>299</v>
      </c>
      <c r="C36" s="40">
        <f>C26*'Prevalence Inputs '!$H58</f>
        <v>0</v>
      </c>
      <c r="D36" s="40" t="e">
        <f>D32*'Prevalence Inputs '!$H59</f>
        <v>#VALUE!</v>
      </c>
      <c r="E36" s="40" t="e">
        <f>E32*'Prevalence Inputs '!$H60</f>
        <v>#VALUE!</v>
      </c>
      <c r="F36" s="40" t="e">
        <f>F32*'Prevalence Inputs '!$H61</f>
        <v>#VALUE!</v>
      </c>
      <c r="G36" s="40">
        <f>G32*'Prevalence Inputs '!$H62</f>
        <v>0</v>
      </c>
      <c r="H36" s="40" t="e">
        <f>H32*'Prevalence Inputs '!$H63</f>
        <v>#VALUE!</v>
      </c>
      <c r="I36" s="40" t="e">
        <f>I32*'Prevalence Inputs '!$H64</f>
        <v>#VALUE!</v>
      </c>
      <c r="J36" s="40">
        <f>J32*'Prevalence Inputs '!$H65</f>
        <v>0</v>
      </c>
      <c r="K36" s="40" t="e">
        <f>K32*'Prevalence Inputs '!$H66</f>
        <v>#VALUE!</v>
      </c>
      <c r="L36" s="40" t="e">
        <f>L32*'Prevalence Inputs '!$H67</f>
        <v>#VALUE!</v>
      </c>
      <c r="M36" s="40" t="e">
        <f>M32*'Prevalence Inputs '!$H68</f>
        <v>#VALUE!</v>
      </c>
      <c r="N36" s="40" t="e">
        <f>N32*'Prevalence Inputs '!$H69</f>
        <v>#VALUE!</v>
      </c>
      <c r="O36" s="40" t="e">
        <f>O32*'Prevalence Inputs '!$H70</f>
        <v>#VALUE!</v>
      </c>
      <c r="P36" s="40">
        <f>P32*'Prevalence Inputs '!$H71</f>
        <v>0</v>
      </c>
    </row>
    <row r="37" spans="1:17" ht="28.5" x14ac:dyDescent="0.55000000000000004">
      <c r="A37" s="133" t="s">
        <v>291</v>
      </c>
      <c r="B37" s="130" t="s">
        <v>300</v>
      </c>
      <c r="C37" s="39">
        <f>C36*(1-C29)</f>
        <v>0</v>
      </c>
      <c r="D37" s="129" t="e">
        <f t="shared" ref="D37:P37" si="18">D36*(1-D35)</f>
        <v>#VALUE!</v>
      </c>
      <c r="E37" s="129" t="e">
        <f t="shared" si="18"/>
        <v>#VALUE!</v>
      </c>
      <c r="F37" s="129" t="e">
        <f t="shared" si="18"/>
        <v>#VALUE!</v>
      </c>
      <c r="G37" s="129">
        <f t="shared" si="18"/>
        <v>0</v>
      </c>
      <c r="H37" s="129" t="e">
        <f t="shared" si="18"/>
        <v>#VALUE!</v>
      </c>
      <c r="I37" s="129" t="e">
        <f t="shared" si="18"/>
        <v>#VALUE!</v>
      </c>
      <c r="J37" s="129">
        <f t="shared" si="18"/>
        <v>0</v>
      </c>
      <c r="K37" s="129" t="e">
        <f t="shared" si="18"/>
        <v>#VALUE!</v>
      </c>
      <c r="L37" s="129" t="e">
        <f t="shared" si="18"/>
        <v>#VALUE!</v>
      </c>
      <c r="M37" s="129" t="e">
        <f t="shared" si="18"/>
        <v>#VALUE!</v>
      </c>
      <c r="N37" s="129" t="e">
        <f t="shared" si="18"/>
        <v>#VALUE!</v>
      </c>
      <c r="O37" s="129" t="e">
        <f t="shared" si="18"/>
        <v>#VALUE!</v>
      </c>
      <c r="P37" s="129">
        <f t="shared" si="18"/>
        <v>0</v>
      </c>
    </row>
    <row r="38" spans="1:17" ht="28.5" x14ac:dyDescent="0.55000000000000004">
      <c r="A38" s="133" t="s">
        <v>292</v>
      </c>
      <c r="B38" s="130" t="s">
        <v>301</v>
      </c>
      <c r="C38" s="40">
        <f>C36-C37</f>
        <v>0</v>
      </c>
      <c r="D38" s="40" t="e">
        <f t="shared" ref="D38:P38" si="19">D36-D37</f>
        <v>#VALUE!</v>
      </c>
      <c r="E38" s="40" t="e">
        <f t="shared" si="19"/>
        <v>#VALUE!</v>
      </c>
      <c r="F38" s="40" t="e">
        <f t="shared" si="19"/>
        <v>#VALUE!</v>
      </c>
      <c r="G38" s="40">
        <f t="shared" si="19"/>
        <v>0</v>
      </c>
      <c r="H38" s="40" t="e">
        <f t="shared" si="19"/>
        <v>#VALUE!</v>
      </c>
      <c r="I38" s="40" t="e">
        <f t="shared" si="19"/>
        <v>#VALUE!</v>
      </c>
      <c r="J38" s="40">
        <f t="shared" si="19"/>
        <v>0</v>
      </c>
      <c r="K38" s="40" t="e">
        <f t="shared" si="19"/>
        <v>#VALUE!</v>
      </c>
      <c r="L38" s="40" t="e">
        <f t="shared" si="19"/>
        <v>#VALUE!</v>
      </c>
      <c r="M38" s="40" t="e">
        <f t="shared" si="19"/>
        <v>#VALUE!</v>
      </c>
      <c r="N38" s="40" t="e">
        <f t="shared" si="19"/>
        <v>#VALUE!</v>
      </c>
      <c r="O38" s="40" t="e">
        <f t="shared" si="19"/>
        <v>#VALUE!</v>
      </c>
      <c r="P38" s="40">
        <f t="shared" si="19"/>
        <v>0</v>
      </c>
      <c r="Q38" s="40"/>
    </row>
    <row r="39" spans="1:17" ht="25.8" x14ac:dyDescent="0.55000000000000004">
      <c r="A39" s="124" t="s">
        <v>253</v>
      </c>
      <c r="B39" s="130" t="s">
        <v>271</v>
      </c>
      <c r="C39" s="134" t="e">
        <f>(C27*C26)/(C32+C35+C38)</f>
        <v>#DIV/0!</v>
      </c>
      <c r="D39" s="67" t="e">
        <f t="shared" ref="D39:P39" si="20">(D27*D26)/D32</f>
        <v>#DIV/0!</v>
      </c>
      <c r="E39" s="67" t="e">
        <f t="shared" si="20"/>
        <v>#DIV/0!</v>
      </c>
      <c r="F39" s="67" t="e">
        <f t="shared" si="20"/>
        <v>#DIV/0!</v>
      </c>
      <c r="G39" s="67" t="e">
        <f t="shared" si="20"/>
        <v>#DIV/0!</v>
      </c>
      <c r="H39" s="67" t="e">
        <f t="shared" si="20"/>
        <v>#DIV/0!</v>
      </c>
      <c r="I39" s="67" t="e">
        <f t="shared" si="20"/>
        <v>#DIV/0!</v>
      </c>
      <c r="J39" s="67" t="e">
        <f t="shared" si="20"/>
        <v>#DIV/0!</v>
      </c>
      <c r="K39" s="67" t="e">
        <f t="shared" si="20"/>
        <v>#DIV/0!</v>
      </c>
      <c r="L39" s="67" t="e">
        <f t="shared" si="20"/>
        <v>#DIV/0!</v>
      </c>
      <c r="M39" s="67" t="e">
        <f t="shared" si="20"/>
        <v>#DIV/0!</v>
      </c>
      <c r="N39" s="67" t="e">
        <f t="shared" si="20"/>
        <v>#DIV/0!</v>
      </c>
      <c r="O39" s="67" t="e">
        <f t="shared" si="20"/>
        <v>#DIV/0!</v>
      </c>
      <c r="P39" s="67" t="e">
        <f t="shared" si="20"/>
        <v>#DIV/0!</v>
      </c>
    </row>
    <row r="40" spans="1:17" x14ac:dyDescent="0.55000000000000004">
      <c r="A40" s="124"/>
      <c r="B40" s="111"/>
      <c r="C40" s="35"/>
      <c r="D40" s="30"/>
      <c r="E40" s="30"/>
      <c r="F40" s="30"/>
      <c r="G40" s="30"/>
      <c r="H40" s="30"/>
      <c r="I40" s="30"/>
      <c r="J40" s="30"/>
      <c r="K40" s="30"/>
      <c r="L40" s="30"/>
      <c r="M40" s="30"/>
      <c r="N40" s="30"/>
      <c r="O40" s="30"/>
      <c r="P40" s="30"/>
    </row>
    <row r="41" spans="1:17" x14ac:dyDescent="0.55000000000000004">
      <c r="B41" s="117"/>
      <c r="C41" s="30"/>
      <c r="D41" s="30"/>
      <c r="E41" s="30"/>
      <c r="F41" s="30"/>
      <c r="G41" s="30"/>
      <c r="H41" s="30"/>
      <c r="I41" s="30"/>
      <c r="J41" s="30"/>
      <c r="K41" s="30"/>
      <c r="L41" s="30"/>
      <c r="M41" s="30"/>
      <c r="N41" s="30"/>
      <c r="O41" s="30"/>
      <c r="P41"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Results</vt:lpstr>
      <vt:lpstr>Inputs </vt:lpstr>
      <vt:lpstr>Kenya Prevalence Data</vt:lpstr>
      <vt:lpstr>Prevalence Inputs </vt:lpstr>
      <vt:lpstr>School Attendance</vt:lpstr>
      <vt:lpstr>Other Inputs </vt:lpstr>
      <vt:lpstr>Education Outcomes</vt:lpstr>
      <vt:lpstr>Health Outcomes</vt:lpstr>
      <vt:lpstr>Income Outcomes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c:creator>
  <cp:lastModifiedBy>Grace</cp:lastModifiedBy>
  <dcterms:created xsi:type="dcterms:W3CDTF">2017-09-21T17:50:20Z</dcterms:created>
  <dcterms:modified xsi:type="dcterms:W3CDTF">2019-05-01T13:43:54Z</dcterms:modified>
</cp:coreProperties>
</file>