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2000" windowHeight="5280" activeTab="2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Darstellungsformen" sheetId="11" r:id="rId6"/>
    <sheet name="Usergroups" sheetId="6" r:id="rId7"/>
    <sheet name="Stichprobenbeschreibung" sheetId="7" r:id="rId8"/>
    <sheet name="Effektivität" sheetId="8" r:id="rId9"/>
    <sheet name="Effizienz" sheetId="9" r:id="rId10"/>
    <sheet name="Zufriedenheit" sheetId="10" r:id="rId11"/>
  </sheets>
  <definedNames>
    <definedName name="_xlnm._FilterDatabase" localSheetId="8" hidden="1">Effektivität!$A$1:$K$12</definedName>
    <definedName name="_xlnm._FilterDatabase" localSheetId="0" hidden="1">'Formularantworten 1'!$A$1:$AF$12</definedName>
    <definedName name="_xlnm._FilterDatabase" localSheetId="3" hidden="1">Milestones!$A$2:$AA$13</definedName>
    <definedName name="_xlnm._FilterDatabase" localSheetId="2" hidden="1">Timeline!$A$1:$Q$177</definedName>
    <definedName name="_xlnm._FilterDatabase" localSheetId="4" hidden="1">Trips!$A$1:$H$34</definedName>
    <definedName name="_xlnm._FilterDatabase" localSheetId="10" hidden="1">Zufriedenheit!$A$1:$I$12</definedName>
  </definedNames>
  <calcPr calcId="171027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1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I41" i="11" l="1"/>
  <c r="I42" i="11"/>
  <c r="I43" i="11"/>
  <c r="I44" i="11"/>
  <c r="I45" i="11"/>
  <c r="I46" i="11"/>
  <c r="I47" i="11"/>
  <c r="I48" i="11"/>
  <c r="H41" i="11"/>
  <c r="H42" i="11"/>
  <c r="H43" i="11"/>
  <c r="H44" i="11"/>
  <c r="H45" i="11"/>
  <c r="H46" i="11"/>
  <c r="H47" i="11"/>
  <c r="H48" i="11"/>
  <c r="I40" i="11"/>
  <c r="H40" i="11"/>
  <c r="O5" i="11" l="1"/>
  <c r="O4" i="11"/>
  <c r="O3" i="11"/>
  <c r="N5" i="11"/>
  <c r="N4" i="11"/>
  <c r="N3" i="11"/>
  <c r="I25" i="11"/>
  <c r="I26" i="11"/>
  <c r="I27" i="11"/>
  <c r="I28" i="11"/>
  <c r="I29" i="11"/>
  <c r="I30" i="11"/>
  <c r="I31" i="11"/>
  <c r="I32" i="11"/>
  <c r="I24" i="11"/>
  <c r="H25" i="11"/>
  <c r="H26" i="11"/>
  <c r="H27" i="11"/>
  <c r="H28" i="11"/>
  <c r="H29" i="11"/>
  <c r="H30" i="11"/>
  <c r="H31" i="11"/>
  <c r="H32" i="11"/>
  <c r="H24" i="11"/>
  <c r="B19" i="11"/>
  <c r="B18" i="11"/>
  <c r="B17" i="1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2" i="3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C4" i="5"/>
  <c r="C5" i="5"/>
  <c r="C6" i="5"/>
  <c r="C7" i="5"/>
  <c r="C2" i="5"/>
  <c r="C4" i="4"/>
  <c r="C5" i="4"/>
  <c r="C6" i="4"/>
  <c r="C7" i="4"/>
  <c r="C8" i="4"/>
  <c r="C9" i="4"/>
  <c r="C10" i="4"/>
  <c r="C11" i="4"/>
  <c r="C12" i="4"/>
  <c r="C13" i="4"/>
  <c r="C3" i="4"/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F2" i="5"/>
  <c r="D3" i="4" s="1"/>
  <c r="F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G2" i="5"/>
  <c r="H2" i="5" s="1"/>
  <c r="E12" i="3"/>
  <c r="E8" i="3"/>
  <c r="G9" i="5" l="1"/>
  <c r="F3" i="5"/>
  <c r="H3" i="4" s="1"/>
  <c r="G25" i="5"/>
  <c r="F10" i="5"/>
  <c r="O5" i="4" s="1"/>
  <c r="G20" i="5"/>
  <c r="F26" i="5"/>
  <c r="D11" i="4" s="1"/>
  <c r="F11" i="4" s="1"/>
  <c r="G14" i="5"/>
  <c r="G30" i="5"/>
  <c r="F14" i="5"/>
  <c r="D7" i="4" s="1"/>
  <c r="F7" i="4" s="1"/>
  <c r="G4" i="5"/>
  <c r="G34" i="5"/>
  <c r="F19" i="5"/>
  <c r="O8" i="4" s="1"/>
  <c r="F21" i="5"/>
  <c r="H9" i="4" s="1"/>
  <c r="F12" i="5"/>
  <c r="H6" i="4" s="1"/>
  <c r="F31" i="5"/>
  <c r="O12" i="4" s="1"/>
  <c r="G7" i="5"/>
  <c r="F8" i="5"/>
  <c r="D5" i="4" s="1"/>
  <c r="F5" i="4" s="1"/>
  <c r="F25" i="5"/>
  <c r="O10" i="4" s="1"/>
  <c r="G13" i="5"/>
  <c r="F5" i="5"/>
  <c r="D4" i="4" s="1"/>
  <c r="F4" i="4" s="1"/>
  <c r="G6" i="5"/>
  <c r="G22" i="5"/>
  <c r="F7" i="5"/>
  <c r="O4" i="4" s="1"/>
  <c r="F23" i="5"/>
  <c r="D10" i="4" s="1"/>
  <c r="F10" i="4" s="1"/>
  <c r="G16" i="5"/>
  <c r="F33" i="5"/>
  <c r="H13" i="4" s="1"/>
  <c r="G15" i="5"/>
  <c r="G31" i="5"/>
  <c r="F16" i="5"/>
  <c r="O7" i="4" s="1"/>
  <c r="F32" i="5"/>
  <c r="D13" i="4" s="1"/>
  <c r="F13" i="4" s="1"/>
  <c r="G24" i="5"/>
  <c r="G5" i="5"/>
  <c r="F29" i="5"/>
  <c r="D12" i="4" s="1"/>
  <c r="F12" i="4" s="1"/>
  <c r="F15" i="5"/>
  <c r="H7" i="4" s="1"/>
  <c r="F9" i="5"/>
  <c r="H5" i="4" s="1"/>
  <c r="G23" i="5"/>
  <c r="F24" i="5"/>
  <c r="H10" i="4" s="1"/>
  <c r="G29" i="5"/>
  <c r="F30" i="5"/>
  <c r="H12" i="4" s="1"/>
  <c r="G32" i="5"/>
  <c r="G18" i="5"/>
  <c r="G11" i="5"/>
  <c r="G27" i="5"/>
  <c r="F28" i="5"/>
  <c r="O11" i="4" s="1"/>
  <c r="G17" i="5"/>
  <c r="G33" i="5"/>
  <c r="F18" i="5"/>
  <c r="H8" i="4" s="1"/>
  <c r="F34" i="5"/>
  <c r="O13" i="4" s="1"/>
  <c r="G8" i="5"/>
  <c r="G21" i="5"/>
  <c r="F6" i="5"/>
  <c r="H4" i="4" s="1"/>
  <c r="F22" i="5"/>
  <c r="O9" i="4" s="1"/>
  <c r="G12" i="5"/>
  <c r="F17" i="5"/>
  <c r="D8" i="4" s="1"/>
  <c r="F8" i="4" s="1"/>
  <c r="G10" i="5"/>
  <c r="G26" i="5"/>
  <c r="F11" i="5"/>
  <c r="D6" i="4" s="1"/>
  <c r="F6" i="4" s="1"/>
  <c r="F27" i="5"/>
  <c r="H11" i="4" s="1"/>
  <c r="G28" i="5"/>
  <c r="G3" i="5"/>
  <c r="G19" i="5"/>
  <c r="F4" i="5"/>
  <c r="O3" i="4" s="1"/>
  <c r="F20" i="5"/>
  <c r="D9" i="4" s="1"/>
  <c r="F9" i="4" s="1"/>
  <c r="F13" i="5"/>
  <c r="O6" i="4" s="1"/>
  <c r="H31" i="5" l="1"/>
  <c r="M9" i="4"/>
  <c r="J9" i="4"/>
  <c r="J11" i="4"/>
  <c r="M11" i="4"/>
  <c r="M5" i="4"/>
  <c r="J5" i="4"/>
  <c r="J6" i="4"/>
  <c r="M6" i="4"/>
  <c r="Z5" i="4"/>
  <c r="W5" i="4"/>
  <c r="Q5" i="4"/>
  <c r="T5" i="4"/>
  <c r="H12" i="5"/>
  <c r="J7" i="4"/>
  <c r="M7" i="4"/>
  <c r="Z10" i="4"/>
  <c r="W10" i="4"/>
  <c r="Q10" i="4"/>
  <c r="T10" i="4"/>
  <c r="Z9" i="4"/>
  <c r="W9" i="4"/>
  <c r="Q9" i="4"/>
  <c r="T9" i="4"/>
  <c r="Z13" i="4"/>
  <c r="W13" i="4"/>
  <c r="Q13" i="4"/>
  <c r="T13" i="4"/>
  <c r="T11" i="4"/>
  <c r="Z11" i="4"/>
  <c r="W11" i="4"/>
  <c r="Q11" i="4"/>
  <c r="J10" i="4"/>
  <c r="M10" i="4"/>
  <c r="M13" i="4"/>
  <c r="J13" i="4"/>
  <c r="Q8" i="4"/>
  <c r="T8" i="4"/>
  <c r="Z8" i="4"/>
  <c r="W8" i="4"/>
  <c r="Z3" i="4"/>
  <c r="W3" i="4"/>
  <c r="Q3" i="4"/>
  <c r="T3" i="4"/>
  <c r="Q12" i="4"/>
  <c r="T12" i="4"/>
  <c r="Z12" i="4"/>
  <c r="W12" i="4"/>
  <c r="J3" i="4"/>
  <c r="M3" i="4"/>
  <c r="Q4" i="4"/>
  <c r="T4" i="4"/>
  <c r="Z4" i="4"/>
  <c r="W4" i="4"/>
  <c r="Z6" i="4"/>
  <c r="W6" i="4"/>
  <c r="Q6" i="4"/>
  <c r="T6" i="4"/>
  <c r="J4" i="4"/>
  <c r="M4" i="4"/>
  <c r="J8" i="4"/>
  <c r="M8" i="4"/>
  <c r="J12" i="4"/>
  <c r="M12" i="4"/>
  <c r="T7" i="4"/>
  <c r="Z7" i="4"/>
  <c r="W7" i="4"/>
  <c r="Q7" i="4"/>
  <c r="H28" i="5"/>
  <c r="H10" i="5"/>
  <c r="H25" i="5"/>
  <c r="H3" i="5"/>
  <c r="H11" i="5"/>
  <c r="B10" i="11" s="1"/>
  <c r="H29" i="5"/>
  <c r="H5" i="5"/>
  <c r="H7" i="5"/>
  <c r="H9" i="5"/>
  <c r="H14" i="5"/>
  <c r="H33" i="5"/>
  <c r="H8" i="5"/>
  <c r="H18" i="5"/>
  <c r="H21" i="5"/>
  <c r="H6" i="5"/>
  <c r="H26" i="5"/>
  <c r="H32" i="5"/>
  <c r="H34" i="5"/>
  <c r="H30" i="5"/>
  <c r="H24" i="5"/>
  <c r="H15" i="5"/>
  <c r="H13" i="5"/>
  <c r="H4" i="5"/>
  <c r="D10" i="11" s="1"/>
  <c r="H20" i="5"/>
  <c r="H16" i="5"/>
  <c r="H19" i="5"/>
  <c r="H17" i="5"/>
  <c r="H27" i="5"/>
  <c r="H23" i="5"/>
  <c r="H22" i="5"/>
  <c r="D7" i="11" l="1"/>
  <c r="C7" i="11"/>
  <c r="B4" i="11"/>
  <c r="C10" i="11"/>
  <c r="B8" i="11"/>
  <c r="B7" i="11"/>
  <c r="D4" i="11"/>
  <c r="C4" i="11"/>
  <c r="D5" i="11"/>
  <c r="C5" i="11"/>
  <c r="B9" i="11"/>
  <c r="B11" i="11"/>
  <c r="D9" i="11"/>
  <c r="D11" i="11"/>
  <c r="C6" i="11"/>
  <c r="C8" i="11"/>
  <c r="B5" i="11"/>
  <c r="D6" i="11"/>
  <c r="D8" i="11"/>
  <c r="C9" i="11"/>
  <c r="C11" i="11"/>
  <c r="B6" i="11"/>
  <c r="B3" i="11"/>
  <c r="D3" i="11"/>
  <c r="C3" i="11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<sst xmlns="http://schemas.openxmlformats.org/spreadsheetml/2006/main" count="1180" uniqueCount="227">
  <si>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</si>
  <si>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</si>
  <si>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</si>
  <si>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</si>
  <si>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</si>
  <si>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</si>
  <si>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</si>
  <si>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</si>
  <si>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</si>
  <si>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</si>
  <si>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</si>
  <si>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</si>
  <si>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</si>
  <si>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</si>
  <si>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</si>
  <si>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</si>
  <si>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</si>
  <si>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</si>
  <si>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</si>
  <si>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</si>
  <si>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</si>
  <si>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</si>
  <si>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</si>
  <si>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</si>
  <si>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</si>
  <si>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</si>
  <si>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</si>
  <si>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</si>
  <si>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</si>
  <si>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</si>
  <si>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</si>
  <si>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</si>
  <si>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</si>
  <si>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</si>
  <si>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</si>
  <si>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</si>
  <si>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</si>
  <si>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</si>
  <si>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</si>
  <si>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</si>
  <si>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</si>
  <si>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</si>
  <si>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</si>
  <si>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</si>
  <si>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</si>
  <si>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</si>
  <si>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</si>
  <si>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</si>
  <si>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</si>
  <si>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</si>
  <si>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</si>
  <si>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</si>
  <si>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</si>
  <si>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</si>
  <si>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</si>
  <si>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</si>
  <si>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</si>
  <si>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</si>
  <si>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</si>
  <si>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</si>
  <si>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</si>
  <si>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</si>
  <si>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</si>
  <si>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</si>
  <si>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</si>
  <si>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</si>
  <si>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</si>
  <si>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</si>
  <si>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</si>
  <si>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</si>
  <si>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</si>
  <si>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</si>
  <si>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</si>
  <si>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</si>
  <si>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</si>
  <si>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</si>
  <si>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</si>
  <si>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</si>
  <si>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</si>
  <si>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</si>
  <si>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</si>
  <si>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</si>
  <si>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</si>
  <si>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</si>
  <si>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</si>
  <si>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</si>
  <si>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</si>
  <si>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</si>
  <si>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</si>
  <si>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</si>
  <si>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</si>
  <si>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</si>
  <si>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</si>
  <si>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</si>
  <si>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</si>
  <si>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</si>
  <si>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</si>
  <si>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</si>
  <si>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</si>
  <si>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</si>
  <si>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</si>
  <si>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</si>
  <si>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</si>
  <si>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</si>
  <si>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</si>
  <si>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</si>
  <si>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</si>
  <si>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</si>
  <si>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</si>
  <si>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</si>
  <si>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</si>
  <si>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</si>
  <si>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</si>
  <si>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</si>
  <si>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</si>
  <si>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</si>
  <si>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</si>
  <si>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</si>
  <si>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</si>
  <si>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</si>
  <si>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</si>
  <si>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</si>
  <si>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</si>
  <si>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</si>
  <si>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</si>
  <si>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</si>
  <si>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</si>
  <si>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</si>
  <si>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</si>
  <si>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</si>
  <si>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</si>
  <si>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</si>
  <si>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</si>
  <si>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</si>
  <si>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</si>
  <si>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</si>
  <si>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</si>
  <si>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</si>
  <si>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</si>
  <si>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</si>
  <si>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</si>
  <si>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</si>
  <si>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</si>
  <si>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</si>
  <si>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</si>
  <si>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</si>
  <si>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</si>
  <si>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</si>
  <si>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</si>
  <si>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</si>
  <si>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</si>
  <si>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</si>
  <si>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</si>
  <si>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</si>
  <si>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</si>
  <si>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</si>
  <si>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</si>
  <si>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</si>
  <si>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</si>
  <si>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</si>
  <si>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</si>
  <si>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</si>
  <si>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</si>
  <si>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</si>
  <si>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</si>
  <si>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</si>
  <si>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</si>
  <si>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</si>
  <si>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</si>
  <si>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</si>
  <si>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</si>
  <si>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</si>
  <si>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</si>
  <si>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</si>
  <si>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</si>
  <si>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</si>
  <si>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</si>
  <si>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</si>
  <si>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</si>
  <si>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</si>
  <si>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</si>
  <si>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</si>
  <si>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</si>
  <si>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</si>
  <si>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Gruppe 1</t>
  </si>
  <si>
    <t>Gruppe 2</t>
  </si>
  <si>
    <t>Gruppe 3</t>
  </si>
  <si>
    <t>50% Grenze</t>
  </si>
  <si>
    <t>Gesamt</t>
  </si>
  <si>
    <t>Min. Punkte</t>
  </si>
  <si>
    <t>Max.Punkte</t>
  </si>
  <si>
    <t>Mittelwert P.</t>
  </si>
  <si>
    <t>Min. Grenze</t>
  </si>
  <si>
    <t>Max. Grenze</t>
  </si>
  <si>
    <t>group</t>
  </si>
  <si>
    <t>Trip 1</t>
  </si>
  <si>
    <t>Trip 2</t>
  </si>
  <si>
    <t>Trip 3</t>
  </si>
  <si>
    <t>Min. Gruppe 1</t>
  </si>
  <si>
    <t>Max. Gruppe 1</t>
  </si>
  <si>
    <t>Min. Gruppe 2</t>
  </si>
  <si>
    <t>Max. Gruppe 2</t>
  </si>
  <si>
    <t>Min. Gruppe 3</t>
  </si>
  <si>
    <t>Max. Gruppe 3</t>
  </si>
  <si>
    <t>Mittelwert G. 1</t>
  </si>
  <si>
    <t>Mittelwert G. 2</t>
  </si>
  <si>
    <t>Mittelwert G. 3</t>
  </si>
  <si>
    <t>Bearbeitungsdauer der Trips (Mittelwert)</t>
  </si>
  <si>
    <t>Gruppe</t>
  </si>
  <si>
    <t>Karte</t>
  </si>
  <si>
    <t>Liste</t>
  </si>
  <si>
    <t>Verwendung der verschiedenen Ansichten 
(Summe Gesamt)</t>
  </si>
  <si>
    <t>Anzahl</t>
  </si>
  <si>
    <t>Verwendung der verschiedenen Ansichten 
(Mittelwert Gruppe)</t>
  </si>
  <si>
    <t>Häufigkeit der Verwendung (Summe Gesamt)</t>
  </si>
  <si>
    <t>Häufigkeit der Verwendung (Mittelwert Gruppe)</t>
  </si>
  <si>
    <t>Meilenstein</t>
  </si>
  <si>
    <t>Dauer</t>
  </si>
  <si>
    <t>M1-1</t>
  </si>
  <si>
    <t>M2-1</t>
  </si>
  <si>
    <t>M2-2</t>
  </si>
  <si>
    <t>M3-1</t>
  </si>
  <si>
    <t>M3-2</t>
  </si>
  <si>
    <t>M3-3</t>
  </si>
  <si>
    <t>M3-4</t>
  </si>
  <si>
    <t>Karte (Gesamt)</t>
  </si>
  <si>
    <t>Liste (Gesamt)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</si>
</sst>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[$-F400]h:mm:ss\ AM/PM"/>
    <numFmt numFmtId="166" formatCode="hh:mm;@"/>
    <numFmt numFmtId="167" formatCode="h:mm:ss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166" fontId="5" fillId="2" borderId="0" xfId="0" applyNumberFormat="1" applyFont="1" applyFill="1" applyAlignment="1"/>
    <xf numFmtId="22" fontId="0" fillId="0" borderId="0" xfId="0" applyNumberFormat="1" applyFont="1" applyAlignment="1"/>
    <xf numFmtId="0" fontId="0" fillId="0" borderId="0" xfId="0" applyFont="1" applyAlignment="1"/>
    <xf numFmtId="21" fontId="0" fillId="0" borderId="0" xfId="0" applyNumberFormat="1" applyFont="1" applyAlignment="1"/>
    <xf numFmtId="167" fontId="6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" fontId="5" fillId="0" borderId="0" xfId="0" applyNumberFormat="1" applyFont="1" applyAlignment="1"/>
    <xf numFmtId="20" fontId="5" fillId="0" borderId="0" xfId="0" applyNumberFormat="1" applyFont="1" applyAlignment="1"/>
    <xf numFmtId="21" fontId="6" fillId="0" borderId="0" xfId="0" applyNumberFormat="1" applyFont="1" applyAlignment="1"/>
    <xf numFmtId="166" fontId="5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Meilensteine Gruppe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Milestones!$K$20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Milestones!$J$21:$J$27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Milestones!$K$21:$K$27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0.83333333333333337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B-4FE5-8436-6917A4909A58}"/>
            </c:ext>
          </c:extLst>
        </c:ser>
        <c:ser>
          <c:idx val="1"/>
          <c:order val="1"/>
          <c:tx>
            <c:strRef>
              <c:f>Milestones!$L$20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Milestones!$J$21:$J$27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Milestones!$L$21:$L$27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B-4FE5-8436-6917A4909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3529791"/>
        <c:axId val="1473524383"/>
      </c:barChart>
      <c:catAx>
        <c:axId val="14735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524383"/>
        <c:crosses val="autoZero"/>
        <c:auto val="1"/>
        <c:lblAlgn val="ctr"/>
        <c:lblOffset val="100"/>
        <c:noMultiLvlLbl val="0"/>
      </c:catAx>
      <c:valAx>
        <c:axId val="1473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5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baseline="0">
                <a:solidFill>
                  <a:schemeClr val="tx1"/>
                </a:solidFill>
                <a:effectLst/>
              </a:rPr>
              <a:t>Übersicht der Auswertung: Zufriedenheit (Fragebogen)</a:t>
            </a:r>
            <a:endParaRPr lang="de-AT" sz="13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solidFill>
                      <a:schemeClr val="tx1"/>
                    </a:solidFill>
                    <a:effectLst/>
                  </a:rPr>
                  <a:t>Summe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800">
                <a:solidFill>
                  <a:schemeClr val="tx1"/>
                </a:solidFill>
              </a:rPr>
              <a:t>Verwendete Ansichten - Meilensteine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Milestones!$D$20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Milestones!$A$21:$B$41</c:f>
              <c:multiLvlStrCache>
                <c:ptCount val="21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  <c:pt idx="9">
                    <c:v>Gruppe 1</c:v>
                  </c:pt>
                  <c:pt idx="10">
                    <c:v>Gruppe 2</c:v>
                  </c:pt>
                  <c:pt idx="11">
                    <c:v>Gruppe 3</c:v>
                  </c:pt>
                  <c:pt idx="12">
                    <c:v>Gruppe 1</c:v>
                  </c:pt>
                  <c:pt idx="13">
                    <c:v>Gruppe 2</c:v>
                  </c:pt>
                  <c:pt idx="14">
                    <c:v>Gruppe 3</c:v>
                  </c:pt>
                  <c:pt idx="15">
                    <c:v>Gruppe 1</c:v>
                  </c:pt>
                  <c:pt idx="16">
                    <c:v>Gruppe 2</c:v>
                  </c:pt>
                  <c:pt idx="17">
                    <c:v>Gruppe 3</c:v>
                  </c:pt>
                  <c:pt idx="18">
                    <c:v>Gruppe 1</c:v>
                  </c:pt>
                  <c:pt idx="19">
                    <c:v>Gruppe 2</c:v>
                  </c:pt>
                  <c:pt idx="20">
                    <c:v>Gruppe 3</c:v>
                  </c:pt>
                </c:lvl>
                <c:lvl>
                  <c:pt idx="0">
                    <c:v>M1-1</c:v>
                  </c:pt>
                  <c:pt idx="1">
                    <c:v>M1-1</c:v>
                  </c:pt>
                  <c:pt idx="2">
                    <c:v>M1-1</c:v>
                  </c:pt>
                  <c:pt idx="3">
                    <c:v>M2-1</c:v>
                  </c:pt>
                  <c:pt idx="4">
                    <c:v>M2-1</c:v>
                  </c:pt>
                  <c:pt idx="5">
                    <c:v>M2-1</c:v>
                  </c:pt>
                  <c:pt idx="6">
                    <c:v>M2-2</c:v>
                  </c:pt>
                  <c:pt idx="7">
                    <c:v>M2-2</c:v>
                  </c:pt>
                  <c:pt idx="8">
                    <c:v>M2-2</c:v>
                  </c:pt>
                  <c:pt idx="9">
                    <c:v>M3-1</c:v>
                  </c:pt>
                  <c:pt idx="10">
                    <c:v>M3-1</c:v>
                  </c:pt>
                  <c:pt idx="11">
                    <c:v>M3-1</c:v>
                  </c:pt>
                  <c:pt idx="12">
                    <c:v>M3-2</c:v>
                  </c:pt>
                  <c:pt idx="13">
                    <c:v>M3-2</c:v>
                  </c:pt>
                  <c:pt idx="14">
                    <c:v>M3-2</c:v>
                  </c:pt>
                  <c:pt idx="15">
                    <c:v>M3-3</c:v>
                  </c:pt>
                  <c:pt idx="16">
                    <c:v>M3-3</c:v>
                  </c:pt>
                  <c:pt idx="17">
                    <c:v>M3-3</c:v>
                  </c:pt>
                  <c:pt idx="18">
                    <c:v>M3-4</c:v>
                  </c:pt>
                  <c:pt idx="19">
                    <c:v>M3-4</c:v>
                  </c:pt>
                  <c:pt idx="20">
                    <c:v>M3-4</c:v>
                  </c:pt>
                </c:lvl>
              </c:multiLvlStrCache>
            </c:multiLvlStrRef>
          </c:cat>
          <c:val>
            <c:numRef>
              <c:f>Milestones!$D$21:$D$41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1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0.66666666666666663</c:v>
                </c:pt>
                <c:pt idx="17">
                  <c:v>1</c:v>
                </c:pt>
                <c:pt idx="18">
                  <c:v>1</c:v>
                </c:pt>
                <c:pt idx="19">
                  <c:v>0.66666666666666663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7-4F76-95A4-FC4D2C36F72B}"/>
            </c:ext>
          </c:extLst>
        </c:ser>
        <c:ser>
          <c:idx val="1"/>
          <c:order val="1"/>
          <c:tx>
            <c:strRef>
              <c:f>Milestones!$E$20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Milestones!$A$21:$B$41</c:f>
              <c:multiLvlStrCache>
                <c:ptCount val="21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  <c:pt idx="9">
                    <c:v>Gruppe 1</c:v>
                  </c:pt>
                  <c:pt idx="10">
                    <c:v>Gruppe 2</c:v>
                  </c:pt>
                  <c:pt idx="11">
                    <c:v>Gruppe 3</c:v>
                  </c:pt>
                  <c:pt idx="12">
                    <c:v>Gruppe 1</c:v>
                  </c:pt>
                  <c:pt idx="13">
                    <c:v>Gruppe 2</c:v>
                  </c:pt>
                  <c:pt idx="14">
                    <c:v>Gruppe 3</c:v>
                  </c:pt>
                  <c:pt idx="15">
                    <c:v>Gruppe 1</c:v>
                  </c:pt>
                  <c:pt idx="16">
                    <c:v>Gruppe 2</c:v>
                  </c:pt>
                  <c:pt idx="17">
                    <c:v>Gruppe 3</c:v>
                  </c:pt>
                  <c:pt idx="18">
                    <c:v>Gruppe 1</c:v>
                  </c:pt>
                  <c:pt idx="19">
                    <c:v>Gruppe 2</c:v>
                  </c:pt>
                  <c:pt idx="20">
                    <c:v>Gruppe 3</c:v>
                  </c:pt>
                </c:lvl>
                <c:lvl>
                  <c:pt idx="0">
                    <c:v>M1-1</c:v>
                  </c:pt>
                  <c:pt idx="1">
                    <c:v>M1-1</c:v>
                  </c:pt>
                  <c:pt idx="2">
                    <c:v>M1-1</c:v>
                  </c:pt>
                  <c:pt idx="3">
                    <c:v>M2-1</c:v>
                  </c:pt>
                  <c:pt idx="4">
                    <c:v>M2-1</c:v>
                  </c:pt>
                  <c:pt idx="5">
                    <c:v>M2-1</c:v>
                  </c:pt>
                  <c:pt idx="6">
                    <c:v>M2-2</c:v>
                  </c:pt>
                  <c:pt idx="7">
                    <c:v>M2-2</c:v>
                  </c:pt>
                  <c:pt idx="8">
                    <c:v>M2-2</c:v>
                  </c:pt>
                  <c:pt idx="9">
                    <c:v>M3-1</c:v>
                  </c:pt>
                  <c:pt idx="10">
                    <c:v>M3-1</c:v>
                  </c:pt>
                  <c:pt idx="11">
                    <c:v>M3-1</c:v>
                  </c:pt>
                  <c:pt idx="12">
                    <c:v>M3-2</c:v>
                  </c:pt>
                  <c:pt idx="13">
                    <c:v>M3-2</c:v>
                  </c:pt>
                  <c:pt idx="14">
                    <c:v>M3-2</c:v>
                  </c:pt>
                  <c:pt idx="15">
                    <c:v>M3-3</c:v>
                  </c:pt>
                  <c:pt idx="16">
                    <c:v>M3-3</c:v>
                  </c:pt>
                  <c:pt idx="17">
                    <c:v>M3-3</c:v>
                  </c:pt>
                  <c:pt idx="18">
                    <c:v>M3-4</c:v>
                  </c:pt>
                  <c:pt idx="19">
                    <c:v>M3-4</c:v>
                  </c:pt>
                  <c:pt idx="20">
                    <c:v>M3-4</c:v>
                  </c:pt>
                </c:lvl>
              </c:multiLvlStrCache>
            </c:multiLvlStrRef>
          </c:cat>
          <c:val>
            <c:numRef>
              <c:f>Milestones!$E$21:$E$41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</c:v>
                </c:pt>
                <c:pt idx="9">
                  <c:v>0.66666666666666663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0.33333333333333331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7-4F76-95A4-FC4D2C36F72B}"/>
            </c:ext>
          </c:extLst>
        </c:ser>
        <c:ser>
          <c:idx val="2"/>
          <c:order val="2"/>
          <c:tx>
            <c:strRef>
              <c:f>Milestones!$B$20</c:f>
              <c:strCache>
                <c:ptCount val="1"/>
                <c:pt idx="0">
                  <c:v>Gruppe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Milestones!$B$21:$B$41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7-4F76-95A4-FC4D2C36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4829295"/>
        <c:axId val="1674828047"/>
      </c:barChart>
      <c:catAx>
        <c:axId val="167482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28047"/>
        <c:crosses val="autoZero"/>
        <c:auto val="1"/>
        <c:lblAlgn val="ctr"/>
        <c:lblOffset val="100"/>
        <c:tickLblSkip val="1"/>
        <c:noMultiLvlLbl val="0"/>
      </c:catAx>
      <c:valAx>
        <c:axId val="1674828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400" b="1">
                    <a:solidFill>
                      <a:schemeClr val="tx1"/>
                    </a:solidFill>
                  </a:rPr>
                  <a:t>Prozentuelle Nutzung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Meilensteine Gruppe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Milestones!$K$31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Milestones!$J$32:$J$38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Milestones!$K$32:$K$38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F-47CE-91D0-3573081B5B72}"/>
            </c:ext>
          </c:extLst>
        </c:ser>
        <c:ser>
          <c:idx val="1"/>
          <c:order val="1"/>
          <c:tx>
            <c:strRef>
              <c:f>Milestones!$L$31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Milestones!$J$32:$J$38</c:f>
              <c:strCache>
                <c:ptCount val="7"/>
                <c:pt idx="0">
                  <c:v>M1-1</c:v>
                </c:pt>
                <c:pt idx="1">
                  <c:v>M2-1</c:v>
                </c:pt>
                <c:pt idx="2">
                  <c:v>M2-2</c:v>
                </c:pt>
                <c:pt idx="3">
                  <c:v>M3-1</c:v>
                </c:pt>
                <c:pt idx="4">
                  <c:v>M3-2</c:v>
                </c:pt>
                <c:pt idx="5">
                  <c:v>M3-3</c:v>
                </c:pt>
                <c:pt idx="6">
                  <c:v>M3-4</c:v>
                </c:pt>
              </c:strCache>
            </c:strRef>
          </c:cat>
          <c:val>
            <c:numRef>
              <c:f>Milestones!$L$32:$L$38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F-47CE-91D0-3573081B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818895"/>
        <c:axId val="1674834703"/>
      </c:barChart>
      <c:catAx>
        <c:axId val="16748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34703"/>
        <c:crosses val="autoZero"/>
        <c:auto val="1"/>
        <c:lblAlgn val="ctr"/>
        <c:lblOffset val="100"/>
        <c:noMultiLvlLbl val="0"/>
      </c:catAx>
      <c:valAx>
        <c:axId val="16748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48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Bearbeitungsdauer der Trips</a:t>
            </a:r>
            <a:r>
              <a:rPr lang="de-AT" baseline="0">
                <a:solidFill>
                  <a:schemeClr val="tx1"/>
                </a:solidFill>
              </a:rPr>
              <a:t> 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Darstellungsformen!$A$4</c:f>
              <c:strCache>
                <c:ptCount val="1"/>
                <c:pt idx="0">
                  <c:v>Mittelwert G.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Darstellungsformen!$B$4:$D$4</c:f>
              <c:numCache>
                <c:formatCode>hh:mm;@</c:formatCode>
                <c:ptCount val="3"/>
                <c:pt idx="0">
                  <c:v>0.10775462962962962</c:v>
                </c:pt>
                <c:pt idx="1">
                  <c:v>0.13148148148148148</c:v>
                </c:pt>
                <c:pt idx="2">
                  <c:v>0.19432870370370373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D87-BC44-FA4004585CF5}"/>
            </c:ext>
          </c:extLst>
        </c:ser>
        <c:ser>
          <c:idx val="4"/>
          <c:order val="4"/>
          <c:tx>
            <c:strRef>
              <c:f>Darstellungsformen!$A$7</c:f>
              <c:strCache>
                <c:ptCount val="1"/>
                <c:pt idx="0">
                  <c:v>Mittelwert G.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Darstellungsformen!$B$7:$D$7</c:f>
              <c:numCache>
                <c:formatCode>hh:mm;@</c:formatCode>
                <c:ptCount val="3"/>
                <c:pt idx="0">
                  <c:v>0.10162037037037036</c:v>
                </c:pt>
                <c:pt idx="1">
                  <c:v>0.11967592592592591</c:v>
                </c:pt>
                <c:pt idx="2">
                  <c:v>0.17777777777777781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6-4D87-BC44-FA4004585CF5}"/>
            </c:ext>
          </c:extLst>
        </c:ser>
        <c:ser>
          <c:idx val="7"/>
          <c:order val="7"/>
          <c:tx>
            <c:strRef>
              <c:f>Darstellungsformen!$A$10</c:f>
              <c:strCache>
                <c:ptCount val="1"/>
                <c:pt idx="0">
                  <c:v>Mittelwert G.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Darstellungsformen!$B$10:$D$10</c:f>
              <c:numCache>
                <c:formatCode>hh:mm;@</c:formatCode>
                <c:ptCount val="3"/>
                <c:pt idx="0">
                  <c:v>3.784722222222222E-2</c:v>
                </c:pt>
                <c:pt idx="1">
                  <c:v>5.5555555555555559E-2</c:v>
                </c:pt>
                <c:pt idx="2">
                  <c:v>0.12951388888888887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D6-4D87-BC44-FA400458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0896"/>
        <c:axId val="88712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Darstellungsformen!$A$3</c15:sqref>
                        </c15:formulaRef>
                      </c:ext>
                    </c:extLst>
                    <c:strCache>
                      <c:ptCount val="1"/>
                      <c:pt idx="0">
                        <c:v>Min.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Darstellungsformen!$B$3:$D$3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6.6666666666666666E-2</c:v>
                      </c:pt>
                      <c:pt idx="1">
                        <c:v>7.2222222222222215E-2</c:v>
                      </c:pt>
                      <c:pt idx="2">
                        <c:v>0.10902777777777783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D6-4D87-BC44-FA4004585C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Darstellungsformen!$A$5</c15:sqref>
                        </c15:formulaRef>
                      </c:ext>
                    </c:extLst>
                    <c:strCache>
                      <c:ptCount val="1"/>
                      <c:pt idx="0">
                        <c:v>Max.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Darstellungsformen!$B$5:$D$5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0.18541666666666667</c:v>
                      </c:pt>
                      <c:pt idx="1">
                        <c:v>0.21319444444444444</c:v>
                      </c:pt>
                      <c:pt idx="2">
                        <c:v>0.26249999999999996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D6-4D87-BC44-FA4004585C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Darstellungsformen!$A$6</c15:sqref>
                        </c15:formulaRef>
                      </c:ext>
                    </c:extLst>
                    <c:strCache>
                      <c:ptCount val="1"/>
                      <c:pt idx="0">
                        <c:v>Min.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Darstellungsformen!$B$6:$D$6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4.7222222222222228E-2</c:v>
                      </c:pt>
                      <c:pt idx="1">
                        <c:v>0.10347222222222219</c:v>
                      </c:pt>
                      <c:pt idx="2">
                        <c:v>0.14444444444444443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D6-4D87-BC44-FA4004585C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Darstellungsformen!$A$8</c15:sqref>
                        </c15:formulaRef>
                      </c:ext>
                    </c:extLst>
                    <c:strCache>
                      <c:ptCount val="1"/>
                      <c:pt idx="0">
                        <c:v>Max.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Darstellungsformen!$B$8:$D$8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0.15208333333333332</c:v>
                      </c:pt>
                      <c:pt idx="1">
                        <c:v>0.13541666666666666</c:v>
                      </c:pt>
                      <c:pt idx="2">
                        <c:v>0.2013888888888889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D6-4D87-BC44-FA4004585C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Darstellungsformen!$A$9</c15:sqref>
                        </c15:formulaRef>
                      </c:ext>
                    </c:extLst>
                    <c:strCache>
                      <c:ptCount val="1"/>
                      <c:pt idx="0">
                        <c:v>Min.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Darstellungsformen!$B$9:$D$9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2.7777777777777776E-2</c:v>
                      </c:pt>
                      <c:pt idx="1">
                        <c:v>3.333333333333334E-2</c:v>
                      </c:pt>
                      <c:pt idx="2">
                        <c:v>0.10833333333333334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D6-4D87-BC44-FA4004585C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Darstellungsformen!$A$11</c15:sqref>
                        </c15:formulaRef>
                      </c:ext>
                    </c:extLst>
                    <c:strCache>
                      <c:ptCount val="1"/>
                      <c:pt idx="0">
                        <c:v>Max.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Darstellungsformen!$B$11:$D$11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4.7916666666666663E-2</c:v>
                      </c:pt>
                      <c:pt idx="1">
                        <c:v>7.7777777777777779E-2</c:v>
                      </c:pt>
                      <c:pt idx="2">
                        <c:v>0.15069444444444444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D6-4D87-BC44-FA4004585CF5}"/>
                  </c:ext>
                </c:extLst>
              </c15:ser>
            </c15:filteredLineSeries>
          </c:ext>
        </c:extLst>
      </c:lineChart>
      <c:catAx>
        <c:axId val="8871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20912"/>
        <c:crosses val="autoZero"/>
        <c:auto val="1"/>
        <c:lblAlgn val="ctr"/>
        <c:lblOffset val="100"/>
        <c:noMultiLvlLbl val="0"/>
      </c:catAx>
      <c:valAx>
        <c:axId val="887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Bearbeitungsdauer  [Min:Sec]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Verwendungsdauer</a:t>
            </a:r>
            <a:r>
              <a:rPr lang="de-AT" baseline="0">
                <a:solidFill>
                  <a:schemeClr val="tx1"/>
                </a:solidFill>
              </a:rPr>
              <a:t> der </a:t>
            </a:r>
            <a:r>
              <a:rPr lang="de-AT">
                <a:solidFill>
                  <a:schemeClr val="tx1"/>
                </a:solidFill>
              </a:rPr>
              <a:t>Ansichten</a:t>
            </a:r>
          </a:p>
          <a:p>
            <a:pPr>
              <a:defRPr/>
            </a:pPr>
            <a:r>
              <a:rPr lang="de-AT">
                <a:solidFill>
                  <a:schemeClr val="tx1"/>
                </a:solidFill>
              </a:rPr>
              <a:t>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Darstellungsformen!$H$23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Darstellungsformen!$H$24:$H$32</c:f>
              <c:numCache>
                <c:formatCode>h:mm:ss;@</c:formatCode>
                <c:ptCount val="9"/>
                <c:pt idx="0">
                  <c:v>1.1824845679012346E-3</c:v>
                </c:pt>
                <c:pt idx="1">
                  <c:v>1.0763888888888889E-3</c:v>
                </c:pt>
                <c:pt idx="2">
                  <c:v>2.5462962962962961E-4</c:v>
                </c:pt>
                <c:pt idx="3">
                  <c:v>1.6107253086419752E-3</c:v>
                </c:pt>
                <c:pt idx="4">
                  <c:v>1.4004629629629629E-3</c:v>
                </c:pt>
                <c:pt idx="5">
                  <c:v>7.5231481481481471E-4</c:v>
                </c:pt>
                <c:pt idx="6">
                  <c:v>2.9301697530864199E-3</c:v>
                </c:pt>
                <c:pt idx="7">
                  <c:v>1.8287037037037039E-3</c:v>
                </c:pt>
                <c:pt idx="8">
                  <c:v>2.0254629629629629E-3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7F5-B14F-E4CE197D58FD}"/>
            </c:ext>
          </c:extLst>
        </c:ser>
        <c:ser>
          <c:idx val="1"/>
          <c:order val="1"/>
          <c:tx>
            <c:strRef>
              <c:f>Darstellungsformen!$I$23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Darstellungsformen!$I$24:$I$32</c:f>
              <c:numCache>
                <c:formatCode>h:mm:ss;@</c:formatCode>
                <c:ptCount val="9"/>
                <c:pt idx="0">
                  <c:v>4.3595679012345683E-4</c:v>
                </c:pt>
                <c:pt idx="1">
                  <c:v>5.2083333333333333E-4</c:v>
                </c:pt>
                <c:pt idx="2">
                  <c:v>2.7199074074074072E-4</c:v>
                </c:pt>
                <c:pt idx="3">
                  <c:v>5.2662037037037033E-4</c:v>
                </c:pt>
                <c:pt idx="4">
                  <c:v>5.4012345679012341E-4</c:v>
                </c:pt>
                <c:pt idx="5">
                  <c:v>1.7361111111111112E-4</c:v>
                </c:pt>
                <c:pt idx="6">
                  <c:v>2.6813271604938274E-4</c:v>
                </c:pt>
                <c:pt idx="7">
                  <c:v>1.114969135802469E-3</c:v>
                </c:pt>
                <c:pt idx="8">
                  <c:v>1.3310185185185186E-4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1-47F5-B14F-E4CE197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40991"/>
        <c:axId val="1712753471"/>
      </c:barChart>
      <c:catAx>
        <c:axId val="17127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53471"/>
        <c:crosses val="autoZero"/>
        <c:auto val="1"/>
        <c:lblAlgn val="ctr"/>
        <c:lblOffset val="100"/>
        <c:noMultiLvlLbl val="0"/>
      </c:catAx>
      <c:valAx>
        <c:axId val="1712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baseline="0">
                    <a:solidFill>
                      <a:schemeClr val="tx1"/>
                    </a:solidFill>
                    <a:effectLst/>
                  </a:rPr>
                  <a:t>Verwendungsdauer [Std:Min:Sec]</a:t>
                </a:r>
                <a:endParaRPr lang="de-AT" sz="7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9.9259608089370295E-3"/>
              <c:y val="0.15145465239424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Verwendungsdauer der</a:t>
            </a:r>
            <a:r>
              <a:rPr lang="de-AT" baseline="0">
                <a:solidFill>
                  <a:schemeClr val="tx1"/>
                </a:solidFill>
              </a:rPr>
              <a:t> Ansichten</a:t>
            </a:r>
          </a:p>
          <a:p>
            <a:pPr>
              <a:defRPr/>
            </a:pPr>
            <a:r>
              <a:rPr lang="de-AT" baseline="0">
                <a:solidFill>
                  <a:schemeClr val="tx1"/>
                </a:solidFill>
              </a:rPr>
              <a:t>(Gesamt nach Trip)</a:t>
            </a:r>
            <a:endParaRPr lang="de-A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Darstellungsformen!$N$2</c:f>
              <c:strCache>
                <c:ptCount val="1"/>
                <c:pt idx="0">
                  <c:v>Karte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Darstellungsformen!$N$3:$N$5</c:f>
              <c:numCache>
                <c:formatCode>h:mm:ss;@</c:formatCode>
                <c:ptCount val="3"/>
                <c:pt idx="0">
                  <c:v>1.0833333333333334E-2</c:v>
                </c:pt>
                <c:pt idx="1">
                  <c:v>1.5370370370370371E-2</c:v>
                </c:pt>
                <c:pt idx="2">
                  <c:v>2.7118055555555558E-2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771-88FB-3E1D104F260B}"/>
            </c:ext>
          </c:extLst>
        </c:ser>
        <c:ser>
          <c:idx val="1"/>
          <c:order val="1"/>
          <c:tx>
            <c:strRef>
              <c:f>Darstellungsformen!$O$2</c:f>
              <c:strCache>
                <c:ptCount val="1"/>
                <c:pt idx="0">
                  <c:v>Liste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Darstellungsformen!$O$3:$O$5</c:f>
              <c:numCache>
                <c:formatCode>h:mm:ss;@</c:formatCode>
                <c:ptCount val="3"/>
                <c:pt idx="0">
                  <c:v>4.7222222222222223E-3</c:v>
                </c:pt>
                <c:pt idx="1">
                  <c:v>5.1273148148148146E-3</c:v>
                </c:pt>
                <c:pt idx="2">
                  <c:v>5.2199074074074066E-3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771-88FB-3E1D104F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43487"/>
        <c:axId val="1712735999"/>
      </c:lineChart>
      <c:catAx>
        <c:axId val="17127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35999"/>
        <c:crosses val="autoZero"/>
        <c:auto val="1"/>
        <c:lblAlgn val="ctr"/>
        <c:lblOffset val="100"/>
        <c:noMultiLvlLbl val="0"/>
      </c:catAx>
      <c:valAx>
        <c:axId val="17127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Verwendungsdauer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[Std:Min:Sec]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81564489533345E-2"/>
              <c:y val="0.11995325386397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>
                <a:solidFill>
                  <a:schemeClr val="tx1"/>
                </a:solidFill>
              </a:rPr>
              <a:t>Häufigkeit der Verwendung 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Darstellungsformen!$H$39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Darstellungsformen!$F$40:$G$48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Darstellungsformen!$H$40:$H$48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1.3333333333333333</c:v>
                </c:pt>
                <c:pt idx="2">
                  <c:v>1.5</c:v>
                </c:pt>
                <c:pt idx="3">
                  <c:v>2</c:v>
                </c:pt>
                <c:pt idx="4">
                  <c:v>1.3333333333333333</c:v>
                </c:pt>
                <c:pt idx="5">
                  <c:v>1.5</c:v>
                </c:pt>
                <c:pt idx="6">
                  <c:v>1.6666666666666667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89B-A0FD-A521FC107E82}"/>
            </c:ext>
          </c:extLst>
        </c:ser>
        <c:ser>
          <c:idx val="1"/>
          <c:order val="1"/>
          <c:tx>
            <c:strRef>
              <c:f>Darstellungsformen!$I$39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Darstellungsformen!$F$40:$G$48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Darstellungsformen!$I$40:$I$48</c:f>
              <c:numCache>
                <c:formatCode>General</c:formatCode>
                <c:ptCount val="9"/>
                <c:pt idx="0">
                  <c:v>1</c:v>
                </c:pt>
                <c:pt idx="1">
                  <c:v>1.3333333333333333</c:v>
                </c:pt>
                <c:pt idx="2">
                  <c:v>1</c:v>
                </c:pt>
                <c:pt idx="3">
                  <c:v>2</c:v>
                </c:pt>
                <c:pt idx="4">
                  <c:v>1.6666666666666667</c:v>
                </c:pt>
                <c:pt idx="5">
                  <c:v>1</c:v>
                </c:pt>
                <c:pt idx="6">
                  <c:v>1</c:v>
                </c:pt>
                <c:pt idx="7">
                  <c:v>1.3333333333333333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9-489B-A0FD-A521FC10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817040"/>
        <c:axId val="1191804560"/>
      </c:barChart>
      <c:catAx>
        <c:axId val="11918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804560"/>
        <c:crosses val="autoZero"/>
        <c:auto val="1"/>
        <c:lblAlgn val="ctr"/>
        <c:lblOffset val="100"/>
        <c:noMultiLvlLbl val="0"/>
      </c:catAx>
      <c:valAx>
        <c:axId val="11918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8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>
                <a:solidFill>
                  <a:sysClr val="windowText" lastClr="000000"/>
                </a:solidFill>
                <a:effectLst/>
              </a:rPr>
              <a:t>Übersicht der Auswertung: Effektivität (Fragebogen</a:t>
            </a:r>
            <a:r>
              <a:rPr lang="de-AT" sz="130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Summe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u="none" strike="noStrike" baseline="0">
                <a:effectLst/>
              </a:rPr>
              <a:t>Übersicht der Auswertung: Effizienz (Fragebogen)</a:t>
            </a:r>
            <a:endParaRPr lang="de-AT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14</xdr:row>
      <xdr:rowOff>180975</xdr:rowOff>
    </xdr:from>
    <xdr:to>
      <xdr:col>18</xdr:col>
      <xdr:colOff>695325</xdr:colOff>
      <xdr:row>28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43</xdr:row>
      <xdr:rowOff>28574</xdr:rowOff>
    </xdr:from>
    <xdr:to>
      <xdr:col>10</xdr:col>
      <xdr:colOff>314324</xdr:colOff>
      <xdr:row>74</xdr:row>
      <xdr:rowOff>112394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30</xdr:row>
      <xdr:rowOff>47625</xdr:rowOff>
    </xdr:from>
    <xdr:to>
      <xdr:col>18</xdr:col>
      <xdr:colOff>676275</xdr:colOff>
      <xdr:row>45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162983</xdr:colOff>
      <xdr:row>0</xdr:row>
      <xdr:rowOff>101600</xdr:rowOff>
    </xdr:from>
    <xdr:to>
      <xdr:col>11</xdr:col>
      <xdr:colOff>162983</xdr:colOff>
      <xdr:row>17</xdr:row>
      <xdr:rowOff>84667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17</xdr:row>
      <xdr:rowOff>80682</xdr:rowOff>
    </xdr:from>
    <xdr:to>
      <xdr:col>16</xdr:col>
      <xdr:colOff>446515</xdr:colOff>
      <xdr:row>36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400797</xdr:colOff>
      <xdr:row>1</xdr:row>
      <xdr:rowOff>76698</xdr:rowOff>
    </xdr:from>
    <xdr:to>
      <xdr:col>20</xdr:col>
      <xdr:colOff>400797</xdr:colOff>
      <xdr:row>18</xdr:row>
      <xdr:rowOff>58769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502022</xdr:colOff>
      <xdr:row>37</xdr:row>
      <xdr:rowOff>0</xdr:rowOff>
    </xdr:from>
    <xdr:to>
      <xdr:col>16</xdr:col>
      <xdr:colOff>681317</xdr:colOff>
      <xdr:row>58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AC1" workbookViewId="0">
      <selection activeCell="AD12" sqref="AD12"/>
    </sheetView>
  </sheetViews>
  <sheetFormatPr baseColWidth="10" defaultColWidth="14.42578125" defaultRowHeight="15.75" customHeight="1"/>
  <cols>
    <col min="1" max="7" width="21.5703125" customWidth="1"/>
    <col min="8" max="11" width="12.140625" bestFit="1" customWidth="1"/>
    <col min="12" max="14" width="13.7109375" bestFit="1" customWidth="1"/>
    <col min="15" max="19" width="12.28515625" bestFit="1" customWidth="1"/>
    <col min="20" max="24" width="11" bestFit="1" customWidth="1"/>
    <col min="25" max="27" width="14.5703125" bestFit="1" customWidth="1"/>
    <col min="28" max="28" width="63.85546875" customWidth="1"/>
    <col min="29" max="29" width="41" customWidth="1"/>
    <col min="30" max="30" width="70.42578125" customWidth="1"/>
    <col min="31" max="31" width="95.570312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4" t="s">
        <v>145</v>
      </c>
      <c r="I1" s="24" t="s">
        <v>146</v>
      </c>
      <c r="J1" s="24" t="s">
        <v>147</v>
      </c>
      <c r="K1" s="24" t="s">
        <v>148</v>
      </c>
      <c r="L1" s="24" t="s">
        <v>165</v>
      </c>
      <c r="M1" s="24" t="s">
        <v>166</v>
      </c>
      <c r="N1" s="24" t="s">
        <v>167</v>
      </c>
      <c r="O1" s="24" t="s">
        <v>150</v>
      </c>
      <c r="P1" s="24" t="s">
        <v>151</v>
      </c>
      <c r="Q1" s="24" t="s">
        <v>152</v>
      </c>
      <c r="R1" s="24" t="s">
        <v>153</v>
      </c>
      <c r="S1" s="24" t="s">
        <v>154</v>
      </c>
      <c r="T1" s="24" t="s">
        <v>156</v>
      </c>
      <c r="U1" s="24" t="s">
        <v>157</v>
      </c>
      <c r="V1" s="24" t="s">
        <v>158</v>
      </c>
      <c r="W1" s="24" t="s">
        <v>159</v>
      </c>
      <c r="X1" s="24" t="s">
        <v>160</v>
      </c>
      <c r="Y1" s="24" t="s">
        <v>162</v>
      </c>
      <c r="Z1" s="24" t="s">
        <v>163</v>
      </c>
      <c r="AA1" s="24" t="s">
        <v>164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6">
        <v>4</v>
      </c>
      <c r="M2" s="36">
        <v>2</v>
      </c>
      <c r="N2" s="36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6">
        <v>5</v>
      </c>
      <c r="M3" s="36">
        <v>4</v>
      </c>
      <c r="N3" s="36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6">
        <v>5</v>
      </c>
      <c r="M4" s="36">
        <v>2</v>
      </c>
      <c r="N4" s="36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6">
        <v>4</v>
      </c>
      <c r="M5" s="36">
        <v>2</v>
      </c>
      <c r="N5" s="36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3" t="s">
        <v>73</v>
      </c>
      <c r="H6" s="2">
        <v>20</v>
      </c>
      <c r="I6" s="2">
        <v>0</v>
      </c>
      <c r="J6" s="33">
        <v>0</v>
      </c>
      <c r="L6" s="36">
        <v>5</v>
      </c>
      <c r="M6" s="36">
        <v>2</v>
      </c>
      <c r="N6" s="36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6">
        <v>5</v>
      </c>
      <c r="M7" s="36">
        <v>1</v>
      </c>
      <c r="N7" s="36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6">
        <v>4</v>
      </c>
      <c r="M8" s="36">
        <v>4</v>
      </c>
      <c r="N8" s="36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6">
        <v>4</v>
      </c>
      <c r="M9" s="36">
        <v>2</v>
      </c>
      <c r="N9" s="36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6">
        <v>5</v>
      </c>
      <c r="M10" s="36">
        <v>4</v>
      </c>
      <c r="N10" s="36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6">
        <v>5</v>
      </c>
      <c r="M11" s="36">
        <v>2</v>
      </c>
      <c r="N11" s="36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7">
        <v>5</v>
      </c>
      <c r="M12" s="37">
        <v>3</v>
      </c>
      <c r="N12" s="37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143</v>
      </c>
      <c r="B15" t="s">
        <v>141</v>
      </c>
      <c r="G15" s="24"/>
    </row>
    <row r="16" spans="1:32" ht="15.75" customHeight="1">
      <c r="A16" t="s">
        <v>144</v>
      </c>
      <c r="B16" t="s">
        <v>145</v>
      </c>
      <c r="C16" t="s">
        <v>142</v>
      </c>
    </row>
    <row r="17" spans="1:3" ht="15.75" customHeight="1">
      <c r="A17" s="24" t="s">
        <v>144</v>
      </c>
      <c r="B17" s="24" t="s">
        <v>146</v>
      </c>
      <c r="C17" s="24" t="s">
        <v>9</v>
      </c>
    </row>
    <row r="18" spans="1:3" ht="15.75" customHeight="1">
      <c r="A18" s="24" t="s">
        <v>144</v>
      </c>
      <c r="B18" s="24" t="s">
        <v>147</v>
      </c>
      <c r="C18" s="24" t="s">
        <v>10</v>
      </c>
    </row>
    <row r="19" spans="1:3" ht="15.75" customHeight="1">
      <c r="A19" s="24" t="s">
        <v>144</v>
      </c>
      <c r="B19" s="24" t="s">
        <v>148</v>
      </c>
      <c r="C19" s="24" t="s">
        <v>11</v>
      </c>
    </row>
    <row r="20" spans="1:3" ht="15.75" customHeight="1">
      <c r="A20" s="24" t="s">
        <v>144</v>
      </c>
      <c r="B20" s="24" t="s">
        <v>165</v>
      </c>
      <c r="C20" s="24" t="s">
        <v>12</v>
      </c>
    </row>
    <row r="21" spans="1:3" s="24" customFormat="1" ht="15.75" customHeight="1">
      <c r="A21" s="24" t="s">
        <v>144</v>
      </c>
      <c r="B21" s="24" t="s">
        <v>166</v>
      </c>
      <c r="C21" s="24" t="s">
        <v>13</v>
      </c>
    </row>
    <row r="22" spans="1:3" s="24" customFormat="1" ht="15.75" customHeight="1">
      <c r="A22" s="24" t="s">
        <v>144</v>
      </c>
      <c r="B22" s="24" t="s">
        <v>167</v>
      </c>
      <c r="C22" s="24" t="s">
        <v>14</v>
      </c>
    </row>
    <row r="23" spans="1:3" ht="15.75" customHeight="1">
      <c r="A23" s="24" t="s">
        <v>149</v>
      </c>
      <c r="B23" t="s">
        <v>150</v>
      </c>
      <c r="C23" s="24" t="s">
        <v>15</v>
      </c>
    </row>
    <row r="24" spans="1:3" ht="15.75" customHeight="1">
      <c r="A24" s="24" t="s">
        <v>149</v>
      </c>
      <c r="B24" s="24" t="s">
        <v>151</v>
      </c>
      <c r="C24" s="24" t="s">
        <v>16</v>
      </c>
    </row>
    <row r="25" spans="1:3" ht="15.75" customHeight="1">
      <c r="A25" s="24" t="s">
        <v>149</v>
      </c>
      <c r="B25" s="24" t="s">
        <v>152</v>
      </c>
      <c r="C25" s="24" t="s">
        <v>17</v>
      </c>
    </row>
    <row r="26" spans="1:3" ht="15.75" customHeight="1">
      <c r="A26" s="24" t="s">
        <v>149</v>
      </c>
      <c r="B26" s="24" t="s">
        <v>153</v>
      </c>
      <c r="C26" s="24" t="s">
        <v>18</v>
      </c>
    </row>
    <row r="27" spans="1:3" ht="15.75" customHeight="1">
      <c r="A27" s="24" t="s">
        <v>149</v>
      </c>
      <c r="B27" s="24" t="s">
        <v>154</v>
      </c>
      <c r="C27" s="24" t="s">
        <v>19</v>
      </c>
    </row>
    <row r="28" spans="1:3" ht="15.75" customHeight="1">
      <c r="A28" s="24" t="s">
        <v>155</v>
      </c>
      <c r="B28" s="24" t="s">
        <v>156</v>
      </c>
      <c r="C28" s="24" t="s">
        <v>20</v>
      </c>
    </row>
    <row r="29" spans="1:3" ht="15.75" customHeight="1">
      <c r="A29" s="24" t="s">
        <v>155</v>
      </c>
      <c r="B29" s="24" t="s">
        <v>157</v>
      </c>
      <c r="C29" s="24" t="s">
        <v>21</v>
      </c>
    </row>
    <row r="30" spans="1:3" ht="15.75" customHeight="1">
      <c r="A30" s="24" t="s">
        <v>155</v>
      </c>
      <c r="B30" s="24" t="s">
        <v>158</v>
      </c>
      <c r="C30" s="24" t="s">
        <v>22</v>
      </c>
    </row>
    <row r="31" spans="1:3" ht="15.75" customHeight="1">
      <c r="A31" s="24" t="s">
        <v>155</v>
      </c>
      <c r="B31" s="24" t="s">
        <v>159</v>
      </c>
      <c r="C31" s="24" t="s">
        <v>25</v>
      </c>
    </row>
    <row r="32" spans="1:3" ht="15.75" customHeight="1">
      <c r="A32" s="24" t="s">
        <v>155</v>
      </c>
      <c r="B32" s="24" t="s">
        <v>160</v>
      </c>
      <c r="C32" s="24" t="s">
        <v>28</v>
      </c>
    </row>
    <row r="33" spans="1:3" ht="15.75" customHeight="1">
      <c r="A33" s="24" t="s">
        <v>161</v>
      </c>
      <c r="B33" s="24" t="s">
        <v>162</v>
      </c>
      <c r="C33" s="24" t="s">
        <v>30</v>
      </c>
    </row>
    <row r="34" spans="1:3" ht="15.75" customHeight="1">
      <c r="A34" s="24" t="s">
        <v>161</v>
      </c>
      <c r="B34" s="24" t="s">
        <v>163</v>
      </c>
      <c r="C34" s="24" t="s">
        <v>32</v>
      </c>
    </row>
    <row r="35" spans="1:3" ht="15.75" customHeight="1">
      <c r="A35" s="24" t="s">
        <v>161</v>
      </c>
      <c r="B35" s="24" t="s">
        <v>164</v>
      </c>
      <c r="C35" s="24" t="s">
        <v>33</v>
      </c>
    </row>
    <row r="36" spans="1:3" ht="15.75" customHeight="1">
      <c r="A36" s="24"/>
      <c r="B36" s="24"/>
      <c r="C36" s="24"/>
    </row>
    <row r="38" spans="1:3" ht="15.75" customHeight="1">
      <c r="A38" t="s">
        <v>168</v>
      </c>
    </row>
    <row r="39" spans="1:3" ht="15.75" customHeight="1">
      <c r="A39">
        <v>1</v>
      </c>
      <c r="B39" s="25" t="s">
        <v>74</v>
      </c>
    </row>
    <row r="40" spans="1:3" ht="15.75" customHeight="1">
      <c r="A40" s="24">
        <v>2</v>
      </c>
      <c r="B40" s="25" t="s">
        <v>49</v>
      </c>
    </row>
    <row r="41" spans="1:3" ht="15.75" customHeight="1">
      <c r="A41" s="24">
        <v>3</v>
      </c>
      <c r="B41" s="14" t="s">
        <v>50</v>
      </c>
    </row>
    <row r="42" spans="1:3" ht="15.75" customHeight="1">
      <c r="A42" s="24">
        <v>4</v>
      </c>
      <c r="B42" s="25" t="s">
        <v>48</v>
      </c>
    </row>
    <row r="43" spans="1:3" ht="15.75" customHeight="1">
      <c r="A43" s="24">
        <v>5</v>
      </c>
      <c r="B43" s="25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baseColWidth="10" defaultRowHeight="12.75"/>
  <cols>
    <col min="9" max="9" width="16.28515625" bestFit="1" customWidth="1"/>
    <col min="10" max="10" width="21" bestFit="1" customWidth="1"/>
  </cols>
  <sheetData>
    <row r="1" spans="1:11">
      <c r="A1" s="38" t="s">
        <v>128</v>
      </c>
      <c r="B1" s="38" t="s">
        <v>23</v>
      </c>
      <c r="C1" s="38" t="s">
        <v>130</v>
      </c>
      <c r="D1" s="38" t="s">
        <v>156</v>
      </c>
      <c r="E1" s="38" t="s">
        <v>157</v>
      </c>
      <c r="F1" s="38" t="s">
        <v>158</v>
      </c>
      <c r="G1" s="38" t="s">
        <v>159</v>
      </c>
      <c r="H1" s="38" t="s">
        <v>160</v>
      </c>
      <c r="I1" s="38" t="s">
        <v>181</v>
      </c>
      <c r="J1" s="38" t="s">
        <v>182</v>
      </c>
      <c r="K1" s="38" t="s">
        <v>183</v>
      </c>
    </row>
    <row r="2" spans="1:11">
      <c r="A2" s="39" t="s">
        <v>37</v>
      </c>
      <c r="B2" s="39" t="s">
        <v>46</v>
      </c>
      <c r="C2" s="38" t="s">
        <v>178</v>
      </c>
      <c r="D2">
        <f>'Formularantworten 1'!T2</f>
        <v>4</v>
      </c>
      <c r="E2" s="38">
        <f>'Formularantworten 1'!U2</f>
        <v>5</v>
      </c>
      <c r="F2" s="38">
        <f>'Formularantworten 1'!V2</f>
        <v>3</v>
      </c>
      <c r="G2" s="38">
        <f>'Formularantworten 1'!W2</f>
        <v>4</v>
      </c>
      <c r="H2" s="38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39" t="s">
        <v>54</v>
      </c>
      <c r="B3" s="39" t="s">
        <v>55</v>
      </c>
      <c r="C3" s="38" t="s">
        <v>179</v>
      </c>
      <c r="D3" s="38">
        <f>'Formularantworten 1'!T3</f>
        <v>4</v>
      </c>
      <c r="E3" s="38">
        <f>'Formularantworten 1'!U3</f>
        <v>4</v>
      </c>
      <c r="F3" s="38">
        <f>'Formularantworten 1'!V3</f>
        <v>4</v>
      </c>
      <c r="G3" s="38">
        <f>'Formularantworten 1'!W3</f>
        <v>4</v>
      </c>
      <c r="H3" s="38">
        <f>'Formularantworten 1'!X3</f>
        <v>4</v>
      </c>
      <c r="I3" s="38">
        <f t="shared" ref="I3:I12" si="0">SUM(D3:H3)</f>
        <v>20</v>
      </c>
      <c r="J3" s="38">
        <f t="shared" ref="J3:J12" si="1">COUNTA(D2:H2)*5</f>
        <v>25</v>
      </c>
      <c r="K3" s="38">
        <f t="shared" ref="K3:K12" si="2">J3-I3</f>
        <v>5</v>
      </c>
    </row>
    <row r="4" spans="1:11">
      <c r="A4" s="39" t="s">
        <v>62</v>
      </c>
      <c r="B4" s="39" t="s">
        <v>61</v>
      </c>
      <c r="C4" s="38" t="s">
        <v>180</v>
      </c>
      <c r="D4" s="38">
        <f>'Formularantworten 1'!T4</f>
        <v>5</v>
      </c>
      <c r="E4" s="38">
        <f>'Formularantworten 1'!U4</f>
        <v>5</v>
      </c>
      <c r="F4" s="38">
        <f>'Formularantworten 1'!V4</f>
        <v>5</v>
      </c>
      <c r="G4" s="38">
        <f>'Formularantworten 1'!W4</f>
        <v>5</v>
      </c>
      <c r="H4" s="38">
        <f>'Formularantworten 1'!X4</f>
        <v>5</v>
      </c>
      <c r="I4" s="38">
        <f t="shared" si="0"/>
        <v>25</v>
      </c>
      <c r="J4" s="38">
        <f t="shared" si="1"/>
        <v>25</v>
      </c>
      <c r="K4" s="38">
        <f t="shared" si="2"/>
        <v>0</v>
      </c>
    </row>
    <row r="5" spans="1:11">
      <c r="A5" s="39" t="s">
        <v>66</v>
      </c>
      <c r="B5" s="39" t="s">
        <v>65</v>
      </c>
      <c r="C5" s="38" t="s">
        <v>178</v>
      </c>
      <c r="D5" s="38">
        <f>'Formularantworten 1'!T5</f>
        <v>5</v>
      </c>
      <c r="E5" s="38">
        <f>'Formularantworten 1'!U5</f>
        <v>5</v>
      </c>
      <c r="F5" s="38">
        <f>'Formularantworten 1'!V5</f>
        <v>5</v>
      </c>
      <c r="G5" s="38">
        <f>'Formularantworten 1'!W5</f>
        <v>3</v>
      </c>
      <c r="H5" s="38">
        <f>'Formularantworten 1'!X5</f>
        <v>5</v>
      </c>
      <c r="I5" s="38">
        <f t="shared" si="0"/>
        <v>23</v>
      </c>
      <c r="J5" s="38">
        <f t="shared" si="1"/>
        <v>25</v>
      </c>
      <c r="K5" s="38">
        <f t="shared" si="2"/>
        <v>2</v>
      </c>
    </row>
    <row r="6" spans="1:11">
      <c r="A6" s="39" t="s">
        <v>72</v>
      </c>
      <c r="B6" s="39" t="s">
        <v>71</v>
      </c>
      <c r="C6" s="38" t="s">
        <v>180</v>
      </c>
      <c r="D6" s="38">
        <f>'Formularantworten 1'!T6</f>
        <v>5</v>
      </c>
      <c r="E6" s="38">
        <f>'Formularantworten 1'!U6</f>
        <v>5</v>
      </c>
      <c r="F6" s="38">
        <f>'Formularantworten 1'!V6</f>
        <v>4</v>
      </c>
      <c r="G6" s="38">
        <f>'Formularantworten 1'!W6</f>
        <v>3</v>
      </c>
      <c r="H6" s="38">
        <f>'Formularantworten 1'!X6</f>
        <v>4</v>
      </c>
      <c r="I6" s="38">
        <f t="shared" si="0"/>
        <v>21</v>
      </c>
      <c r="J6" s="38">
        <f t="shared" si="1"/>
        <v>25</v>
      </c>
      <c r="K6" s="38">
        <f t="shared" si="2"/>
        <v>4</v>
      </c>
    </row>
    <row r="7" spans="1:11">
      <c r="A7" s="39" t="s">
        <v>81</v>
      </c>
      <c r="B7" s="39" t="s">
        <v>80</v>
      </c>
      <c r="C7" s="38" t="s">
        <v>180</v>
      </c>
      <c r="D7" s="38">
        <f>'Formularantworten 1'!T7</f>
        <v>4</v>
      </c>
      <c r="E7" s="38">
        <f>'Formularantworten 1'!U7</f>
        <v>5</v>
      </c>
      <c r="F7" s="38">
        <f>'Formularantworten 1'!V7</f>
        <v>5</v>
      </c>
      <c r="G7" s="38">
        <f>'Formularantworten 1'!W7</f>
        <v>2</v>
      </c>
      <c r="H7" s="38">
        <f>'Formularantworten 1'!X7</f>
        <v>5</v>
      </c>
      <c r="I7" s="38">
        <f t="shared" si="0"/>
        <v>21</v>
      </c>
      <c r="J7" s="38">
        <f t="shared" si="1"/>
        <v>25</v>
      </c>
      <c r="K7" s="38">
        <f t="shared" si="2"/>
        <v>4</v>
      </c>
    </row>
    <row r="8" spans="1:11">
      <c r="A8" s="39" t="s">
        <v>82</v>
      </c>
      <c r="B8" s="39" t="s">
        <v>89</v>
      </c>
      <c r="C8" s="38" t="s">
        <v>180</v>
      </c>
      <c r="D8" s="38">
        <f>'Formularantworten 1'!T8</f>
        <v>5</v>
      </c>
      <c r="E8" s="38">
        <f>'Formularantworten 1'!U8</f>
        <v>5</v>
      </c>
      <c r="F8" s="38">
        <f>'Formularantworten 1'!V8</f>
        <v>5</v>
      </c>
      <c r="G8" s="38">
        <f>'Formularantworten 1'!W8</f>
        <v>5</v>
      </c>
      <c r="H8" s="38">
        <f>'Formularantworten 1'!X8</f>
        <v>5</v>
      </c>
      <c r="I8" s="38">
        <f t="shared" si="0"/>
        <v>25</v>
      </c>
      <c r="J8" s="38">
        <f t="shared" si="1"/>
        <v>25</v>
      </c>
      <c r="K8" s="38">
        <f t="shared" si="2"/>
        <v>0</v>
      </c>
    </row>
    <row r="9" spans="1:11">
      <c r="A9" s="39" t="s">
        <v>85</v>
      </c>
      <c r="B9" s="39" t="s">
        <v>96</v>
      </c>
      <c r="C9" s="38" t="s">
        <v>180</v>
      </c>
      <c r="D9" s="38">
        <f>'Formularantworten 1'!T9</f>
        <v>5</v>
      </c>
      <c r="E9" s="38">
        <f>'Formularantworten 1'!U9</f>
        <v>5</v>
      </c>
      <c r="F9" s="38">
        <f>'Formularantworten 1'!V9</f>
        <v>5</v>
      </c>
      <c r="G9" s="38">
        <f>'Formularantworten 1'!W9</f>
        <v>4</v>
      </c>
      <c r="H9" s="38">
        <f>'Formularantworten 1'!X9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180</v>
      </c>
      <c r="D10" s="38">
        <f>'Formularantworten 1'!T10</f>
        <v>5</v>
      </c>
      <c r="E10" s="38">
        <f>'Formularantworten 1'!U10</f>
        <v>5</v>
      </c>
      <c r="F10" s="38">
        <f>'Formularantworten 1'!V10</f>
        <v>5</v>
      </c>
      <c r="G10" s="38">
        <f>'Formularantworten 1'!W10</f>
        <v>2</v>
      </c>
      <c r="H10" s="38">
        <f>'Formularantworten 1'!X10</f>
        <v>4</v>
      </c>
      <c r="I10" s="38">
        <f t="shared" si="0"/>
        <v>21</v>
      </c>
      <c r="J10" s="38">
        <f t="shared" si="1"/>
        <v>25</v>
      </c>
      <c r="K10" s="38">
        <f t="shared" si="2"/>
        <v>4</v>
      </c>
    </row>
    <row r="11" spans="1:11">
      <c r="A11" s="39" t="s">
        <v>90</v>
      </c>
      <c r="B11" s="39" t="s">
        <v>103</v>
      </c>
      <c r="C11" s="38" t="s">
        <v>179</v>
      </c>
      <c r="D11" s="38">
        <f>'Formularantworten 1'!T11</f>
        <v>5</v>
      </c>
      <c r="E11" s="38">
        <f>'Formularantworten 1'!U11</f>
        <v>5</v>
      </c>
      <c r="F11" s="38">
        <f>'Formularantworten 1'!V11</f>
        <v>5</v>
      </c>
      <c r="G11" s="38">
        <f>'Formularantworten 1'!W11</f>
        <v>5</v>
      </c>
      <c r="H11" s="38">
        <f>'Formularantworten 1'!X11</f>
        <v>3</v>
      </c>
      <c r="I11" s="38">
        <f t="shared" si="0"/>
        <v>23</v>
      </c>
      <c r="J11" s="38">
        <f t="shared" si="1"/>
        <v>25</v>
      </c>
      <c r="K11" s="38">
        <f t="shared" si="2"/>
        <v>2</v>
      </c>
    </row>
    <row r="12" spans="1:11">
      <c r="A12" s="14" t="s">
        <v>91</v>
      </c>
      <c r="B12" s="14" t="s">
        <v>106</v>
      </c>
      <c r="C12" s="38" t="s">
        <v>179</v>
      </c>
      <c r="D12" s="38">
        <f>'Formularantworten 1'!T12</f>
        <v>5</v>
      </c>
      <c r="E12" s="38">
        <f>'Formularantworten 1'!U12</f>
        <v>5</v>
      </c>
      <c r="F12" s="38">
        <f>'Formularantworten 1'!V12</f>
        <v>5</v>
      </c>
      <c r="G12" s="38">
        <f>'Formularantworten 1'!W12</f>
        <v>5</v>
      </c>
      <c r="H12" s="38">
        <f>'Formularantworten 1'!X12</f>
        <v>5</v>
      </c>
      <c r="I12" s="38">
        <f t="shared" si="0"/>
        <v>25</v>
      </c>
      <c r="J12" s="38">
        <f t="shared" si="1"/>
        <v>25</v>
      </c>
      <c r="K12" s="38">
        <f t="shared" si="2"/>
        <v>0</v>
      </c>
    </row>
    <row r="18" spans="1:5">
      <c r="A18" s="40"/>
      <c r="B18" s="40" t="s">
        <v>188</v>
      </c>
      <c r="C18" s="40" t="s">
        <v>184</v>
      </c>
      <c r="D18" s="40" t="s">
        <v>185</v>
      </c>
      <c r="E18" s="40" t="s">
        <v>186</v>
      </c>
    </row>
    <row r="19" spans="1:5">
      <c r="A19" s="31" t="s">
        <v>189</v>
      </c>
      <c r="B19">
        <f>MIN($I$2:$I$12)</f>
        <v>20</v>
      </c>
      <c r="C19" s="40">
        <f>_xlfn.MINIFS($I$2:$I$12,$C$2:$C$12,"group1")</f>
        <v>21</v>
      </c>
      <c r="D19" s="40">
        <f>_xlfn.MINIFS($I$2:$I$12,$C$2:$C$12,"group2")</f>
        <v>20</v>
      </c>
      <c r="E19" s="40">
        <f>_xlfn.MINIFS($I$2:$I$12,$C$2:$C$12,"group3")</f>
        <v>21</v>
      </c>
    </row>
    <row r="20" spans="1:5">
      <c r="A20" s="31" t="s">
        <v>190</v>
      </c>
      <c r="B20">
        <f>MAX(I2:I12)</f>
        <v>25</v>
      </c>
      <c r="C20">
        <f>_xlfn.MAXIFS($I$2:$I$12,$C$2:$C$12,"group1")</f>
        <v>25</v>
      </c>
      <c r="D20" s="40">
        <f>_xlfn.MAXIFS($I$2:$I$12,$C$2:$C$12,"group2")</f>
        <v>25</v>
      </c>
      <c r="E20" s="40">
        <f>_xlfn.MAXIFS($I$2:$I$12,$C$2:$C$12,"group3")</f>
        <v>23</v>
      </c>
    </row>
    <row r="21" spans="1:5">
      <c r="A21" s="31" t="s">
        <v>191</v>
      </c>
      <c r="B21">
        <f>AVERAGE(I2:I12)</f>
        <v>22.636363636363637</v>
      </c>
      <c r="C21">
        <f>AVERAGEIFS($I$2:$I$12,$C$2:$C$12,"group1")</f>
        <v>22.833333333333332</v>
      </c>
      <c r="D21" s="40">
        <f>AVERAGEIFS($I$2:$I$12,$C$2:$C$12,"group2")</f>
        <v>22.666666666666668</v>
      </c>
      <c r="E21" s="40">
        <f>AVERAGEIFS($I$2:$I$12,$C$2:$C$12,"group3")</f>
        <v>22</v>
      </c>
    </row>
    <row r="22" spans="1:5">
      <c r="A22" s="33" t="s">
        <v>192</v>
      </c>
      <c r="B22">
        <f>COUNT($D$2:$H$2)</f>
        <v>5</v>
      </c>
      <c r="C22" s="40">
        <f t="shared" ref="C22:E22" si="3">COUNT($D$2:$H$2)</f>
        <v>5</v>
      </c>
      <c r="D22" s="40">
        <f t="shared" si="3"/>
        <v>5</v>
      </c>
      <c r="E22" s="40">
        <f t="shared" si="3"/>
        <v>5</v>
      </c>
    </row>
    <row r="23" spans="1:5">
      <c r="A23" s="41" t="s">
        <v>187</v>
      </c>
      <c r="B23">
        <f>(B24-B22)/2+B22</f>
        <v>15</v>
      </c>
      <c r="C23" s="40">
        <f t="shared" ref="C23:E23" si="4">(C24-C22)/2+C22</f>
        <v>15</v>
      </c>
      <c r="D23" s="40">
        <f t="shared" si="4"/>
        <v>15</v>
      </c>
      <c r="E23" s="40">
        <f t="shared" si="4"/>
        <v>15</v>
      </c>
    </row>
    <row r="24" spans="1:5">
      <c r="A24" s="31" t="s">
        <v>193</v>
      </c>
      <c r="B24">
        <f>$J$2</f>
        <v>25</v>
      </c>
      <c r="C24" s="40">
        <f t="shared" ref="C24:E24" si="5">$J$2</f>
        <v>25</v>
      </c>
      <c r="D24" s="40">
        <f t="shared" si="5"/>
        <v>25</v>
      </c>
      <c r="E24" s="40">
        <f t="shared" si="5"/>
        <v>25</v>
      </c>
    </row>
  </sheetData>
  <pageMargins left="0.7" right="0.7" top="0.78740157499999996" bottom="0.78740157499999996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RowHeight="12.75"/>
  <cols>
    <col min="4" max="6" width="14.5703125" bestFit="1" customWidth="1"/>
    <col min="7" max="7" width="16.28515625" bestFit="1" customWidth="1"/>
    <col min="8" max="8" width="21" bestFit="1" customWidth="1"/>
    <col min="9" max="9" width="8.7109375" customWidth="1"/>
  </cols>
  <sheetData>
    <row r="1" spans="1:9">
      <c r="A1" s="38" t="s">
        <v>128</v>
      </c>
      <c r="B1" s="38" t="s">
        <v>23</v>
      </c>
      <c r="C1" s="38" t="s">
        <v>130</v>
      </c>
      <c r="D1" s="38" t="s">
        <v>162</v>
      </c>
      <c r="E1" s="38" t="s">
        <v>163</v>
      </c>
      <c r="F1" s="38" t="s">
        <v>164</v>
      </c>
      <c r="G1" s="38" t="s">
        <v>181</v>
      </c>
      <c r="H1" s="38" t="s">
        <v>182</v>
      </c>
      <c r="I1" s="38" t="s">
        <v>183</v>
      </c>
    </row>
    <row r="2" spans="1:9">
      <c r="A2" s="39" t="s">
        <v>37</v>
      </c>
      <c r="B2" s="39" t="s">
        <v>46</v>
      </c>
      <c r="C2" s="38" t="s">
        <v>178</v>
      </c>
      <c r="D2">
        <f>'Formularantworten 1'!Y2</f>
        <v>4</v>
      </c>
      <c r="E2" s="38">
        <f>'Formularantworten 1'!Z2</f>
        <v>5</v>
      </c>
      <c r="F2" s="38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39" t="s">
        <v>54</v>
      </c>
      <c r="B3" s="39" t="s">
        <v>55</v>
      </c>
      <c r="C3" s="38" t="s">
        <v>179</v>
      </c>
      <c r="D3" s="38">
        <f>'Formularantworten 1'!Y3</f>
        <v>4</v>
      </c>
      <c r="E3" s="38">
        <f>'Formularantworten 1'!Z3</f>
        <v>4</v>
      </c>
      <c r="F3" s="38">
        <f>'Formularantworten 1'!AA3</f>
        <v>4</v>
      </c>
      <c r="G3" s="38">
        <f t="shared" ref="G3:G12" si="0">SUM(D3:F3)</f>
        <v>12</v>
      </c>
      <c r="H3" s="38">
        <f t="shared" ref="H3:H12" si="1">COUNT(D3:F3)*5</f>
        <v>15</v>
      </c>
      <c r="I3" s="38">
        <f t="shared" ref="I3:I12" si="2">H3-G3</f>
        <v>3</v>
      </c>
    </row>
    <row r="4" spans="1:9">
      <c r="A4" s="39" t="s">
        <v>62</v>
      </c>
      <c r="B4" s="39" t="s">
        <v>61</v>
      </c>
      <c r="C4" s="38" t="s">
        <v>180</v>
      </c>
      <c r="D4" s="38">
        <f>'Formularantworten 1'!Y4</f>
        <v>5</v>
      </c>
      <c r="E4" s="38">
        <f>'Formularantworten 1'!Z4</f>
        <v>5</v>
      </c>
      <c r="F4" s="38">
        <f>'Formularantworten 1'!AA4</f>
        <v>5</v>
      </c>
      <c r="G4" s="38">
        <f t="shared" si="0"/>
        <v>15</v>
      </c>
      <c r="H4" s="38">
        <f t="shared" si="1"/>
        <v>15</v>
      </c>
      <c r="I4" s="38">
        <f t="shared" si="2"/>
        <v>0</v>
      </c>
    </row>
    <row r="5" spans="1:9">
      <c r="A5" s="39" t="s">
        <v>66</v>
      </c>
      <c r="B5" s="39" t="s">
        <v>65</v>
      </c>
      <c r="C5" s="38" t="s">
        <v>178</v>
      </c>
      <c r="D5" s="38">
        <f>'Formularantworten 1'!Y5</f>
        <v>5</v>
      </c>
      <c r="E5" s="38">
        <f>'Formularantworten 1'!Z5</f>
        <v>5</v>
      </c>
      <c r="F5" s="38">
        <f>'Formularantworten 1'!AA5</f>
        <v>5</v>
      </c>
      <c r="G5" s="38">
        <f t="shared" si="0"/>
        <v>15</v>
      </c>
      <c r="H5" s="38">
        <f t="shared" si="1"/>
        <v>15</v>
      </c>
      <c r="I5" s="38">
        <f t="shared" si="2"/>
        <v>0</v>
      </c>
    </row>
    <row r="6" spans="1:9">
      <c r="A6" s="39" t="s">
        <v>72</v>
      </c>
      <c r="B6" s="39" t="s">
        <v>71</v>
      </c>
      <c r="C6" s="38" t="s">
        <v>180</v>
      </c>
      <c r="D6" s="38">
        <f>'Formularantworten 1'!Y6</f>
        <v>5</v>
      </c>
      <c r="E6" s="38">
        <f>'Formularantworten 1'!Z6</f>
        <v>4</v>
      </c>
      <c r="F6" s="38">
        <f>'Formularantworten 1'!AA6</f>
        <v>4</v>
      </c>
      <c r="G6" s="38">
        <f t="shared" si="0"/>
        <v>13</v>
      </c>
      <c r="H6" s="38">
        <f t="shared" si="1"/>
        <v>15</v>
      </c>
      <c r="I6" s="38">
        <f t="shared" si="2"/>
        <v>2</v>
      </c>
    </row>
    <row r="7" spans="1:9">
      <c r="A7" s="39" t="s">
        <v>81</v>
      </c>
      <c r="B7" s="39" t="s">
        <v>80</v>
      </c>
      <c r="C7" s="38" t="s">
        <v>180</v>
      </c>
      <c r="D7" s="38">
        <f>'Formularantworten 1'!Y7</f>
        <v>5</v>
      </c>
      <c r="E7" s="38">
        <f>'Formularantworten 1'!Z7</f>
        <v>5</v>
      </c>
      <c r="F7" s="38">
        <f>'Formularantworten 1'!AA7</f>
        <v>4</v>
      </c>
      <c r="G7" s="38">
        <f t="shared" si="0"/>
        <v>14</v>
      </c>
      <c r="H7" s="38">
        <f t="shared" si="1"/>
        <v>15</v>
      </c>
      <c r="I7" s="38">
        <f t="shared" si="2"/>
        <v>1</v>
      </c>
    </row>
    <row r="8" spans="1:9">
      <c r="A8" s="39" t="s">
        <v>82</v>
      </c>
      <c r="B8" s="39" t="s">
        <v>89</v>
      </c>
      <c r="C8" s="38" t="s">
        <v>180</v>
      </c>
      <c r="D8" s="38">
        <f>'Formularantworten 1'!Y8</f>
        <v>5</v>
      </c>
      <c r="E8" s="38">
        <f>'Formularantworten 1'!Z8</f>
        <v>4</v>
      </c>
      <c r="F8" s="38">
        <f>'Formularantworten 1'!AA8</f>
        <v>5</v>
      </c>
      <c r="G8" s="38">
        <f t="shared" si="0"/>
        <v>14</v>
      </c>
      <c r="H8" s="38">
        <f t="shared" si="1"/>
        <v>15</v>
      </c>
      <c r="I8" s="38">
        <f t="shared" si="2"/>
        <v>1</v>
      </c>
    </row>
    <row r="9" spans="1:9">
      <c r="A9" s="39" t="s">
        <v>85</v>
      </c>
      <c r="B9" s="39" t="s">
        <v>96</v>
      </c>
      <c r="C9" s="38" t="s">
        <v>180</v>
      </c>
      <c r="D9" s="38">
        <f>'Formularantworten 1'!Y9</f>
        <v>5</v>
      </c>
      <c r="E9" s="38">
        <f>'Formularantworten 1'!Z9</f>
        <v>5</v>
      </c>
      <c r="F9" s="38">
        <f>'Formularantworten 1'!AA9</f>
        <v>5</v>
      </c>
      <c r="G9" s="38">
        <f t="shared" si="0"/>
        <v>15</v>
      </c>
      <c r="H9" s="38">
        <f t="shared" si="1"/>
        <v>15</v>
      </c>
      <c r="I9" s="38">
        <f t="shared" si="2"/>
        <v>0</v>
      </c>
    </row>
    <row r="10" spans="1:9">
      <c r="A10" s="39" t="s">
        <v>88</v>
      </c>
      <c r="B10" s="39" t="s">
        <v>100</v>
      </c>
      <c r="C10" s="38" t="s">
        <v>180</v>
      </c>
      <c r="D10" s="38">
        <f>'Formularantworten 1'!Y10</f>
        <v>5</v>
      </c>
      <c r="E10" s="38">
        <f>'Formularantworten 1'!Z10</f>
        <v>5</v>
      </c>
      <c r="F10" s="38">
        <f>'Formularantworten 1'!AA10</f>
        <v>5</v>
      </c>
      <c r="G10" s="38">
        <f t="shared" si="0"/>
        <v>15</v>
      </c>
      <c r="H10" s="38">
        <f t="shared" si="1"/>
        <v>15</v>
      </c>
      <c r="I10" s="38">
        <f t="shared" si="2"/>
        <v>0</v>
      </c>
    </row>
    <row r="11" spans="1:9">
      <c r="A11" s="39" t="s">
        <v>90</v>
      </c>
      <c r="B11" s="39" t="s">
        <v>103</v>
      </c>
      <c r="C11" s="38" t="s">
        <v>179</v>
      </c>
      <c r="D11" s="38">
        <f>'Formularantworten 1'!Y11</f>
        <v>5</v>
      </c>
      <c r="E11" s="38">
        <f>'Formularantworten 1'!Z11</f>
        <v>5</v>
      </c>
      <c r="F11" s="38">
        <f>'Formularantworten 1'!AA11</f>
        <v>5</v>
      </c>
      <c r="G11" s="38">
        <f t="shared" si="0"/>
        <v>15</v>
      </c>
      <c r="H11" s="38">
        <f t="shared" si="1"/>
        <v>15</v>
      </c>
      <c r="I11" s="38">
        <f t="shared" si="2"/>
        <v>0</v>
      </c>
    </row>
    <row r="12" spans="1:9">
      <c r="A12" s="14" t="s">
        <v>91</v>
      </c>
      <c r="B12" s="14" t="s">
        <v>106</v>
      </c>
      <c r="C12" s="38" t="s">
        <v>179</v>
      </c>
      <c r="D12" s="38">
        <f>'Formularantworten 1'!Y12</f>
        <v>5</v>
      </c>
      <c r="E12" s="38">
        <f>'Formularantworten 1'!Z12</f>
        <v>4</v>
      </c>
      <c r="F12" s="38">
        <f>'Formularantworten 1'!AA12</f>
        <v>5</v>
      </c>
      <c r="G12" s="38">
        <f t="shared" si="0"/>
        <v>14</v>
      </c>
      <c r="H12" s="38">
        <f t="shared" si="1"/>
        <v>15</v>
      </c>
      <c r="I12" s="38">
        <f t="shared" si="2"/>
        <v>1</v>
      </c>
    </row>
    <row r="18" spans="1:5">
      <c r="A18" s="40"/>
      <c r="B18" s="40" t="s">
        <v>188</v>
      </c>
      <c r="C18" s="40" t="s">
        <v>184</v>
      </c>
      <c r="D18" s="40" t="s">
        <v>185</v>
      </c>
      <c r="E18" s="40" t="s">
        <v>186</v>
      </c>
    </row>
    <row r="19" spans="1:5">
      <c r="A19" s="31" t="s">
        <v>189</v>
      </c>
      <c r="B19" s="40">
        <f>MIN(G2:G12)</f>
        <v>12</v>
      </c>
      <c r="C19" s="40">
        <f>_xlfn.MINIFS($G$2:$G$12,$C$2:$C$12,"group1")</f>
        <v>13</v>
      </c>
      <c r="D19" s="40">
        <f>_xlfn.MINIFS($G$2:$G$12,$C$2:$C$12,"group2")</f>
        <v>12</v>
      </c>
      <c r="E19" s="40">
        <f>_xlfn.MINIFS($G$2:$G$12,$C$2:$C$12,"group3")</f>
        <v>14</v>
      </c>
    </row>
    <row r="20" spans="1:5">
      <c r="A20" s="31" t="s">
        <v>190</v>
      </c>
      <c r="B20" s="40">
        <f>MAX(G2:G12)</f>
        <v>15</v>
      </c>
      <c r="C20" s="40">
        <f>_xlfn.MAXIFS($G$2:$G$12,$C$2:$C$12,"group1")</f>
        <v>15</v>
      </c>
      <c r="D20" s="40">
        <f>_xlfn.MAXIFS($G$2:$G$12,$C$2:$C$12,"group2")</f>
        <v>15</v>
      </c>
      <c r="E20" s="40">
        <f>_xlfn.MAXIFS($G$2:$G$12,$C$2:$C$12,"group3")</f>
        <v>15</v>
      </c>
    </row>
    <row r="21" spans="1:5">
      <c r="A21" s="31" t="s">
        <v>191</v>
      </c>
      <c r="B21" s="40">
        <f>AVERAGE(G2:G12)</f>
        <v>14.181818181818182</v>
      </c>
      <c r="C21" s="40">
        <f>AVERAGEIFS($G$2:$G$12,$C$2:$C$12,"group1")</f>
        <v>14.333333333333334</v>
      </c>
      <c r="D21" s="40">
        <f>AVERAGEIFS($G$2:$G$12,$C$2:$C$12,"group2")</f>
        <v>13.666666666666666</v>
      </c>
      <c r="E21" s="40">
        <f>AVERAGEIFS($G$2:$G$12,$C$2:$C$12,"group3")</f>
        <v>14.5</v>
      </c>
    </row>
    <row r="22" spans="1:5">
      <c r="A22" s="33" t="s">
        <v>192</v>
      </c>
      <c r="B22" s="40">
        <f>COUNT($D$2:$F$2)</f>
        <v>3</v>
      </c>
      <c r="C22" s="40">
        <f t="shared" ref="C22:E22" si="3">COUNT($D$2:$F$2)</f>
        <v>3</v>
      </c>
      <c r="D22" s="40">
        <f t="shared" si="3"/>
        <v>3</v>
      </c>
      <c r="E22" s="40">
        <f t="shared" si="3"/>
        <v>3</v>
      </c>
    </row>
    <row r="23" spans="1:5">
      <c r="A23" s="41" t="s">
        <v>187</v>
      </c>
      <c r="B23" s="40">
        <f>($B$24-$B$22)/2+$B$22</f>
        <v>9</v>
      </c>
      <c r="C23" s="40">
        <f t="shared" ref="C23:E23" si="4">($B$24-$B$22)/2+$B$22</f>
        <v>9</v>
      </c>
      <c r="D23" s="40">
        <f t="shared" si="4"/>
        <v>9</v>
      </c>
      <c r="E23" s="40">
        <f t="shared" si="4"/>
        <v>9</v>
      </c>
    </row>
    <row r="24" spans="1:5">
      <c r="A24" s="31" t="s">
        <v>193</v>
      </c>
      <c r="B24" s="40">
        <f>$H$2</f>
        <v>15</v>
      </c>
      <c r="C24" s="40">
        <f t="shared" ref="C24:E24" si="5">$H$2</f>
        <v>15</v>
      </c>
      <c r="D24" s="40">
        <f t="shared" si="5"/>
        <v>15</v>
      </c>
      <c r="E24" s="40">
        <f t="shared" si="5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42578125" defaultRowHeight="15.75" customHeight="1"/>
  <cols>
    <col min="3" max="3" width="22.28515625" bestFit="1" customWidth="1"/>
  </cols>
  <sheetData>
    <row r="1" spans="1:13" ht="15.75" customHeight="1">
      <c r="A1" s="1" t="s">
        <v>0</v>
      </c>
      <c r="B1" s="33" t="s">
        <v>23</v>
      </c>
      <c r="C1" s="33" t="s">
        <v>173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5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5" t="s">
        <v>55</v>
      </c>
      <c r="C3" s="32">
        <v>0.55208333333333337</v>
      </c>
    </row>
    <row r="4" spans="1:13" ht="15.75" customHeight="1">
      <c r="A4" s="2" t="s">
        <v>62</v>
      </c>
      <c r="B4" s="25" t="s">
        <v>61</v>
      </c>
      <c r="C4" s="32">
        <v>0.4680555555555555</v>
      </c>
    </row>
    <row r="5" spans="1:13" ht="15.75" customHeight="1">
      <c r="A5" s="2" t="s">
        <v>66</v>
      </c>
      <c r="B5" s="25" t="s">
        <v>65</v>
      </c>
      <c r="C5" s="32">
        <v>0.33888888888888885</v>
      </c>
    </row>
    <row r="6" spans="1:13" ht="15.75" customHeight="1">
      <c r="A6" s="2" t="s">
        <v>72</v>
      </c>
      <c r="B6" s="25" t="s">
        <v>71</v>
      </c>
      <c r="C6" s="32">
        <v>0.47430555555555554</v>
      </c>
    </row>
    <row r="7" spans="1:13" ht="15.75" customHeight="1">
      <c r="A7" s="2" t="s">
        <v>81</v>
      </c>
      <c r="B7" s="25" t="s">
        <v>80</v>
      </c>
      <c r="C7" s="32">
        <v>0.6743055555555556</v>
      </c>
    </row>
    <row r="8" spans="1:13" ht="15.75" customHeight="1">
      <c r="A8" s="2" t="s">
        <v>82</v>
      </c>
      <c r="B8" s="25" t="s">
        <v>89</v>
      </c>
      <c r="C8" s="32">
        <v>0.52361111111111114</v>
      </c>
    </row>
    <row r="9" spans="1:13" ht="15.75" customHeight="1">
      <c r="A9" s="2" t="s">
        <v>85</v>
      </c>
      <c r="B9" s="25" t="s">
        <v>96</v>
      </c>
      <c r="C9" s="32">
        <v>0.42708333333333331</v>
      </c>
    </row>
    <row r="10" spans="1:13" ht="15.75" customHeight="1">
      <c r="A10" s="2" t="s">
        <v>88</v>
      </c>
      <c r="B10" s="25" t="s">
        <v>100</v>
      </c>
      <c r="C10" s="32">
        <v>0.69513888888888886</v>
      </c>
    </row>
    <row r="11" spans="1:13" ht="15.75" customHeight="1">
      <c r="A11" s="2" t="s">
        <v>90</v>
      </c>
      <c r="B11" s="25" t="s">
        <v>103</v>
      </c>
      <c r="C11" s="32">
        <v>0.45555555555555555</v>
      </c>
    </row>
    <row r="12" spans="1:13" ht="15.75" customHeight="1">
      <c r="A12" s="2" t="s">
        <v>91</v>
      </c>
      <c r="B12" s="25" t="s">
        <v>106</v>
      </c>
      <c r="C12" s="32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topLeftCell="A31" zoomScale="90" zoomScaleNormal="90" workbookViewId="0">
      <selection activeCell="A24" sqref="A24:XFD24"/>
    </sheetView>
  </sheetViews>
  <sheetFormatPr baseColWidth="10" defaultColWidth="14.42578125" defaultRowHeight="15.75" customHeight="1"/>
  <cols>
    <col min="3" max="3" width="9" customWidth="1"/>
    <col min="18" max="18" width="29.42578125" customWidth="1"/>
  </cols>
  <sheetData>
    <row r="1" spans="1:16" ht="12.75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33" t="s">
        <v>130</v>
      </c>
      <c r="O1" s="33"/>
    </row>
    <row r="2" spans="1:16" ht="14.25">
      <c r="A2" s="6" t="s">
        <v>37</v>
      </c>
      <c r="B2" s="26" t="s">
        <v>46</v>
      </c>
      <c r="C2" s="6">
        <v>1</v>
      </c>
      <c r="D2" s="6" t="str">
        <f t="shared" ref="D2:D33" si="0">_xlfn.TEXTJOIN("-",,B2,C2)</f>
        <v>P04-1</v>
      </c>
      <c r="E2" s="27" t="s">
        <v>123</v>
      </c>
      <c r="F2" s="29">
        <v>2.7083333333333334E-2</v>
      </c>
      <c r="G2" s="10"/>
      <c r="H2" s="10"/>
      <c r="I2" s="9"/>
      <c r="J2" s="9"/>
      <c r="K2" s="6"/>
      <c r="L2" s="10">
        <f t="shared" ref="L2:L177" si="1">H2-G2</f>
        <v>0</v>
      </c>
      <c r="M2" s="11">
        <f t="shared" ref="M2:M177" si="2">J2-I2</f>
        <v>0</v>
      </c>
      <c r="N2" s="12" t="str">
        <f>VLOOKUP(B2,Usergroups!$B$2:$D$12,3,)</f>
        <v>group3</v>
      </c>
      <c r="P2" s="28"/>
    </row>
    <row r="3" spans="1:16" ht="14.25">
      <c r="A3" s="6" t="s">
        <v>37</v>
      </c>
      <c r="B3" s="6" t="s">
        <v>46</v>
      </c>
      <c r="C3" s="6">
        <v>1</v>
      </c>
      <c r="D3" s="6" t="str">
        <f t="shared" si="0"/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1"/>
        <v>1.1111111111111113E-2</v>
      </c>
      <c r="M3" s="11">
        <f t="shared" si="2"/>
        <v>0</v>
      </c>
      <c r="N3" s="12" t="str">
        <f>VLOOKUP(B3,Usergroups!$B$2:$D$12,3,)</f>
        <v>group3</v>
      </c>
      <c r="P3" s="28"/>
    </row>
    <row r="4" spans="1:16" ht="14.25">
      <c r="A4" s="6" t="s">
        <v>37</v>
      </c>
      <c r="B4" s="6" t="s">
        <v>46</v>
      </c>
      <c r="C4" s="6">
        <v>1</v>
      </c>
      <c r="D4" s="6" t="str">
        <f t="shared" si="0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1"/>
        <v>0</v>
      </c>
      <c r="M4" s="11">
        <f t="shared" si="2"/>
        <v>9.0277777777777735E-3</v>
      </c>
      <c r="N4" s="12" t="str">
        <f>VLOOKUP(B4,Usergroups!$B$2:$D$12,3,)</f>
        <v>group3</v>
      </c>
      <c r="P4" s="28"/>
    </row>
    <row r="5" spans="1:16" ht="14.25">
      <c r="A5" s="6" t="s">
        <v>37</v>
      </c>
      <c r="B5" s="6" t="s">
        <v>46</v>
      </c>
      <c r="C5" s="6">
        <v>1</v>
      </c>
      <c r="D5" s="6" t="str">
        <f t="shared" si="0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1"/>
        <v>0</v>
      </c>
      <c r="M5" s="11">
        <f t="shared" si="2"/>
        <v>9.7222222222222224E-3</v>
      </c>
      <c r="N5" s="12" t="str">
        <f>VLOOKUP(B5,Usergroups!$B$2:$D$12,3,)</f>
        <v>group3</v>
      </c>
      <c r="P5" s="28"/>
    </row>
    <row r="6" spans="1:16" ht="14.25">
      <c r="A6" s="6" t="s">
        <v>37</v>
      </c>
      <c r="B6" s="6" t="s">
        <v>46</v>
      </c>
      <c r="C6" s="6">
        <v>1</v>
      </c>
      <c r="D6" s="6" t="str">
        <f t="shared" si="0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1"/>
        <v>5.5555555555555497E-3</v>
      </c>
      <c r="M6" s="10">
        <f t="shared" si="2"/>
        <v>0</v>
      </c>
      <c r="N6" s="12" t="str">
        <f>VLOOKUP(B6,Usergroups!$B$2:$D$12,3,)</f>
        <v>group3</v>
      </c>
      <c r="P6" s="28"/>
    </row>
    <row r="7" spans="1:16" ht="14.25">
      <c r="A7" s="6" t="s">
        <v>37</v>
      </c>
      <c r="B7" s="6" t="s">
        <v>46</v>
      </c>
      <c r="C7" s="6">
        <v>1</v>
      </c>
      <c r="D7" s="6" t="str">
        <f t="shared" si="0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1"/>
        <v>0</v>
      </c>
      <c r="M7" s="10">
        <f t="shared" si="2"/>
        <v>0</v>
      </c>
      <c r="N7" s="12" t="str">
        <f>VLOOKUP(B7,Usergroups!$B$2:$D$12,3,)</f>
        <v>group3</v>
      </c>
      <c r="P7" s="28"/>
    </row>
    <row r="8" spans="1:16" ht="14.25">
      <c r="A8" s="2" t="s">
        <v>37</v>
      </c>
      <c r="B8" s="2" t="s">
        <v>46</v>
      </c>
      <c r="C8" s="2">
        <v>2</v>
      </c>
      <c r="D8" s="6" t="str">
        <f t="shared" si="0"/>
        <v>P04-2</v>
      </c>
      <c r="E8" s="9" t="str">
        <f t="shared" si="3"/>
        <v>P04-2-Start</v>
      </c>
      <c r="F8" s="3">
        <v>9.0277777777777776E-2</v>
      </c>
      <c r="L8">
        <f t="shared" si="1"/>
        <v>0</v>
      </c>
      <c r="M8">
        <f t="shared" si="2"/>
        <v>0</v>
      </c>
      <c r="N8" s="12" t="str">
        <f>VLOOKUP(B8,Usergroups!$B$2:$D$12,3,)</f>
        <v>group3</v>
      </c>
      <c r="P8" s="28"/>
    </row>
    <row r="9" spans="1:16" ht="14.25">
      <c r="A9" s="2" t="s">
        <v>37</v>
      </c>
      <c r="B9" s="2" t="s">
        <v>46</v>
      </c>
      <c r="C9" s="2">
        <v>2</v>
      </c>
      <c r="D9" s="6" t="str">
        <f t="shared" si="0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1"/>
        <v>2.7777777777777818E-3</v>
      </c>
      <c r="M9">
        <f t="shared" si="2"/>
        <v>0</v>
      </c>
      <c r="N9" s="12" t="str">
        <f>VLOOKUP(B9,Usergroups!$B$2:$D$12,3,)</f>
        <v>group3</v>
      </c>
      <c r="P9" s="28"/>
    </row>
    <row r="10" spans="1:16" ht="14.25">
      <c r="A10" s="2" t="s">
        <v>37</v>
      </c>
      <c r="B10" s="2" t="s">
        <v>46</v>
      </c>
      <c r="C10" s="2">
        <v>2</v>
      </c>
      <c r="D10" s="6" t="str">
        <f t="shared" si="0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1"/>
        <v>0</v>
      </c>
      <c r="M10" s="7">
        <f t="shared" si="2"/>
        <v>9.0277777777777735E-3</v>
      </c>
      <c r="N10" s="12" t="str">
        <f>VLOOKUP(B10,Usergroups!$B$2:$D$12,3,)</f>
        <v>group3</v>
      </c>
      <c r="P10" s="28"/>
    </row>
    <row r="11" spans="1:16" ht="14.25">
      <c r="A11" s="2" t="s">
        <v>37</v>
      </c>
      <c r="B11" s="2" t="s">
        <v>46</v>
      </c>
      <c r="C11" s="2">
        <v>2</v>
      </c>
      <c r="D11" s="6" t="str">
        <f t="shared" si="0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1"/>
        <v>2.1527777777777785E-2</v>
      </c>
      <c r="M11">
        <f t="shared" si="2"/>
        <v>0</v>
      </c>
      <c r="N11" s="12" t="str">
        <f>VLOOKUP(B11,Usergroups!$B$2:$D$12,3,)</f>
        <v>group3</v>
      </c>
      <c r="P11" s="28"/>
    </row>
    <row r="12" spans="1:16" ht="14.25">
      <c r="A12" s="2" t="s">
        <v>37</v>
      </c>
      <c r="B12" s="2" t="s">
        <v>46</v>
      </c>
      <c r="C12" s="2">
        <v>2</v>
      </c>
      <c r="D12" s="6" t="str">
        <f t="shared" si="0"/>
        <v>P04-2</v>
      </c>
      <c r="E12" s="9" t="str">
        <f t="shared" si="3"/>
        <v>P04-2-End</v>
      </c>
      <c r="K12" s="3">
        <v>0.12361111111111112</v>
      </c>
      <c r="L12">
        <f t="shared" si="1"/>
        <v>0</v>
      </c>
      <c r="M12">
        <f t="shared" si="2"/>
        <v>0</v>
      </c>
      <c r="N12" s="12" t="str">
        <f>VLOOKUP(B12,Usergroups!$B$2:$D$12,3,)</f>
        <v>group3</v>
      </c>
      <c r="P12" s="28"/>
    </row>
    <row r="13" spans="1:16" ht="14.25">
      <c r="A13" s="6" t="s">
        <v>37</v>
      </c>
      <c r="B13" s="6" t="s">
        <v>46</v>
      </c>
      <c r="C13" s="6">
        <v>3</v>
      </c>
      <c r="D13" s="6" t="str">
        <f t="shared" si="0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1"/>
        <v>0</v>
      </c>
      <c r="M13" s="10">
        <f t="shared" si="2"/>
        <v>0</v>
      </c>
      <c r="N13" s="12" t="str">
        <f>VLOOKUP(B13,Usergroups!$B$2:$D$12,3,)</f>
        <v>group3</v>
      </c>
      <c r="P13" s="28"/>
    </row>
    <row r="14" spans="1:16" ht="14.25">
      <c r="A14" s="6" t="s">
        <v>37</v>
      </c>
      <c r="B14" s="6" t="s">
        <v>46</v>
      </c>
      <c r="C14" s="6">
        <v>3</v>
      </c>
      <c r="D14" s="6" t="str">
        <f t="shared" si="0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1"/>
        <v>3.4722222222222099E-3</v>
      </c>
      <c r="M14" s="10">
        <f t="shared" si="2"/>
        <v>0</v>
      </c>
      <c r="N14" s="12" t="str">
        <f>VLOOKUP(B14,Usergroups!$B$2:$D$12,3,)</f>
        <v>group3</v>
      </c>
      <c r="P14" s="28"/>
    </row>
    <row r="15" spans="1:16" ht="14.25">
      <c r="A15" s="6" t="s">
        <v>37</v>
      </c>
      <c r="B15" s="6" t="s">
        <v>46</v>
      </c>
      <c r="C15" s="6">
        <v>3</v>
      </c>
      <c r="D15" s="6" t="str">
        <f t="shared" si="0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1"/>
        <v>0</v>
      </c>
      <c r="M15" s="11">
        <f t="shared" si="2"/>
        <v>8.3333333333333592E-3</v>
      </c>
      <c r="N15" s="12" t="str">
        <f>VLOOKUP(B15,Usergroups!$B$2:$D$12,3,)</f>
        <v>group3</v>
      </c>
      <c r="P15" s="28"/>
    </row>
    <row r="16" spans="1:16" ht="14.25">
      <c r="A16" s="6" t="s">
        <v>37</v>
      </c>
      <c r="B16" s="6" t="s">
        <v>46</v>
      </c>
      <c r="C16" s="6">
        <v>3</v>
      </c>
      <c r="D16" s="6" t="str">
        <f t="shared" si="0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1"/>
        <v>9.6527777777777768E-2</v>
      </c>
      <c r="M16" s="10">
        <f t="shared" si="2"/>
        <v>0</v>
      </c>
      <c r="N16" s="12" t="str">
        <f>VLOOKUP(B16,Usergroups!$B$2:$D$12,3,)</f>
        <v>group3</v>
      </c>
      <c r="P16" s="28"/>
    </row>
    <row r="17" spans="1:16" ht="14.25">
      <c r="A17" s="6" t="s">
        <v>37</v>
      </c>
      <c r="B17" s="6" t="s">
        <v>46</v>
      </c>
      <c r="C17" s="6">
        <v>3</v>
      </c>
      <c r="D17" s="6" t="str">
        <f t="shared" si="0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1"/>
        <v>0</v>
      </c>
      <c r="M17" s="10">
        <f t="shared" si="2"/>
        <v>0</v>
      </c>
      <c r="N17" s="12" t="str">
        <f>VLOOKUP(B17,Usergroups!$B$2:$D$12,3,)</f>
        <v>group3</v>
      </c>
      <c r="P17" s="28"/>
    </row>
    <row r="18" spans="1:16" ht="14.25">
      <c r="A18" s="2" t="s">
        <v>54</v>
      </c>
      <c r="B18" s="2" t="s">
        <v>55</v>
      </c>
      <c r="C18" s="2">
        <v>1</v>
      </c>
      <c r="D18" s="6" t="str">
        <f t="shared" si="0"/>
        <v>P08-1</v>
      </c>
      <c r="E18" s="9" t="str">
        <f t="shared" si="3"/>
        <v>P08-1-Start</v>
      </c>
      <c r="F18" s="3">
        <v>2.361111111111111E-2</v>
      </c>
      <c r="L18">
        <f t="shared" si="1"/>
        <v>0</v>
      </c>
      <c r="M18">
        <f t="shared" si="2"/>
        <v>0</v>
      </c>
      <c r="N18" s="12" t="str">
        <f>VLOOKUP(B18,Usergroups!$B$2:$D$12,3,)</f>
        <v>group2</v>
      </c>
      <c r="P18" s="28"/>
    </row>
    <row r="19" spans="1:16" ht="14.25">
      <c r="A19" s="2" t="s">
        <v>54</v>
      </c>
      <c r="B19" s="2" t="s">
        <v>55</v>
      </c>
      <c r="C19" s="2">
        <v>1</v>
      </c>
      <c r="D19" s="6" t="str">
        <f t="shared" si="0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1"/>
        <v>9.3055555555555558E-2</v>
      </c>
      <c r="M19">
        <f t="shared" si="2"/>
        <v>0</v>
      </c>
      <c r="N19" s="12" t="str">
        <f>VLOOKUP(B19,Usergroups!$B$2:$D$12,3,)</f>
        <v>group2</v>
      </c>
      <c r="P19" s="28"/>
    </row>
    <row r="20" spans="1:16" ht="14.25">
      <c r="A20" s="2" t="s">
        <v>54</v>
      </c>
      <c r="B20" s="2" t="s">
        <v>55</v>
      </c>
      <c r="C20" s="2">
        <v>1</v>
      </c>
      <c r="D20" s="6" t="str">
        <f t="shared" si="0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1"/>
        <v>0</v>
      </c>
      <c r="M20" s="7">
        <f t="shared" si="2"/>
        <v>1.0416666666666657E-2</v>
      </c>
      <c r="N20" s="12" t="str">
        <f>VLOOKUP(B20,Usergroups!$B$2:$D$12,3,)</f>
        <v>group2</v>
      </c>
      <c r="P20" s="28"/>
    </row>
    <row r="21" spans="1:16" ht="14.25">
      <c r="A21" s="2" t="s">
        <v>54</v>
      </c>
      <c r="B21" s="2" t="s">
        <v>55</v>
      </c>
      <c r="C21" s="2">
        <v>1</v>
      </c>
      <c r="D21" s="6" t="str">
        <f t="shared" si="0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1"/>
        <v>2.0833333333333343E-2</v>
      </c>
      <c r="M21">
        <f t="shared" si="2"/>
        <v>0</v>
      </c>
      <c r="N21" s="12" t="str">
        <f>VLOOKUP(B21,Usergroups!$B$2:$D$12,3,)</f>
        <v>group2</v>
      </c>
      <c r="P21" s="28"/>
    </row>
    <row r="22" spans="1:16" ht="14.25">
      <c r="A22" s="2" t="s">
        <v>54</v>
      </c>
      <c r="B22" s="2" t="s">
        <v>55</v>
      </c>
      <c r="C22" s="2">
        <v>1</v>
      </c>
      <c r="D22" s="6" t="str">
        <f t="shared" si="0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1"/>
        <v>0</v>
      </c>
      <c r="M22" s="7">
        <f t="shared" si="2"/>
        <v>2.7777777777777762E-2</v>
      </c>
      <c r="N22" s="12" t="str">
        <f>VLOOKUP(B22,Usergroups!$B$2:$D$12,3,)</f>
        <v>group2</v>
      </c>
      <c r="P22" s="28"/>
    </row>
    <row r="23" spans="1:16" ht="14.25">
      <c r="A23" s="2" t="s">
        <v>54</v>
      </c>
      <c r="B23" s="2" t="s">
        <v>55</v>
      </c>
      <c r="C23" s="2">
        <v>1</v>
      </c>
      <c r="D23" s="6" t="str">
        <f t="shared" si="0"/>
        <v>P08-1</v>
      </c>
      <c r="E23" s="9" t="str">
        <f t="shared" si="3"/>
        <v>P08-1-End</v>
      </c>
      <c r="K23" s="3">
        <v>0.17569444444444443</v>
      </c>
      <c r="L23">
        <f t="shared" si="1"/>
        <v>0</v>
      </c>
      <c r="M23">
        <f t="shared" si="2"/>
        <v>0</v>
      </c>
      <c r="N23" s="12" t="str">
        <f>VLOOKUP(B23,Usergroups!$B$2:$D$12,3,)</f>
        <v>group2</v>
      </c>
      <c r="P23" s="28"/>
    </row>
    <row r="24" spans="1:16" ht="14.25">
      <c r="A24" s="6" t="s">
        <v>54</v>
      </c>
      <c r="B24" s="6" t="s">
        <v>55</v>
      </c>
      <c r="C24" s="6">
        <v>2</v>
      </c>
      <c r="D24" s="6" t="str">
        <f t="shared" si="0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1"/>
        <v>0</v>
      </c>
      <c r="M24" s="10">
        <f t="shared" si="2"/>
        <v>0</v>
      </c>
      <c r="N24" s="12" t="str">
        <f>VLOOKUP(B24,Usergroups!$B$2:$D$12,3,)</f>
        <v>group2</v>
      </c>
      <c r="P24" s="28"/>
    </row>
    <row r="25" spans="1:16" ht="14.25">
      <c r="A25" s="6" t="s">
        <v>54</v>
      </c>
      <c r="B25" s="6" t="s">
        <v>55</v>
      </c>
      <c r="C25" s="6">
        <v>2</v>
      </c>
      <c r="D25" s="6" t="str">
        <f t="shared" si="0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1"/>
        <v>0</v>
      </c>
      <c r="M25" s="11">
        <f t="shared" si="2"/>
        <v>6.2499999999999778E-3</v>
      </c>
      <c r="N25" s="12" t="str">
        <f>VLOOKUP(B25,Usergroups!$B$2:$D$12,3,)</f>
        <v>group2</v>
      </c>
      <c r="P25" s="28"/>
    </row>
    <row r="26" spans="1:16" ht="14.25">
      <c r="A26" s="6" t="s">
        <v>54</v>
      </c>
      <c r="B26" s="6" t="s">
        <v>55</v>
      </c>
      <c r="C26" s="6">
        <v>2</v>
      </c>
      <c r="D26" s="6" t="str">
        <f t="shared" si="0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1"/>
        <v>0</v>
      </c>
      <c r="M26" s="11">
        <f t="shared" si="2"/>
        <v>1.1805555555555569E-2</v>
      </c>
      <c r="N26" s="12" t="str">
        <f>VLOOKUP(B26,Usergroups!$B$2:$D$12,3,)</f>
        <v>group2</v>
      </c>
      <c r="P26" s="28"/>
    </row>
    <row r="27" spans="1:16" ht="14.25">
      <c r="A27" s="6" t="s">
        <v>54</v>
      </c>
      <c r="B27" s="6" t="s">
        <v>55</v>
      </c>
      <c r="C27" s="6">
        <v>2</v>
      </c>
      <c r="D27" s="6" t="str">
        <f t="shared" si="0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1"/>
        <v>6.5277777777777796E-2</v>
      </c>
      <c r="M27" s="10">
        <f t="shared" si="2"/>
        <v>0</v>
      </c>
      <c r="N27" s="12" t="str">
        <f>VLOOKUP(B27,Usergroups!$B$2:$D$12,3,)</f>
        <v>group2</v>
      </c>
      <c r="P27" s="28"/>
    </row>
    <row r="28" spans="1:16" ht="14.25">
      <c r="A28" s="6" t="s">
        <v>54</v>
      </c>
      <c r="B28" s="6" t="s">
        <v>55</v>
      </c>
      <c r="C28" s="6">
        <v>2</v>
      </c>
      <c r="D28" s="6" t="str">
        <f t="shared" si="0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1"/>
        <v>0</v>
      </c>
      <c r="M28" s="11">
        <f t="shared" si="2"/>
        <v>1.3194444444444398E-2</v>
      </c>
      <c r="N28" s="12" t="str">
        <f>VLOOKUP(B28,Usergroups!$B$2:$D$12,3,)</f>
        <v>group2</v>
      </c>
      <c r="P28" s="28"/>
    </row>
    <row r="29" spans="1:16" ht="14.25">
      <c r="A29" s="6" t="s">
        <v>54</v>
      </c>
      <c r="B29" s="6" t="s">
        <v>55</v>
      </c>
      <c r="C29" s="6">
        <v>2</v>
      </c>
      <c r="D29" s="6" t="str">
        <f t="shared" si="0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1"/>
        <v>0</v>
      </c>
      <c r="M29" s="10">
        <f t="shared" si="2"/>
        <v>0</v>
      </c>
      <c r="N29" s="12" t="str">
        <f>VLOOKUP(B29,Usergroups!$B$2:$D$12,3,)</f>
        <v>group2</v>
      </c>
      <c r="P29" s="28"/>
    </row>
    <row r="30" spans="1:16" ht="14.25">
      <c r="A30" s="2" t="s">
        <v>54</v>
      </c>
      <c r="B30" s="2" t="s">
        <v>55</v>
      </c>
      <c r="C30" s="2">
        <v>3</v>
      </c>
      <c r="D30" s="6" t="str">
        <f t="shared" si="0"/>
        <v>P08-3</v>
      </c>
      <c r="E30" s="9" t="str">
        <f t="shared" si="3"/>
        <v>P08-3-Start</v>
      </c>
      <c r="F30" s="3">
        <v>0.36041666666666666</v>
      </c>
      <c r="L30">
        <f t="shared" si="1"/>
        <v>0</v>
      </c>
      <c r="M30">
        <f t="shared" si="2"/>
        <v>0</v>
      </c>
      <c r="N30" s="12" t="str">
        <f>VLOOKUP(B30,Usergroups!$B$2:$D$12,3,)</f>
        <v>group2</v>
      </c>
      <c r="P30" s="28"/>
    </row>
    <row r="31" spans="1:16" ht="14.25">
      <c r="A31" s="2" t="s">
        <v>54</v>
      </c>
      <c r="B31" s="2" t="s">
        <v>55</v>
      </c>
      <c r="C31" s="2">
        <v>3</v>
      </c>
      <c r="D31" s="6" t="str">
        <f t="shared" si="0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1"/>
        <v>0</v>
      </c>
      <c r="M31" s="7">
        <f t="shared" si="2"/>
        <v>0.12847222222222221</v>
      </c>
      <c r="N31" s="12" t="str">
        <f>VLOOKUP(B31,Usergroups!$B$2:$D$12,3,)</f>
        <v>group2</v>
      </c>
      <c r="P31" s="28"/>
    </row>
    <row r="32" spans="1:16" ht="14.25">
      <c r="A32" s="2" t="s">
        <v>54</v>
      </c>
      <c r="B32" s="2" t="s">
        <v>55</v>
      </c>
      <c r="C32" s="2">
        <v>3</v>
      </c>
      <c r="D32" s="6" t="str">
        <f t="shared" si="0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1"/>
        <v>3.1944444444444497E-2</v>
      </c>
      <c r="M32">
        <f t="shared" si="2"/>
        <v>0</v>
      </c>
      <c r="N32" s="12" t="str">
        <f>VLOOKUP(B32,Usergroups!$B$2:$D$12,3,)</f>
        <v>group2</v>
      </c>
      <c r="P32" s="28"/>
    </row>
    <row r="33" spans="1:16" ht="14.25">
      <c r="A33" s="2" t="s">
        <v>54</v>
      </c>
      <c r="B33" s="2" t="s">
        <v>55</v>
      </c>
      <c r="C33" s="2">
        <v>3</v>
      </c>
      <c r="D33" s="6" t="str">
        <f t="shared" si="0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1"/>
        <v>0</v>
      </c>
      <c r="M33" s="7">
        <f t="shared" si="2"/>
        <v>8.3333333333333037E-3</v>
      </c>
      <c r="N33" s="12" t="str">
        <f>VLOOKUP(B33,Usergroups!$B$2:$D$12,3,)</f>
        <v>group2</v>
      </c>
      <c r="P33" s="28"/>
    </row>
    <row r="34" spans="1:16" ht="14.25">
      <c r="A34" s="2" t="s">
        <v>54</v>
      </c>
      <c r="B34" s="2" t="s">
        <v>55</v>
      </c>
      <c r="C34" s="2">
        <v>3</v>
      </c>
      <c r="D34" s="6" t="str">
        <f t="shared" ref="D34:D65" si="4">_xlfn.TEXTJOIN("-",,B34,C34)</f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1"/>
        <v>1.8750000000000044E-2</v>
      </c>
      <c r="M34">
        <f t="shared" si="2"/>
        <v>0</v>
      </c>
      <c r="N34" s="12" t="str">
        <f>VLOOKUP(B34,Usergroups!$B$2:$D$12,3,)</f>
        <v>group2</v>
      </c>
      <c r="P34" s="28"/>
    </row>
    <row r="35" spans="1:16" ht="14.25">
      <c r="A35" s="2" t="s">
        <v>54</v>
      </c>
      <c r="B35" s="2" t="s">
        <v>55</v>
      </c>
      <c r="C35" s="2">
        <v>3</v>
      </c>
      <c r="D35" s="6" t="str">
        <f t="shared" si="4"/>
        <v>P08-3</v>
      </c>
      <c r="E35" s="9" t="str">
        <f t="shared" si="3"/>
        <v>P08-3-End</v>
      </c>
      <c r="K35" s="3">
        <v>0.54791666666666672</v>
      </c>
      <c r="L35">
        <f t="shared" si="1"/>
        <v>0</v>
      </c>
      <c r="M35">
        <f t="shared" si="2"/>
        <v>0</v>
      </c>
      <c r="N35" s="12" t="str">
        <f>VLOOKUP(B35,Usergroups!$B$2:$D$12,3,)</f>
        <v>group2</v>
      </c>
      <c r="P35" s="28"/>
    </row>
    <row r="36" spans="1:16" ht="14.25">
      <c r="A36" s="6" t="s">
        <v>62</v>
      </c>
      <c r="B36" s="6" t="s">
        <v>61</v>
      </c>
      <c r="C36" s="6">
        <v>1</v>
      </c>
      <c r="D36" s="6" t="str">
        <f t="shared" si="4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1"/>
        <v>0</v>
      </c>
      <c r="M36" s="10">
        <f t="shared" si="2"/>
        <v>0</v>
      </c>
      <c r="N36" s="12" t="str">
        <f>VLOOKUP(B36,Usergroups!$B$2:$D$12,3,)</f>
        <v>group1</v>
      </c>
      <c r="P36" s="28"/>
    </row>
    <row r="37" spans="1:16" ht="14.25">
      <c r="A37" s="6" t="s">
        <v>62</v>
      </c>
      <c r="B37" s="6" t="s">
        <v>61</v>
      </c>
      <c r="C37" s="6">
        <v>1</v>
      </c>
      <c r="D37" s="6" t="str">
        <f t="shared" si="4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1"/>
        <v>6.6666666666666666E-2</v>
      </c>
      <c r="M37" s="10">
        <f t="shared" si="2"/>
        <v>0</v>
      </c>
      <c r="N37" s="12" t="str">
        <f>VLOOKUP(B37,Usergroups!$B$2:$D$12,3,)</f>
        <v>group1</v>
      </c>
      <c r="P37" s="28"/>
    </row>
    <row r="38" spans="1:16" ht="14.25">
      <c r="A38" s="6" t="s">
        <v>62</v>
      </c>
      <c r="B38" s="6" t="s">
        <v>61</v>
      </c>
      <c r="C38" s="6">
        <v>1</v>
      </c>
      <c r="D38" s="6" t="str">
        <f t="shared" si="4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1"/>
        <v>0</v>
      </c>
      <c r="M38" s="11">
        <f t="shared" si="2"/>
        <v>1.5277777777777779E-2</v>
      </c>
      <c r="N38" s="12" t="str">
        <f>VLOOKUP(B38,Usergroups!$B$2:$D$12,3,)</f>
        <v>group1</v>
      </c>
      <c r="P38" s="28"/>
    </row>
    <row r="39" spans="1:16" ht="14.25">
      <c r="A39" s="6" t="s">
        <v>62</v>
      </c>
      <c r="B39" s="6" t="s">
        <v>61</v>
      </c>
      <c r="C39" s="6">
        <v>1</v>
      </c>
      <c r="D39" s="6" t="str">
        <f t="shared" si="4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1"/>
        <v>4.6527777777777779E-2</v>
      </c>
      <c r="M39" s="10">
        <f t="shared" si="2"/>
        <v>0</v>
      </c>
      <c r="N39" s="12" t="str">
        <f>VLOOKUP(B39,Usergroups!$B$2:$D$12,3,)</f>
        <v>group1</v>
      </c>
    </row>
    <row r="40" spans="1:16" ht="14.25">
      <c r="A40" s="6" t="s">
        <v>62</v>
      </c>
      <c r="B40" s="6" t="s">
        <v>61</v>
      </c>
      <c r="C40" s="6">
        <v>1</v>
      </c>
      <c r="D40" s="6" t="str">
        <f t="shared" si="4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1"/>
        <v>0</v>
      </c>
      <c r="M40" s="10">
        <f t="shared" si="2"/>
        <v>0</v>
      </c>
      <c r="N40" s="12" t="str">
        <f>VLOOKUP(B40,Usergroups!$B$2:$D$12,3,)</f>
        <v>group1</v>
      </c>
    </row>
    <row r="41" spans="1:16" ht="14.25">
      <c r="A41" s="2" t="s">
        <v>62</v>
      </c>
      <c r="B41" s="2" t="s">
        <v>61</v>
      </c>
      <c r="C41" s="2">
        <v>2</v>
      </c>
      <c r="D41" s="6" t="str">
        <f t="shared" si="4"/>
        <v>P09-2</v>
      </c>
      <c r="E41" s="9" t="str">
        <f t="shared" si="3"/>
        <v>P09-2-Start</v>
      </c>
      <c r="F41" s="3">
        <v>0.18124999999999999</v>
      </c>
      <c r="L41">
        <f t="shared" si="1"/>
        <v>0</v>
      </c>
      <c r="M41">
        <f t="shared" si="2"/>
        <v>0</v>
      </c>
      <c r="N41" s="12" t="str">
        <f>VLOOKUP(B41,Usergroups!$B$2:$D$12,3,)</f>
        <v>group1</v>
      </c>
    </row>
    <row r="42" spans="1:16" ht="14.25">
      <c r="A42" s="2" t="s">
        <v>62</v>
      </c>
      <c r="B42" s="2" t="s">
        <v>61</v>
      </c>
      <c r="C42" s="2">
        <v>2</v>
      </c>
      <c r="D42" s="6" t="str">
        <f t="shared" si="4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1"/>
        <v>6.9444444444444475E-3</v>
      </c>
      <c r="M42">
        <f t="shared" si="2"/>
        <v>0</v>
      </c>
      <c r="N42" s="12" t="str">
        <f>VLOOKUP(B42,Usergroups!$B$2:$D$12,3,)</f>
        <v>group1</v>
      </c>
    </row>
    <row r="43" spans="1:16" ht="14.25">
      <c r="A43" s="2" t="s">
        <v>62</v>
      </c>
      <c r="B43" s="2" t="s">
        <v>61</v>
      </c>
      <c r="C43" s="2">
        <v>2</v>
      </c>
      <c r="D43" s="6" t="str">
        <f t="shared" si="4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1"/>
        <v>0</v>
      </c>
      <c r="M43" s="7">
        <f t="shared" si="2"/>
        <v>2.1527777777777785E-2</v>
      </c>
      <c r="N43" s="12" t="str">
        <f>VLOOKUP(B43,Usergroups!$B$2:$D$12,3,)</f>
        <v>group1</v>
      </c>
    </row>
    <row r="44" spans="1:16" ht="14.25">
      <c r="A44" s="2" t="s">
        <v>62</v>
      </c>
      <c r="B44" s="2" t="s">
        <v>61</v>
      </c>
      <c r="C44" s="2">
        <v>2</v>
      </c>
      <c r="D44" s="6" t="str">
        <f t="shared" si="4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1"/>
        <v>6.3194444444444414E-2</v>
      </c>
      <c r="M44">
        <f t="shared" si="2"/>
        <v>0</v>
      </c>
      <c r="N44" s="12" t="str">
        <f>VLOOKUP(B44,Usergroups!$B$2:$D$12,3,)</f>
        <v>group1</v>
      </c>
    </row>
    <row r="45" spans="1:16" ht="14.25">
      <c r="A45" s="2" t="s">
        <v>62</v>
      </c>
      <c r="B45" s="2" t="s">
        <v>61</v>
      </c>
      <c r="C45" s="2">
        <v>2</v>
      </c>
      <c r="D45" s="6" t="str">
        <f t="shared" si="4"/>
        <v>P09-2</v>
      </c>
      <c r="E45" s="9" t="str">
        <f t="shared" si="3"/>
        <v>P09-2-End</v>
      </c>
      <c r="K45" s="3">
        <v>0.27291666666666664</v>
      </c>
      <c r="L45">
        <f t="shared" si="1"/>
        <v>0</v>
      </c>
      <c r="M45">
        <f t="shared" si="2"/>
        <v>0</v>
      </c>
      <c r="N45" s="12" t="str">
        <f>VLOOKUP(B45,Usergroups!$B$2:$D$12,3,)</f>
        <v>group1</v>
      </c>
    </row>
    <row r="46" spans="1:16" ht="14.25">
      <c r="A46" s="6" t="s">
        <v>62</v>
      </c>
      <c r="B46" s="6" t="s">
        <v>61</v>
      </c>
      <c r="C46" s="6">
        <v>3</v>
      </c>
      <c r="D46" s="6" t="str">
        <f t="shared" si="4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1"/>
        <v>0</v>
      </c>
      <c r="M46" s="10">
        <f t="shared" si="2"/>
        <v>0</v>
      </c>
      <c r="N46" s="12" t="str">
        <f>VLOOKUP(B46,Usergroups!$B$2:$D$12,3,)</f>
        <v>group1</v>
      </c>
    </row>
    <row r="47" spans="1:16" ht="14.25">
      <c r="A47" s="6" t="s">
        <v>62</v>
      </c>
      <c r="B47" s="6" t="s">
        <v>61</v>
      </c>
      <c r="C47" s="6">
        <v>3</v>
      </c>
      <c r="D47" s="6" t="str">
        <f t="shared" si="4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1"/>
        <v>6.2500000000000333E-3</v>
      </c>
      <c r="M47" s="10">
        <f t="shared" si="2"/>
        <v>0</v>
      </c>
      <c r="N47" s="12" t="str">
        <f>VLOOKUP(B47,Usergroups!$B$2:$D$12,3,)</f>
        <v>group1</v>
      </c>
    </row>
    <row r="48" spans="1:16" ht="14.25">
      <c r="A48" s="6" t="s">
        <v>62</v>
      </c>
      <c r="B48" s="6" t="s">
        <v>61</v>
      </c>
      <c r="C48" s="6">
        <v>3</v>
      </c>
      <c r="D48" s="6" t="str">
        <f t="shared" si="4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1"/>
        <v>0</v>
      </c>
      <c r="M48" s="11">
        <f t="shared" si="2"/>
        <v>1.1111111111111072E-2</v>
      </c>
      <c r="N48" s="12" t="str">
        <f>VLOOKUP(B48,Usergroups!$B$2:$D$12,3,)</f>
        <v>group1</v>
      </c>
    </row>
    <row r="49" spans="1:14" ht="14.25">
      <c r="A49" s="6" t="s">
        <v>62</v>
      </c>
      <c r="B49" s="6" t="s">
        <v>61</v>
      </c>
      <c r="C49" s="6">
        <v>3</v>
      </c>
      <c r="D49" s="6" t="str">
        <f t="shared" si="4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1"/>
        <v>1.6666666666666663E-2</v>
      </c>
      <c r="M49" s="10">
        <f t="shared" si="2"/>
        <v>0</v>
      </c>
      <c r="N49" s="12" t="str">
        <f>VLOOKUP(B49,Usergroups!$B$2:$D$12,3,)</f>
        <v>group1</v>
      </c>
    </row>
    <row r="50" spans="1:14" ht="14.25">
      <c r="A50" s="6" t="s">
        <v>62</v>
      </c>
      <c r="B50" s="6" t="s">
        <v>61</v>
      </c>
      <c r="C50" s="6">
        <v>3</v>
      </c>
      <c r="D50" s="6" t="str">
        <f t="shared" si="4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1"/>
        <v>0</v>
      </c>
      <c r="M50" s="11">
        <f t="shared" si="2"/>
        <v>4.3750000000000011E-2</v>
      </c>
      <c r="N50" s="12" t="str">
        <f>VLOOKUP(B50,Usergroups!$B$2:$D$12,3,)</f>
        <v>group1</v>
      </c>
    </row>
    <row r="51" spans="1:14" ht="14.25">
      <c r="A51" s="6" t="s">
        <v>62</v>
      </c>
      <c r="B51" s="6" t="s">
        <v>61</v>
      </c>
      <c r="C51" s="6">
        <v>3</v>
      </c>
      <c r="D51" s="6" t="str">
        <f t="shared" si="4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1"/>
        <v>0</v>
      </c>
      <c r="M51" s="11">
        <f t="shared" si="2"/>
        <v>2.7777777777777679E-3</v>
      </c>
      <c r="N51" s="12" t="str">
        <f>VLOOKUP(B51,Usergroups!$B$2:$D$12,3,)</f>
        <v>group1</v>
      </c>
    </row>
    <row r="52" spans="1:14" ht="14.25">
      <c r="A52" s="6" t="s">
        <v>62</v>
      </c>
      <c r="B52" s="6" t="s">
        <v>61</v>
      </c>
      <c r="C52" s="6">
        <v>3</v>
      </c>
      <c r="D52" s="6" t="str">
        <f t="shared" si="4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1"/>
        <v>4.4444444444444453E-2</v>
      </c>
      <c r="M52" s="10">
        <f t="shared" si="2"/>
        <v>0</v>
      </c>
      <c r="N52" s="12" t="str">
        <f>VLOOKUP(B52,Usergroups!$B$2:$D$12,3,)</f>
        <v>group1</v>
      </c>
    </row>
    <row r="53" spans="1:14" ht="14.25">
      <c r="A53" s="6" t="s">
        <v>62</v>
      </c>
      <c r="B53" s="6" t="s">
        <v>61</v>
      </c>
      <c r="C53" s="6">
        <v>3</v>
      </c>
      <c r="D53" s="6" t="str">
        <f t="shared" si="4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1"/>
        <v>0</v>
      </c>
      <c r="M53" s="11">
        <f t="shared" si="2"/>
        <v>9.0277777777778012E-3</v>
      </c>
      <c r="N53" s="12" t="str">
        <f>VLOOKUP(B53,Usergroups!$B$2:$D$12,3,)</f>
        <v>group1</v>
      </c>
    </row>
    <row r="54" spans="1:14" ht="14.25">
      <c r="A54" s="6" t="s">
        <v>62</v>
      </c>
      <c r="B54" s="6" t="s">
        <v>61</v>
      </c>
      <c r="C54" s="6">
        <v>3</v>
      </c>
      <c r="D54" s="6" t="str">
        <f t="shared" si="4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1"/>
        <v>1.4583333333333337E-2</v>
      </c>
      <c r="M54" s="10">
        <f t="shared" si="2"/>
        <v>0</v>
      </c>
      <c r="N54" s="12" t="str">
        <f>VLOOKUP(B54,Usergroups!$B$2:$D$12,3,)</f>
        <v>group1</v>
      </c>
    </row>
    <row r="55" spans="1:14" ht="14.25">
      <c r="A55" s="6" t="s">
        <v>62</v>
      </c>
      <c r="B55" s="6" t="s">
        <v>61</v>
      </c>
      <c r="C55" s="6">
        <v>3</v>
      </c>
      <c r="D55" s="6" t="str">
        <f t="shared" si="4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1"/>
        <v>0</v>
      </c>
      <c r="M55" s="10">
        <f t="shared" si="2"/>
        <v>0</v>
      </c>
      <c r="N55" s="12" t="str">
        <f>VLOOKUP(B55,Usergroups!$B$2:$D$12,3,)</f>
        <v>group1</v>
      </c>
    </row>
    <row r="56" spans="1:14" ht="14.25">
      <c r="A56" s="2" t="s">
        <v>66</v>
      </c>
      <c r="B56" s="2" t="s">
        <v>65</v>
      </c>
      <c r="C56" s="2">
        <v>1</v>
      </c>
      <c r="D56" s="6" t="str">
        <f t="shared" si="4"/>
        <v>P05-1</v>
      </c>
      <c r="E56" s="9" t="str">
        <f t="shared" si="3"/>
        <v>P05-1-Start</v>
      </c>
      <c r="F56" s="3">
        <v>2.361111111111111E-2</v>
      </c>
      <c r="L56">
        <f t="shared" si="1"/>
        <v>0</v>
      </c>
      <c r="M56">
        <f t="shared" si="2"/>
        <v>0</v>
      </c>
      <c r="N56" s="12" t="str">
        <f>VLOOKUP(B56,Usergroups!$B$2:$D$12,3,)</f>
        <v>group3</v>
      </c>
    </row>
    <row r="57" spans="1:14" ht="14.25">
      <c r="A57" s="2" t="s">
        <v>66</v>
      </c>
      <c r="B57" s="2" t="s">
        <v>65</v>
      </c>
      <c r="C57" s="2">
        <v>1</v>
      </c>
      <c r="D57" s="6" t="str">
        <f t="shared" si="4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1"/>
        <v>1.3888888888888888E-2</v>
      </c>
      <c r="M57">
        <f t="shared" si="2"/>
        <v>0</v>
      </c>
      <c r="N57" s="12" t="str">
        <f>VLOOKUP(B57,Usergroups!$B$2:$D$12,3,)</f>
        <v>group3</v>
      </c>
    </row>
    <row r="58" spans="1:14" ht="14.25">
      <c r="A58" s="2" t="s">
        <v>66</v>
      </c>
      <c r="B58" s="2" t="s">
        <v>65</v>
      </c>
      <c r="C58" s="2">
        <v>1</v>
      </c>
      <c r="D58" s="6" t="str">
        <f t="shared" si="4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1"/>
        <v>0</v>
      </c>
      <c r="M58" s="7">
        <f t="shared" si="2"/>
        <v>1.3888888888888888E-2</v>
      </c>
      <c r="N58" s="12" t="str">
        <f>VLOOKUP(B58,Usergroups!$B$2:$D$12,3,)</f>
        <v>group3</v>
      </c>
    </row>
    <row r="59" spans="1:14" ht="14.25">
      <c r="A59" s="2" t="s">
        <v>66</v>
      </c>
      <c r="B59" s="2" t="s">
        <v>65</v>
      </c>
      <c r="C59" s="2">
        <v>1</v>
      </c>
      <c r="D59" s="6" t="str">
        <f t="shared" si="4"/>
        <v>P05-1</v>
      </c>
      <c r="E59" s="9" t="str">
        <f t="shared" si="3"/>
        <v>P05-1-End</v>
      </c>
      <c r="K59" s="3">
        <v>5.1388888888888887E-2</v>
      </c>
      <c r="L59">
        <f t="shared" si="1"/>
        <v>0</v>
      </c>
      <c r="M59">
        <f t="shared" si="2"/>
        <v>0</v>
      </c>
      <c r="N59" s="12" t="str">
        <f>VLOOKUP(B59,Usergroups!$B$2:$D$12,3,)</f>
        <v>group3</v>
      </c>
    </row>
    <row r="60" spans="1:14" ht="14.25">
      <c r="A60" s="6" t="s">
        <v>66</v>
      </c>
      <c r="B60" s="6" t="s">
        <v>65</v>
      </c>
      <c r="C60" s="6">
        <v>2</v>
      </c>
      <c r="D60" s="6" t="str">
        <f t="shared" si="4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1"/>
        <v>0</v>
      </c>
      <c r="M60" s="10">
        <f t="shared" si="2"/>
        <v>0</v>
      </c>
      <c r="N60" s="12" t="str">
        <f>VLOOKUP(B60,Usergroups!$B$2:$D$12,3,)</f>
        <v>group3</v>
      </c>
    </row>
    <row r="61" spans="1:14" ht="14.25">
      <c r="A61" s="6" t="s">
        <v>66</v>
      </c>
      <c r="B61" s="6" t="s">
        <v>65</v>
      </c>
      <c r="C61" s="6">
        <v>2</v>
      </c>
      <c r="D61" s="6" t="str">
        <f t="shared" si="4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1"/>
        <v>0</v>
      </c>
      <c r="M61" s="11">
        <f t="shared" si="2"/>
        <v>1.1805555555555555E-2</v>
      </c>
      <c r="N61" s="12" t="str">
        <f>VLOOKUP(B61,Usergroups!$B$2:$D$12,3,)</f>
        <v>group3</v>
      </c>
    </row>
    <row r="62" spans="1:14" ht="14.25">
      <c r="A62" s="6" t="s">
        <v>66</v>
      </c>
      <c r="B62" s="6" t="s">
        <v>65</v>
      </c>
      <c r="C62" s="6">
        <v>2</v>
      </c>
      <c r="D62" s="6" t="str">
        <f t="shared" si="4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1"/>
        <v>6.5972222222222224E-2</v>
      </c>
      <c r="M62" s="10">
        <f t="shared" si="2"/>
        <v>0</v>
      </c>
      <c r="N62" s="12" t="str">
        <f>VLOOKUP(B62,Usergroups!$B$2:$D$12,3,)</f>
        <v>group3</v>
      </c>
    </row>
    <row r="63" spans="1:14" ht="14.25">
      <c r="A63" s="6" t="s">
        <v>66</v>
      </c>
      <c r="B63" s="6" t="s">
        <v>65</v>
      </c>
      <c r="C63" s="6">
        <v>2</v>
      </c>
      <c r="D63" s="6" t="str">
        <f t="shared" si="4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1"/>
        <v>0</v>
      </c>
      <c r="M63" s="10">
        <f t="shared" si="2"/>
        <v>0</v>
      </c>
      <c r="N63" s="12" t="str">
        <f>VLOOKUP(B63,Usergroups!$B$2:$D$12,3,)</f>
        <v>group3</v>
      </c>
    </row>
    <row r="64" spans="1:14" ht="14.25">
      <c r="A64" s="2" t="s">
        <v>66</v>
      </c>
      <c r="B64" s="2" t="s">
        <v>65</v>
      </c>
      <c r="C64" s="2">
        <v>3</v>
      </c>
      <c r="D64" s="6" t="str">
        <f t="shared" si="4"/>
        <v>P05-3</v>
      </c>
      <c r="E64" s="9" t="str">
        <f t="shared" si="3"/>
        <v>P05-3-Start</v>
      </c>
      <c r="F64" s="3">
        <v>0.18333333333333332</v>
      </c>
      <c r="L64">
        <f t="shared" si="1"/>
        <v>0</v>
      </c>
      <c r="M64">
        <f t="shared" si="2"/>
        <v>0</v>
      </c>
      <c r="N64" s="12" t="str">
        <f>VLOOKUP(B64,Usergroups!$B$2:$D$12,3,)</f>
        <v>group3</v>
      </c>
    </row>
    <row r="65" spans="1:14" ht="14.25">
      <c r="A65" s="2" t="s">
        <v>66</v>
      </c>
      <c r="B65" s="2" t="s">
        <v>65</v>
      </c>
      <c r="C65" s="2">
        <v>3</v>
      </c>
      <c r="D65" s="6" t="str">
        <f t="shared" si="4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1"/>
        <v>6.9444444444444475E-3</v>
      </c>
      <c r="M65">
        <f t="shared" si="2"/>
        <v>0</v>
      </c>
      <c r="N65" s="12" t="str">
        <f>VLOOKUP(B65,Usergroups!$B$2:$D$12,3,)</f>
        <v>group3</v>
      </c>
    </row>
    <row r="66" spans="1:14" ht="14.25">
      <c r="A66" s="2" t="s">
        <v>66</v>
      </c>
      <c r="B66" s="2" t="s">
        <v>65</v>
      </c>
      <c r="C66" s="2">
        <v>3</v>
      </c>
      <c r="D66" s="6" t="str">
        <f t="shared" ref="D66:D97" si="5">_xlfn.TEXTJOIN("-",,B66,C66)</f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1"/>
        <v>0</v>
      </c>
      <c r="M66" s="7">
        <f t="shared" si="2"/>
        <v>7.6388888888888895E-3</v>
      </c>
      <c r="N66" s="12" t="str">
        <f>VLOOKUP(B66,Usergroups!$B$2:$D$12,3,)</f>
        <v>group3</v>
      </c>
    </row>
    <row r="67" spans="1:14" ht="14.25">
      <c r="A67" s="2" t="s">
        <v>66</v>
      </c>
      <c r="B67" s="2" t="s">
        <v>65</v>
      </c>
      <c r="C67" s="2">
        <v>3</v>
      </c>
      <c r="D67" s="6" t="str">
        <f t="shared" si="5"/>
        <v>P05-3</v>
      </c>
      <c r="E67" s="9" t="str">
        <f t="shared" ref="E67:E130" si="6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1"/>
        <v>0.1361111111111111</v>
      </c>
      <c r="M67">
        <f t="shared" si="2"/>
        <v>0</v>
      </c>
      <c r="N67" s="12" t="str">
        <f>VLOOKUP(B67,Usergroups!$B$2:$D$12,3,)</f>
        <v>group3</v>
      </c>
    </row>
    <row r="68" spans="1:14" ht="14.25">
      <c r="A68" s="2" t="s">
        <v>66</v>
      </c>
      <c r="B68" s="2" t="s">
        <v>65</v>
      </c>
      <c r="C68" s="2">
        <v>3</v>
      </c>
      <c r="D68" s="6" t="str">
        <f t="shared" si="5"/>
        <v>P05-3</v>
      </c>
      <c r="E68" s="9" t="str">
        <f t="shared" si="6"/>
        <v>P05-3-End</v>
      </c>
      <c r="K68" s="3">
        <v>0.33402777777777776</v>
      </c>
      <c r="L68">
        <f t="shared" si="1"/>
        <v>0</v>
      </c>
      <c r="M68">
        <f t="shared" si="2"/>
        <v>0</v>
      </c>
      <c r="N68" s="12" t="str">
        <f>VLOOKUP(B68,Usergroups!$B$2:$D$12,3,)</f>
        <v>group3</v>
      </c>
    </row>
    <row r="69" spans="1:14" ht="14.25">
      <c r="A69" s="6" t="s">
        <v>72</v>
      </c>
      <c r="B69" s="6" t="s">
        <v>71</v>
      </c>
      <c r="C69" s="6">
        <v>1</v>
      </c>
      <c r="D69" s="6" t="str">
        <f t="shared" si="5"/>
        <v>P10-1</v>
      </c>
      <c r="E69" s="9" t="str">
        <f t="shared" si="6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1"/>
        <v>0</v>
      </c>
      <c r="M69" s="10">
        <f t="shared" si="2"/>
        <v>0</v>
      </c>
      <c r="N69" s="12" t="str">
        <f>VLOOKUP(B69,Usergroups!$B$2:$D$12,3,)</f>
        <v>group1</v>
      </c>
    </row>
    <row r="70" spans="1:14" ht="14.25">
      <c r="A70" s="6" t="s">
        <v>72</v>
      </c>
      <c r="B70" s="6" t="s">
        <v>71</v>
      </c>
      <c r="C70" s="6">
        <v>1</v>
      </c>
      <c r="D70" s="6" t="str">
        <f t="shared" si="5"/>
        <v>P10-1</v>
      </c>
      <c r="E70" s="9" t="str">
        <f t="shared" si="6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1"/>
        <v>4.8611111111111119E-2</v>
      </c>
      <c r="M70" s="10">
        <f t="shared" si="2"/>
        <v>0</v>
      </c>
      <c r="N70" s="12" t="str">
        <f>VLOOKUP(B70,Usergroups!$B$2:$D$12,3,)</f>
        <v>group1</v>
      </c>
    </row>
    <row r="71" spans="1:14" ht="14.25">
      <c r="A71" s="6" t="s">
        <v>72</v>
      </c>
      <c r="B71" s="6" t="s">
        <v>71</v>
      </c>
      <c r="C71" s="6">
        <v>1</v>
      </c>
      <c r="D71" s="6" t="str">
        <f t="shared" si="5"/>
        <v>P10-1</v>
      </c>
      <c r="E71" s="9" t="str">
        <f t="shared" si="6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1"/>
        <v>0</v>
      </c>
      <c r="M71" s="11">
        <f t="shared" si="2"/>
        <v>1.8055555555555547E-2</v>
      </c>
      <c r="N71" s="12" t="str">
        <f>VLOOKUP(B71,Usergroups!$B$2:$D$12,3,)</f>
        <v>group1</v>
      </c>
    </row>
    <row r="72" spans="1:14" ht="14.25">
      <c r="A72" s="6" t="s">
        <v>72</v>
      </c>
      <c r="B72" s="6" t="s">
        <v>71</v>
      </c>
      <c r="C72" s="6">
        <v>1</v>
      </c>
      <c r="D72" s="6" t="str">
        <f t="shared" si="5"/>
        <v>P10-1</v>
      </c>
      <c r="E72" s="9" t="str">
        <f t="shared" si="6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1"/>
        <v>0</v>
      </c>
      <c r="M72" s="10">
        <f t="shared" si="2"/>
        <v>0</v>
      </c>
      <c r="N72" s="12" t="str">
        <f>VLOOKUP(B72,Usergroups!$B$2:$D$12,3,)</f>
        <v>group1</v>
      </c>
    </row>
    <row r="73" spans="1:14" ht="14.25">
      <c r="A73" s="2" t="s">
        <v>72</v>
      </c>
      <c r="B73" s="2" t="s">
        <v>71</v>
      </c>
      <c r="C73" s="2">
        <v>2</v>
      </c>
      <c r="D73" s="6" t="str">
        <f t="shared" si="5"/>
        <v>P10-2</v>
      </c>
      <c r="E73" s="9" t="str">
        <f t="shared" si="6"/>
        <v>P10-2-Start</v>
      </c>
      <c r="F73" s="3">
        <v>0.13263888888888889</v>
      </c>
      <c r="L73">
        <f t="shared" si="1"/>
        <v>0</v>
      </c>
      <c r="M73">
        <f t="shared" si="2"/>
        <v>0</v>
      </c>
      <c r="N73" s="12" t="str">
        <f>VLOOKUP(B73,Usergroups!$B$2:$D$12,3,)</f>
        <v>group1</v>
      </c>
    </row>
    <row r="74" spans="1:14" ht="14.25">
      <c r="A74" s="2" t="s">
        <v>72</v>
      </c>
      <c r="B74" s="2" t="s">
        <v>71</v>
      </c>
      <c r="C74" s="2">
        <v>2</v>
      </c>
      <c r="D74" s="6" t="str">
        <f t="shared" si="5"/>
        <v>P10-2</v>
      </c>
      <c r="E74" s="9" t="str">
        <f t="shared" si="6"/>
        <v>---</v>
      </c>
      <c r="I74" s="3">
        <v>0.13263888888888889</v>
      </c>
      <c r="J74" s="3">
        <v>0.1388888888888889</v>
      </c>
      <c r="L74">
        <f t="shared" si="1"/>
        <v>0</v>
      </c>
      <c r="M74" s="7">
        <f t="shared" si="2"/>
        <v>6.2500000000000056E-3</v>
      </c>
      <c r="N74" s="12" t="str">
        <f>VLOOKUP(B74,Usergroups!$B$2:$D$12,3,)</f>
        <v>group1</v>
      </c>
    </row>
    <row r="75" spans="1:14" ht="14.25">
      <c r="A75" s="2" t="s">
        <v>72</v>
      </c>
      <c r="B75" s="2" t="s">
        <v>71</v>
      </c>
      <c r="C75" s="2">
        <v>2</v>
      </c>
      <c r="D75" s="6" t="str">
        <f t="shared" si="5"/>
        <v>P10-2</v>
      </c>
      <c r="E75" s="9" t="str">
        <f t="shared" si="6"/>
        <v>---</v>
      </c>
      <c r="I75" s="3">
        <v>0.14722222222222223</v>
      </c>
      <c r="J75" s="3">
        <v>0.15416666666666667</v>
      </c>
      <c r="L75">
        <f t="shared" si="1"/>
        <v>0</v>
      </c>
      <c r="M75" s="7">
        <f t="shared" si="2"/>
        <v>6.9444444444444475E-3</v>
      </c>
      <c r="N75" s="12" t="str">
        <f>VLOOKUP(B75,Usergroups!$B$2:$D$12,3,)</f>
        <v>group1</v>
      </c>
    </row>
    <row r="76" spans="1:14" ht="14.25">
      <c r="A76" s="2" t="s">
        <v>72</v>
      </c>
      <c r="B76" s="2" t="s">
        <v>71</v>
      </c>
      <c r="C76" s="2">
        <v>2</v>
      </c>
      <c r="D76" s="6" t="str">
        <f t="shared" si="5"/>
        <v>P10-2</v>
      </c>
      <c r="E76" s="9" t="str">
        <f t="shared" si="6"/>
        <v>---</v>
      </c>
      <c r="G76" s="3">
        <v>0.15416666666666667</v>
      </c>
      <c r="H76" s="3">
        <v>0.19652777777777777</v>
      </c>
      <c r="L76" s="7">
        <f t="shared" si="1"/>
        <v>4.2361111111111099E-2</v>
      </c>
      <c r="M76">
        <f t="shared" si="2"/>
        <v>0</v>
      </c>
      <c r="N76" s="12" t="str">
        <f>VLOOKUP(B76,Usergroups!$B$2:$D$12,3,)</f>
        <v>group1</v>
      </c>
    </row>
    <row r="77" spans="1:14" ht="14.25">
      <c r="A77" s="2" t="s">
        <v>72</v>
      </c>
      <c r="B77" s="2" t="s">
        <v>71</v>
      </c>
      <c r="C77" s="2">
        <v>2</v>
      </c>
      <c r="D77" s="6" t="str">
        <f t="shared" si="5"/>
        <v>P10-2</v>
      </c>
      <c r="E77" s="9" t="str">
        <f t="shared" si="6"/>
        <v>---</v>
      </c>
      <c r="I77" s="3">
        <v>0.19652777777777777</v>
      </c>
      <c r="J77" s="3">
        <v>0.2048611111111111</v>
      </c>
      <c r="L77">
        <f t="shared" si="1"/>
        <v>0</v>
      </c>
      <c r="M77" s="7">
        <f t="shared" si="2"/>
        <v>8.3333333333333315E-3</v>
      </c>
      <c r="N77" s="12" t="str">
        <f>VLOOKUP(B77,Usergroups!$B$2:$D$12,3,)</f>
        <v>group1</v>
      </c>
    </row>
    <row r="78" spans="1:14" ht="14.25">
      <c r="A78" s="2" t="s">
        <v>72</v>
      </c>
      <c r="B78" s="2" t="s">
        <v>71</v>
      </c>
      <c r="C78" s="2">
        <v>2</v>
      </c>
      <c r="D78" s="6" t="str">
        <f t="shared" si="5"/>
        <v>P10-2</v>
      </c>
      <c r="E78" s="9" t="str">
        <f t="shared" si="6"/>
        <v>P10-2-End</v>
      </c>
      <c r="K78" s="3">
        <v>0.2048611111111111</v>
      </c>
      <c r="L78">
        <f t="shared" si="1"/>
        <v>0</v>
      </c>
      <c r="M78">
        <f t="shared" si="2"/>
        <v>0</v>
      </c>
      <c r="N78" s="12" t="str">
        <f>VLOOKUP(B78,Usergroups!$B$2:$D$12,3,)</f>
        <v>group1</v>
      </c>
    </row>
    <row r="79" spans="1:14" ht="14.25">
      <c r="A79" s="2" t="s">
        <v>72</v>
      </c>
      <c r="B79" s="2" t="s">
        <v>71</v>
      </c>
      <c r="C79" s="2">
        <v>3</v>
      </c>
      <c r="D79" s="6" t="str">
        <f t="shared" si="5"/>
        <v>P10-3</v>
      </c>
      <c r="E79" s="9" t="str">
        <f t="shared" si="6"/>
        <v>P10-3-Start</v>
      </c>
      <c r="F79" s="3">
        <v>0.24236111111111111</v>
      </c>
      <c r="L79">
        <f t="shared" si="1"/>
        <v>0</v>
      </c>
      <c r="M79">
        <f t="shared" si="2"/>
        <v>0</v>
      </c>
      <c r="N79" s="12" t="str">
        <f>VLOOKUP(B79,Usergroups!$B$2:$D$12,3,)</f>
        <v>group1</v>
      </c>
    </row>
    <row r="80" spans="1:14" ht="14.25">
      <c r="A80" s="6" t="s">
        <v>72</v>
      </c>
      <c r="B80" s="6" t="s">
        <v>71</v>
      </c>
      <c r="C80" s="6">
        <v>3</v>
      </c>
      <c r="D80" s="6" t="str">
        <f t="shared" si="5"/>
        <v>P10-3</v>
      </c>
      <c r="E80" s="9" t="str">
        <f t="shared" si="6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1"/>
        <v>0</v>
      </c>
      <c r="M80" s="11">
        <f t="shared" si="2"/>
        <v>5.5555555555555636E-3</v>
      </c>
      <c r="N80" s="12" t="str">
        <f>VLOOKUP(B80,Usergroups!$B$2:$D$12,3,)</f>
        <v>group1</v>
      </c>
    </row>
    <row r="81" spans="1:14" ht="14.25">
      <c r="A81" s="6" t="s">
        <v>72</v>
      </c>
      <c r="B81" s="6" t="s">
        <v>71</v>
      </c>
      <c r="C81" s="6">
        <v>3</v>
      </c>
      <c r="D81" s="6" t="str">
        <f t="shared" si="5"/>
        <v>P10-3</v>
      </c>
      <c r="E81" s="9" t="str">
        <f t="shared" si="6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1"/>
        <v>0.21458333333333335</v>
      </c>
      <c r="M81" s="10">
        <f t="shared" si="2"/>
        <v>0</v>
      </c>
      <c r="N81" s="12" t="str">
        <f>VLOOKUP(B81,Usergroups!$B$2:$D$12,3,)</f>
        <v>group1</v>
      </c>
    </row>
    <row r="82" spans="1:14" ht="14.25">
      <c r="A82" s="6" t="s">
        <v>72</v>
      </c>
      <c r="B82" s="6" t="s">
        <v>71</v>
      </c>
      <c r="C82" s="6">
        <v>3</v>
      </c>
      <c r="D82" s="6" t="str">
        <f t="shared" si="5"/>
        <v>P10-3</v>
      </c>
      <c r="E82" s="9" t="str">
        <f t="shared" si="6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1"/>
        <v>0</v>
      </c>
      <c r="M82" s="10">
        <f t="shared" si="2"/>
        <v>0</v>
      </c>
      <c r="N82" s="12" t="str">
        <f>VLOOKUP(B82,Usergroups!$B$2:$D$12,3,)</f>
        <v>group1</v>
      </c>
    </row>
    <row r="83" spans="1:14" ht="14.25">
      <c r="A83" s="2" t="s">
        <v>81</v>
      </c>
      <c r="B83" s="2" t="s">
        <v>80</v>
      </c>
      <c r="C83" s="2">
        <v>1</v>
      </c>
      <c r="D83" s="6" t="str">
        <f t="shared" si="5"/>
        <v>P12-1</v>
      </c>
      <c r="E83" s="9" t="str">
        <f t="shared" si="6"/>
        <v>P12-1-Start</v>
      </c>
      <c r="F83" s="3">
        <v>2.7083333333333334E-2</v>
      </c>
      <c r="L83">
        <f t="shared" si="1"/>
        <v>0</v>
      </c>
      <c r="M83">
        <f t="shared" si="2"/>
        <v>0</v>
      </c>
      <c r="N83" s="12" t="str">
        <f>VLOOKUP(B83,Usergroups!$B$2:$D$12,3,)</f>
        <v>group1</v>
      </c>
    </row>
    <row r="84" spans="1:14" ht="14.25">
      <c r="A84" s="2" t="s">
        <v>81</v>
      </c>
      <c r="B84" s="2" t="s">
        <v>80</v>
      </c>
      <c r="C84" s="2">
        <v>1</v>
      </c>
      <c r="D84" s="6" t="str">
        <f t="shared" si="5"/>
        <v>P12-1</v>
      </c>
      <c r="E84" s="9" t="str">
        <f t="shared" si="6"/>
        <v>---</v>
      </c>
      <c r="G84" s="3">
        <v>2.7083333333333334E-2</v>
      </c>
      <c r="H84" s="3">
        <v>6.3888888888888884E-2</v>
      </c>
      <c r="L84" s="7">
        <f t="shared" si="1"/>
        <v>3.680555555555555E-2</v>
      </c>
      <c r="M84">
        <f t="shared" si="2"/>
        <v>0</v>
      </c>
      <c r="N84" s="12" t="str">
        <f>VLOOKUP(B84,Usergroups!$B$2:$D$12,3,)</f>
        <v>group1</v>
      </c>
    </row>
    <row r="85" spans="1:14" ht="14.25">
      <c r="A85" s="2" t="s">
        <v>81</v>
      </c>
      <c r="B85" s="2" t="s">
        <v>80</v>
      </c>
      <c r="C85" s="2">
        <v>1</v>
      </c>
      <c r="D85" s="6" t="str">
        <f t="shared" si="5"/>
        <v>P12-1</v>
      </c>
      <c r="E85" s="9" t="str">
        <f t="shared" si="6"/>
        <v>---</v>
      </c>
      <c r="I85" s="3">
        <v>6.3888888888888884E-2</v>
      </c>
      <c r="J85" s="3">
        <v>7.2222222222222215E-2</v>
      </c>
      <c r="L85">
        <f t="shared" si="1"/>
        <v>0</v>
      </c>
      <c r="M85" s="7">
        <f t="shared" si="2"/>
        <v>8.3333333333333315E-3</v>
      </c>
      <c r="N85" s="12" t="str">
        <f>VLOOKUP(B85,Usergroups!$B$2:$D$12,3,)</f>
        <v>group1</v>
      </c>
    </row>
    <row r="86" spans="1:14" ht="14.25">
      <c r="A86" s="2" t="s">
        <v>81</v>
      </c>
      <c r="B86" s="2" t="s">
        <v>80</v>
      </c>
      <c r="C86" s="2">
        <v>1</v>
      </c>
      <c r="D86" s="6" t="str">
        <f t="shared" si="5"/>
        <v>P12-1</v>
      </c>
      <c r="E86" s="9" t="str">
        <f t="shared" si="6"/>
        <v>---</v>
      </c>
      <c r="I86" s="3">
        <v>8.4722222222222227E-2</v>
      </c>
      <c r="J86" s="3">
        <v>0.10972222222222222</v>
      </c>
      <c r="L86">
        <f t="shared" si="1"/>
        <v>0</v>
      </c>
      <c r="M86" s="7">
        <f t="shared" si="2"/>
        <v>2.4999999999999994E-2</v>
      </c>
      <c r="N86" s="12" t="str">
        <f>VLOOKUP(B86,Usergroups!$B$2:$D$12,3,)</f>
        <v>group1</v>
      </c>
    </row>
    <row r="87" spans="1:14" ht="14.25">
      <c r="A87" s="2" t="s">
        <v>81</v>
      </c>
      <c r="B87" s="2" t="s">
        <v>80</v>
      </c>
      <c r="C87" s="2">
        <v>1</v>
      </c>
      <c r="D87" s="6" t="str">
        <f t="shared" si="5"/>
        <v>P12-1</v>
      </c>
      <c r="E87" s="9" t="str">
        <f t="shared" si="6"/>
        <v>P12-1-End</v>
      </c>
      <c r="K87" s="3">
        <v>0.10972222222222222</v>
      </c>
      <c r="L87">
        <f t="shared" si="1"/>
        <v>0</v>
      </c>
      <c r="M87">
        <f t="shared" si="2"/>
        <v>0</v>
      </c>
      <c r="N87" s="12" t="str">
        <f>VLOOKUP(B87,Usergroups!$B$2:$D$12,3,)</f>
        <v>group1</v>
      </c>
    </row>
    <row r="88" spans="1:14" ht="14.25">
      <c r="A88" s="6" t="s">
        <v>81</v>
      </c>
      <c r="B88" s="6" t="s">
        <v>80</v>
      </c>
      <c r="C88" s="6">
        <v>2</v>
      </c>
      <c r="D88" s="6" t="str">
        <f t="shared" si="5"/>
        <v>P12-2</v>
      </c>
      <c r="E88" s="9" t="str">
        <f t="shared" si="6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1"/>
        <v>0</v>
      </c>
      <c r="M88" s="10">
        <f t="shared" si="2"/>
        <v>0</v>
      </c>
      <c r="N88" s="12" t="str">
        <f>VLOOKUP(B88,Usergroups!$B$2:$D$12,3,)</f>
        <v>group1</v>
      </c>
    </row>
    <row r="89" spans="1:14" ht="14.25">
      <c r="A89" s="6" t="s">
        <v>81</v>
      </c>
      <c r="B89" s="6" t="s">
        <v>80</v>
      </c>
      <c r="C89" s="6">
        <v>2</v>
      </c>
      <c r="D89" s="6" t="str">
        <f t="shared" si="5"/>
        <v>P12-2</v>
      </c>
      <c r="E89" s="9" t="str">
        <f t="shared" si="6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1"/>
        <v>0</v>
      </c>
      <c r="M89" s="11">
        <f t="shared" si="2"/>
        <v>3.2638888888888912E-2</v>
      </c>
      <c r="N89" s="12" t="str">
        <f>VLOOKUP(B89,Usergroups!$B$2:$D$12,3,)</f>
        <v>group1</v>
      </c>
    </row>
    <row r="90" spans="1:14" ht="14.25">
      <c r="A90" s="6" t="s">
        <v>81</v>
      </c>
      <c r="B90" s="6" t="s">
        <v>80</v>
      </c>
      <c r="C90" s="6">
        <v>2</v>
      </c>
      <c r="D90" s="6" t="str">
        <f t="shared" si="5"/>
        <v>P12-2</v>
      </c>
      <c r="E90" s="9" t="str">
        <f t="shared" si="6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1"/>
        <v>7.6388888888888895E-3</v>
      </c>
      <c r="M90" s="10">
        <f t="shared" si="2"/>
        <v>0</v>
      </c>
      <c r="N90" s="12" t="str">
        <f>VLOOKUP(B90,Usergroups!$B$2:$D$12,3,)</f>
        <v>group1</v>
      </c>
    </row>
    <row r="91" spans="1:14" ht="14.25">
      <c r="A91" s="6" t="s">
        <v>81</v>
      </c>
      <c r="B91" s="6" t="s">
        <v>80</v>
      </c>
      <c r="C91" s="6">
        <v>2</v>
      </c>
      <c r="D91" s="6" t="str">
        <f t="shared" si="5"/>
        <v>P12-2</v>
      </c>
      <c r="E91" s="9" t="str">
        <f t="shared" si="6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1"/>
        <v>0</v>
      </c>
      <c r="M91" s="11">
        <f t="shared" si="2"/>
        <v>2.361111111111111E-2</v>
      </c>
      <c r="N91" s="12" t="str">
        <f>VLOOKUP(B91,Usergroups!$B$2:$D$12,3,)</f>
        <v>group1</v>
      </c>
    </row>
    <row r="92" spans="1:14" ht="14.25">
      <c r="A92" s="6" t="s">
        <v>81</v>
      </c>
      <c r="B92" s="6" t="s">
        <v>80</v>
      </c>
      <c r="C92" s="6">
        <v>2</v>
      </c>
      <c r="D92" s="6" t="str">
        <f t="shared" si="5"/>
        <v>P12-2</v>
      </c>
      <c r="E92" s="9" t="str">
        <f t="shared" si="6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1"/>
        <v>2.0833333333333315E-2</v>
      </c>
      <c r="M92" s="10">
        <f t="shared" si="2"/>
        <v>0</v>
      </c>
      <c r="N92" s="12" t="str">
        <f>VLOOKUP(B92,Usergroups!$B$2:$D$12,3,)</f>
        <v>group1</v>
      </c>
    </row>
    <row r="93" spans="1:14" ht="14.25">
      <c r="A93" s="6" t="s">
        <v>81</v>
      </c>
      <c r="B93" s="6" t="s">
        <v>80</v>
      </c>
      <c r="C93" s="6">
        <v>2</v>
      </c>
      <c r="D93" s="6" t="str">
        <f t="shared" si="5"/>
        <v>P12-2</v>
      </c>
      <c r="E93" s="9" t="str">
        <f t="shared" si="6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1"/>
        <v>0</v>
      </c>
      <c r="M93" s="11">
        <f t="shared" si="2"/>
        <v>8.3333333333333315E-3</v>
      </c>
      <c r="N93" s="12" t="str">
        <f>VLOOKUP(B93,Usergroups!$B$2:$D$12,3,)</f>
        <v>group1</v>
      </c>
    </row>
    <row r="94" spans="1:14" ht="14.25">
      <c r="A94" s="6" t="s">
        <v>81</v>
      </c>
      <c r="B94" s="6" t="s">
        <v>80</v>
      </c>
      <c r="C94" s="6">
        <v>2</v>
      </c>
      <c r="D94" s="6" t="str">
        <f t="shared" si="5"/>
        <v>P12-2</v>
      </c>
      <c r="E94" s="9" t="str">
        <f t="shared" si="6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1"/>
        <v>0.10694444444444448</v>
      </c>
      <c r="M94" s="10">
        <f t="shared" si="2"/>
        <v>0</v>
      </c>
      <c r="N94" s="12" t="str">
        <f>VLOOKUP(B94,Usergroups!$B$2:$D$12,3,)</f>
        <v>group1</v>
      </c>
    </row>
    <row r="95" spans="1:14" ht="14.25">
      <c r="A95" s="6" t="s">
        <v>81</v>
      </c>
      <c r="B95" s="6" t="s">
        <v>80</v>
      </c>
      <c r="C95" s="6">
        <v>2</v>
      </c>
      <c r="D95" s="6" t="str">
        <f t="shared" si="5"/>
        <v>P12-2</v>
      </c>
      <c r="E95" s="9" t="str">
        <f t="shared" si="6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1"/>
        <v>0</v>
      </c>
      <c r="M95" s="11">
        <f t="shared" si="2"/>
        <v>1.3194444444444398E-2</v>
      </c>
      <c r="N95" s="12" t="str">
        <f>VLOOKUP(B95,Usergroups!$B$2:$D$12,3,)</f>
        <v>group1</v>
      </c>
    </row>
    <row r="96" spans="1:14" ht="14.25">
      <c r="A96" s="6" t="s">
        <v>81</v>
      </c>
      <c r="B96" s="6" t="s">
        <v>80</v>
      </c>
      <c r="C96" s="6">
        <v>2</v>
      </c>
      <c r="D96" s="6" t="str">
        <f t="shared" si="5"/>
        <v>P12-2</v>
      </c>
      <c r="E96" s="9" t="str">
        <f t="shared" si="6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1"/>
        <v>0</v>
      </c>
      <c r="M96" s="10">
        <f t="shared" si="2"/>
        <v>0</v>
      </c>
      <c r="N96" s="12" t="str">
        <f>VLOOKUP(B96,Usergroups!$B$2:$D$12,3,)</f>
        <v>group1</v>
      </c>
    </row>
    <row r="97" spans="1:14" ht="14.25">
      <c r="A97" s="2" t="s">
        <v>81</v>
      </c>
      <c r="B97" s="2" t="s">
        <v>80</v>
      </c>
      <c r="C97" s="2">
        <v>3</v>
      </c>
      <c r="D97" s="6" t="str">
        <f t="shared" si="5"/>
        <v>P12-3</v>
      </c>
      <c r="E97" s="9" t="str">
        <f t="shared" si="6"/>
        <v>P12-3-Start</v>
      </c>
      <c r="F97" s="3">
        <v>0.40763888888888888</v>
      </c>
      <c r="L97">
        <f t="shared" si="1"/>
        <v>0</v>
      </c>
      <c r="M97">
        <f t="shared" si="2"/>
        <v>0</v>
      </c>
      <c r="N97" s="12" t="str">
        <f>VLOOKUP(B97,Usergroups!$B$2:$D$12,3,)</f>
        <v>group1</v>
      </c>
    </row>
    <row r="98" spans="1:14" ht="14.25">
      <c r="A98" s="2" t="s">
        <v>81</v>
      </c>
      <c r="B98" s="2" t="s">
        <v>80</v>
      </c>
      <c r="C98" s="2">
        <v>3</v>
      </c>
      <c r="D98" s="6" t="str">
        <f t="shared" ref="D98:D129" si="7">_xlfn.TEXTJOIN("-",,B98,C98)</f>
        <v>P12-3</v>
      </c>
      <c r="E98" s="9" t="str">
        <f t="shared" si="6"/>
        <v>---</v>
      </c>
      <c r="I98" s="3">
        <v>0.40763888888888888</v>
      </c>
      <c r="J98" s="3">
        <v>0.42291666666666666</v>
      </c>
      <c r="L98">
        <f t="shared" si="1"/>
        <v>0</v>
      </c>
      <c r="M98" s="7">
        <f t="shared" si="2"/>
        <v>1.5277777777777779E-2</v>
      </c>
      <c r="N98" s="12" t="str">
        <f>VLOOKUP(B98,Usergroups!$B$2:$D$12,3,)</f>
        <v>group1</v>
      </c>
    </row>
    <row r="99" spans="1:14" ht="14.25">
      <c r="A99" s="2" t="s">
        <v>81</v>
      </c>
      <c r="B99" s="2" t="s">
        <v>80</v>
      </c>
      <c r="C99" s="2">
        <v>3</v>
      </c>
      <c r="D99" s="6" t="str">
        <f t="shared" si="7"/>
        <v>P12-3</v>
      </c>
      <c r="E99" s="9" t="str">
        <f t="shared" si="6"/>
        <v>---</v>
      </c>
      <c r="G99" s="3">
        <v>0.42291666666666666</v>
      </c>
      <c r="H99" s="3">
        <v>0.67013888888888884</v>
      </c>
      <c r="L99" s="7">
        <f t="shared" si="1"/>
        <v>0.24722222222222218</v>
      </c>
      <c r="M99">
        <f t="shared" si="2"/>
        <v>0</v>
      </c>
      <c r="N99" s="12" t="str">
        <f>VLOOKUP(B99,Usergroups!$B$2:$D$12,3,)</f>
        <v>group1</v>
      </c>
    </row>
    <row r="100" spans="1:14" ht="14.25">
      <c r="A100" s="2" t="s">
        <v>81</v>
      </c>
      <c r="B100" s="2" t="s">
        <v>80</v>
      </c>
      <c r="C100" s="2">
        <v>3</v>
      </c>
      <c r="D100" s="6" t="str">
        <f t="shared" si="7"/>
        <v>P12-3</v>
      </c>
      <c r="E100" s="9" t="str">
        <f t="shared" si="6"/>
        <v>P12-3-End</v>
      </c>
      <c r="K100" s="3">
        <v>0.67013888888888884</v>
      </c>
      <c r="L100">
        <f t="shared" si="1"/>
        <v>0</v>
      </c>
      <c r="M100">
        <f t="shared" si="2"/>
        <v>0</v>
      </c>
      <c r="N100" s="12" t="str">
        <f>VLOOKUP(B100,Usergroups!$B$2:$D$12,3,)</f>
        <v>group1</v>
      </c>
    </row>
    <row r="101" spans="1:14" ht="14.25">
      <c r="A101" s="6" t="s">
        <v>82</v>
      </c>
      <c r="B101" s="6" t="s">
        <v>89</v>
      </c>
      <c r="C101" s="6">
        <v>1</v>
      </c>
      <c r="D101" s="6" t="str">
        <f t="shared" si="7"/>
        <v>P13-1</v>
      </c>
      <c r="E101" s="9" t="str">
        <f t="shared" si="6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1"/>
        <v>0</v>
      </c>
      <c r="M101" s="10">
        <f t="shared" si="2"/>
        <v>0</v>
      </c>
      <c r="N101" s="12" t="str">
        <f>VLOOKUP(B101,Usergroups!$B$2:$D$12,3,)</f>
        <v>group1</v>
      </c>
    </row>
    <row r="102" spans="1:14" ht="14.25">
      <c r="A102" s="6" t="s">
        <v>82</v>
      </c>
      <c r="B102" s="6" t="s">
        <v>89</v>
      </c>
      <c r="C102" s="6">
        <v>1</v>
      </c>
      <c r="D102" s="6" t="str">
        <f t="shared" si="7"/>
        <v>P13-1</v>
      </c>
      <c r="E102" s="9" t="str">
        <f t="shared" si="6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1"/>
        <v>0.14513888888888887</v>
      </c>
      <c r="M102" s="10">
        <f t="shared" si="2"/>
        <v>0</v>
      </c>
      <c r="N102" s="12" t="str">
        <f>VLOOKUP(B102,Usergroups!$B$2:$D$12,3,)</f>
        <v>group1</v>
      </c>
    </row>
    <row r="103" spans="1:14" ht="14.25">
      <c r="A103" s="6" t="s">
        <v>82</v>
      </c>
      <c r="B103" s="6" t="s">
        <v>89</v>
      </c>
      <c r="C103" s="6">
        <v>1</v>
      </c>
      <c r="D103" s="6" t="str">
        <f t="shared" si="7"/>
        <v>P13-1</v>
      </c>
      <c r="E103" s="9" t="str">
        <f t="shared" si="6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1"/>
        <v>0</v>
      </c>
      <c r="M103" s="11">
        <f t="shared" si="2"/>
        <v>7.6388888888888895E-3</v>
      </c>
      <c r="N103" s="12" t="str">
        <f>VLOOKUP(B103,Usergroups!$B$2:$D$12,3,)</f>
        <v>group1</v>
      </c>
    </row>
    <row r="104" spans="1:14" ht="14.25">
      <c r="A104" s="6" t="s">
        <v>82</v>
      </c>
      <c r="B104" s="6" t="s">
        <v>89</v>
      </c>
      <c r="C104" s="6">
        <v>1</v>
      </c>
      <c r="D104" s="6" t="str">
        <f t="shared" si="7"/>
        <v>P13-1</v>
      </c>
      <c r="E104" s="9" t="str">
        <f t="shared" si="6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1"/>
        <v>0</v>
      </c>
      <c r="M104" s="11">
        <f t="shared" si="2"/>
        <v>6.9444444444444198E-3</v>
      </c>
      <c r="N104" s="12" t="str">
        <f>VLOOKUP(B104,Usergroups!$B$2:$D$12,3,)</f>
        <v>group1</v>
      </c>
    </row>
    <row r="105" spans="1:14" ht="14.25">
      <c r="A105" s="6" t="s">
        <v>82</v>
      </c>
      <c r="B105" s="6" t="s">
        <v>89</v>
      </c>
      <c r="C105" s="6">
        <v>1</v>
      </c>
      <c r="D105" s="6" t="str">
        <f t="shared" si="7"/>
        <v>P13-1</v>
      </c>
      <c r="E105" s="9" t="str">
        <f t="shared" si="6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1"/>
        <v>6.2500000000000056E-3</v>
      </c>
      <c r="M105" s="10">
        <f t="shared" si="2"/>
        <v>0</v>
      </c>
      <c r="N105" s="12" t="str">
        <f>VLOOKUP(B105,Usergroups!$B$2:$D$12,3,)</f>
        <v>group1</v>
      </c>
    </row>
    <row r="106" spans="1:14" ht="14.25">
      <c r="A106" s="6" t="s">
        <v>82</v>
      </c>
      <c r="B106" s="6" t="s">
        <v>89</v>
      </c>
      <c r="C106" s="6">
        <v>1</v>
      </c>
      <c r="D106" s="6" t="str">
        <f t="shared" si="7"/>
        <v>P13-1</v>
      </c>
      <c r="E106" s="9" t="str">
        <f t="shared" si="6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1"/>
        <v>0</v>
      </c>
      <c r="M106" s="11">
        <f t="shared" si="2"/>
        <v>0</v>
      </c>
      <c r="N106" s="12" t="str">
        <f>VLOOKUP(B106,Usergroups!$B$2:$D$12,3,)</f>
        <v>group1</v>
      </c>
    </row>
    <row r="107" spans="1:14" ht="14.25">
      <c r="A107" s="2" t="s">
        <v>82</v>
      </c>
      <c r="B107" s="2" t="s">
        <v>89</v>
      </c>
      <c r="C107" s="2">
        <v>2</v>
      </c>
      <c r="D107" s="6" t="str">
        <f t="shared" si="7"/>
        <v>P13-2</v>
      </c>
      <c r="E107" s="9" t="str">
        <f t="shared" si="6"/>
        <v>P13-2-Start</v>
      </c>
      <c r="F107" s="3">
        <v>0.25208333333333333</v>
      </c>
      <c r="L107">
        <f t="shared" si="1"/>
        <v>0</v>
      </c>
      <c r="M107">
        <f t="shared" si="2"/>
        <v>0</v>
      </c>
      <c r="N107" s="12" t="str">
        <f>VLOOKUP(B107,Usergroups!$B$2:$D$12,3,)</f>
        <v>group1</v>
      </c>
    </row>
    <row r="108" spans="1:14" ht="14.25">
      <c r="A108" s="2" t="s">
        <v>82</v>
      </c>
      <c r="B108" s="2" t="s">
        <v>89</v>
      </c>
      <c r="C108" s="2">
        <v>2</v>
      </c>
      <c r="D108" s="6" t="str">
        <f t="shared" si="7"/>
        <v>P13-2</v>
      </c>
      <c r="E108" s="9" t="str">
        <f t="shared" si="6"/>
        <v>---</v>
      </c>
      <c r="G108" s="3">
        <v>0.25208333333333333</v>
      </c>
      <c r="H108" s="3">
        <v>0.25763888888888886</v>
      </c>
      <c r="L108" s="7">
        <f t="shared" si="1"/>
        <v>5.5555555555555358E-3</v>
      </c>
      <c r="M108">
        <f t="shared" si="2"/>
        <v>0</v>
      </c>
      <c r="N108" s="12" t="str">
        <f>VLOOKUP(B108,Usergroups!$B$2:$D$12,3,)</f>
        <v>group1</v>
      </c>
    </row>
    <row r="109" spans="1:14" ht="14.25">
      <c r="A109" s="2" t="s">
        <v>82</v>
      </c>
      <c r="B109" s="2" t="s">
        <v>89</v>
      </c>
      <c r="C109" s="2">
        <v>2</v>
      </c>
      <c r="D109" s="6" t="str">
        <f t="shared" si="7"/>
        <v>P13-2</v>
      </c>
      <c r="E109" s="9" t="str">
        <f t="shared" si="6"/>
        <v>---</v>
      </c>
      <c r="I109" s="3">
        <v>0.25763888888888886</v>
      </c>
      <c r="J109" s="3">
        <v>0.2638888888888889</v>
      </c>
      <c r="L109">
        <f t="shared" si="1"/>
        <v>0</v>
      </c>
      <c r="M109" s="7">
        <f t="shared" si="2"/>
        <v>6.2500000000000333E-3</v>
      </c>
      <c r="N109" s="12" t="str">
        <f>VLOOKUP(B109,Usergroups!$B$2:$D$12,3,)</f>
        <v>group1</v>
      </c>
    </row>
    <row r="110" spans="1:14" ht="14.25">
      <c r="A110" s="2" t="s">
        <v>82</v>
      </c>
      <c r="B110" s="2" t="s">
        <v>89</v>
      </c>
      <c r="C110" s="2">
        <v>2</v>
      </c>
      <c r="D110" s="6" t="str">
        <f t="shared" si="7"/>
        <v>P13-2</v>
      </c>
      <c r="E110" s="9" t="str">
        <f t="shared" si="6"/>
        <v>---</v>
      </c>
      <c r="G110" s="3">
        <v>0.2638888888888889</v>
      </c>
      <c r="H110" s="3">
        <v>0.31527777777777777</v>
      </c>
      <c r="L110" s="7">
        <f t="shared" si="1"/>
        <v>5.1388888888888873E-2</v>
      </c>
      <c r="M110">
        <f t="shared" si="2"/>
        <v>0</v>
      </c>
      <c r="N110" s="12" t="str">
        <f>VLOOKUP(B110,Usergroups!$B$2:$D$12,3,)</f>
        <v>group1</v>
      </c>
    </row>
    <row r="111" spans="1:14" ht="14.25">
      <c r="A111" s="2" t="s">
        <v>82</v>
      </c>
      <c r="B111" s="2" t="s">
        <v>89</v>
      </c>
      <c r="C111" s="2">
        <v>2</v>
      </c>
      <c r="D111" s="6" t="str">
        <f t="shared" si="7"/>
        <v>P13-2</v>
      </c>
      <c r="E111" s="9" t="str">
        <f t="shared" si="6"/>
        <v>---</v>
      </c>
      <c r="I111" s="3">
        <v>0.31527777777777777</v>
      </c>
      <c r="J111" s="3">
        <v>0.31666666666666665</v>
      </c>
      <c r="L111">
        <f t="shared" si="1"/>
        <v>0</v>
      </c>
      <c r="M111" s="7">
        <f t="shared" si="2"/>
        <v>1.388888888888884E-3</v>
      </c>
      <c r="N111" s="12" t="str">
        <f>VLOOKUP(B111,Usergroups!$B$2:$D$12,3,)</f>
        <v>group1</v>
      </c>
    </row>
    <row r="112" spans="1:14" ht="14.25">
      <c r="A112" s="2" t="s">
        <v>82</v>
      </c>
      <c r="B112" s="2" t="s">
        <v>89</v>
      </c>
      <c r="C112" s="2">
        <v>2</v>
      </c>
      <c r="D112" s="6" t="str">
        <f t="shared" si="7"/>
        <v>P13-2</v>
      </c>
      <c r="E112" s="9" t="str">
        <f t="shared" si="6"/>
        <v>---</v>
      </c>
      <c r="G112" s="3">
        <v>0.31666666666666665</v>
      </c>
      <c r="H112" s="3">
        <v>0.37916666666666665</v>
      </c>
      <c r="L112" s="7">
        <f t="shared" si="1"/>
        <v>6.25E-2</v>
      </c>
      <c r="M112">
        <f t="shared" si="2"/>
        <v>0</v>
      </c>
      <c r="N112" s="12" t="str">
        <f>VLOOKUP(B112,Usergroups!$B$2:$D$12,3,)</f>
        <v>group1</v>
      </c>
    </row>
    <row r="113" spans="1:14" ht="14.25">
      <c r="A113" s="2" t="s">
        <v>82</v>
      </c>
      <c r="B113" s="2" t="s">
        <v>89</v>
      </c>
      <c r="C113" s="2">
        <v>2</v>
      </c>
      <c r="D113" s="6" t="str">
        <f t="shared" si="7"/>
        <v>P13-2</v>
      </c>
      <c r="E113" s="9" t="str">
        <f t="shared" si="6"/>
        <v>P13-2-End</v>
      </c>
      <c r="K113" s="3">
        <v>0.37916666666666665</v>
      </c>
      <c r="L113">
        <f t="shared" si="1"/>
        <v>0</v>
      </c>
      <c r="M113">
        <f t="shared" si="2"/>
        <v>0</v>
      </c>
      <c r="N113" s="12" t="str">
        <f>VLOOKUP(B113,Usergroups!$B$2:$D$12,3,)</f>
        <v>group1</v>
      </c>
    </row>
    <row r="114" spans="1:14" ht="14.25">
      <c r="A114" s="6" t="s">
        <v>82</v>
      </c>
      <c r="B114" s="6" t="s">
        <v>89</v>
      </c>
      <c r="C114" s="6">
        <v>3</v>
      </c>
      <c r="D114" s="6" t="str">
        <f t="shared" si="7"/>
        <v>P13-3</v>
      </c>
      <c r="E114" s="9" t="str">
        <f t="shared" si="6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1"/>
        <v>0</v>
      </c>
      <c r="M114" s="10">
        <f t="shared" si="2"/>
        <v>0</v>
      </c>
      <c r="N114" s="12" t="str">
        <f>VLOOKUP(B114,Usergroups!$B$2:$D$12,3,)</f>
        <v>group1</v>
      </c>
    </row>
    <row r="115" spans="1:14" ht="14.25">
      <c r="A115" s="6" t="s">
        <v>82</v>
      </c>
      <c r="B115" s="6" t="s">
        <v>89</v>
      </c>
      <c r="C115" s="6">
        <v>3</v>
      </c>
      <c r="D115" s="6" t="str">
        <f t="shared" si="7"/>
        <v>P13-3</v>
      </c>
      <c r="E115" s="9" t="str">
        <f t="shared" si="6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1"/>
        <v>0.10902777777777783</v>
      </c>
      <c r="M115" s="10">
        <f t="shared" si="2"/>
        <v>0</v>
      </c>
      <c r="N115" s="12" t="str">
        <f>VLOOKUP(B115,Usergroups!$B$2:$D$12,3,)</f>
        <v>group1</v>
      </c>
    </row>
    <row r="116" spans="1:14" ht="14.25">
      <c r="A116" s="6" t="s">
        <v>82</v>
      </c>
      <c r="B116" s="6" t="s">
        <v>89</v>
      </c>
      <c r="C116" s="6">
        <v>3</v>
      </c>
      <c r="D116" s="6" t="str">
        <f t="shared" si="7"/>
        <v>P13-3</v>
      </c>
      <c r="E116" s="9" t="str">
        <f t="shared" si="6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1"/>
        <v>0</v>
      </c>
      <c r="M116" s="10">
        <f t="shared" si="2"/>
        <v>0</v>
      </c>
      <c r="N116" s="12" t="str">
        <f>VLOOKUP(B116,Usergroups!$B$2:$D$12,3,)</f>
        <v>group1</v>
      </c>
    </row>
    <row r="117" spans="1:14" ht="14.25">
      <c r="A117" s="2" t="s">
        <v>85</v>
      </c>
      <c r="B117" s="2" t="s">
        <v>96</v>
      </c>
      <c r="C117" s="2">
        <v>1</v>
      </c>
      <c r="D117" s="6" t="str">
        <f t="shared" si="7"/>
        <v>P14-1</v>
      </c>
      <c r="E117" s="9" t="str">
        <f t="shared" si="6"/>
        <v>P14-1-Start</v>
      </c>
      <c r="F117" s="3">
        <v>3.125E-2</v>
      </c>
      <c r="L117">
        <f t="shared" si="1"/>
        <v>0</v>
      </c>
      <c r="M117">
        <f t="shared" si="2"/>
        <v>0</v>
      </c>
      <c r="N117" s="12" t="str">
        <f>VLOOKUP(B117,Usergroups!$B$2:$D$12,3,)</f>
        <v>group1</v>
      </c>
    </row>
    <row r="118" spans="1:14" ht="14.25">
      <c r="A118" s="2" t="s">
        <v>85</v>
      </c>
      <c r="B118" s="2" t="s">
        <v>96</v>
      </c>
      <c r="C118" s="2">
        <v>1</v>
      </c>
      <c r="D118" s="6" t="str">
        <f t="shared" si="7"/>
        <v>P14-1</v>
      </c>
      <c r="E118" s="9" t="str">
        <f t="shared" si="6"/>
        <v>---</v>
      </c>
      <c r="G118" s="3">
        <v>3.125E-2</v>
      </c>
      <c r="H118" s="3">
        <v>8.7499999999999994E-2</v>
      </c>
      <c r="L118" s="7">
        <f t="shared" si="1"/>
        <v>5.6249999999999994E-2</v>
      </c>
      <c r="M118">
        <f t="shared" si="2"/>
        <v>0</v>
      </c>
      <c r="N118" s="12" t="str">
        <f>VLOOKUP(B118,Usergroups!$B$2:$D$12,3,)</f>
        <v>group1</v>
      </c>
    </row>
    <row r="119" spans="1:14" ht="14.25">
      <c r="A119" s="2" t="s">
        <v>85</v>
      </c>
      <c r="B119" s="2" t="s">
        <v>96</v>
      </c>
      <c r="C119" s="2">
        <v>1</v>
      </c>
      <c r="D119" s="6" t="str">
        <f t="shared" si="7"/>
        <v>P14-1</v>
      </c>
      <c r="E119" s="9" t="str">
        <f t="shared" si="6"/>
        <v>---</v>
      </c>
      <c r="I119" s="3">
        <v>8.7499999999999994E-2</v>
      </c>
      <c r="J119" s="3">
        <v>0.11458333333333333</v>
      </c>
      <c r="L119">
        <f t="shared" si="1"/>
        <v>0</v>
      </c>
      <c r="M119" s="7">
        <f t="shared" si="2"/>
        <v>2.7083333333333334E-2</v>
      </c>
      <c r="N119" s="12" t="str">
        <f>VLOOKUP(B119,Usergroups!$B$2:$D$12,3,)</f>
        <v>group1</v>
      </c>
    </row>
    <row r="120" spans="1:14" ht="14.25">
      <c r="A120" s="2" t="s">
        <v>85</v>
      </c>
      <c r="B120" s="2" t="s">
        <v>96</v>
      </c>
      <c r="C120" s="2">
        <v>1</v>
      </c>
      <c r="D120" s="6" t="str">
        <f t="shared" si="7"/>
        <v>P14-1</v>
      </c>
      <c r="E120" s="9" t="str">
        <f t="shared" si="6"/>
        <v>P14-1-End</v>
      </c>
      <c r="K120" s="3">
        <v>0.11458333333333333</v>
      </c>
      <c r="L120">
        <f t="shared" si="1"/>
        <v>0</v>
      </c>
      <c r="M120">
        <f t="shared" si="2"/>
        <v>0</v>
      </c>
      <c r="N120" s="12" t="str">
        <f>VLOOKUP(B120,Usergroups!$B$2:$D$12,3,)</f>
        <v>group1</v>
      </c>
    </row>
    <row r="121" spans="1:14" ht="14.25">
      <c r="A121" s="6" t="s">
        <v>85</v>
      </c>
      <c r="B121" s="6" t="s">
        <v>96</v>
      </c>
      <c r="C121" s="6">
        <v>2</v>
      </c>
      <c r="D121" s="6" t="str">
        <f t="shared" si="7"/>
        <v>P14-2</v>
      </c>
      <c r="E121" s="9" t="str">
        <f t="shared" si="6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1"/>
        <v>0</v>
      </c>
      <c r="M121" s="10">
        <f t="shared" si="2"/>
        <v>0</v>
      </c>
      <c r="N121" s="12" t="str">
        <f>VLOOKUP(B121,Usergroups!$B$2:$D$12,3,)</f>
        <v>group1</v>
      </c>
    </row>
    <row r="122" spans="1:14" ht="14.25">
      <c r="A122" s="6" t="s">
        <v>85</v>
      </c>
      <c r="B122" s="6" t="s">
        <v>96</v>
      </c>
      <c r="C122" s="6">
        <v>2</v>
      </c>
      <c r="D122" s="6" t="str">
        <f t="shared" si="7"/>
        <v>P14-2</v>
      </c>
      <c r="E122" s="9" t="str">
        <f t="shared" si="6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1"/>
        <v>0</v>
      </c>
      <c r="M122" s="11">
        <f t="shared" si="2"/>
        <v>5.5555555555555636E-3</v>
      </c>
      <c r="N122" s="12" t="str">
        <f>VLOOKUP(B122,Usergroups!$B$2:$D$12,3,)</f>
        <v>group1</v>
      </c>
    </row>
    <row r="123" spans="1:14" ht="14.25">
      <c r="A123" s="6" t="s">
        <v>85</v>
      </c>
      <c r="B123" s="6" t="s">
        <v>96</v>
      </c>
      <c r="C123" s="6">
        <v>2</v>
      </c>
      <c r="D123" s="6" t="str">
        <f t="shared" si="7"/>
        <v>P14-2</v>
      </c>
      <c r="E123" s="9" t="str">
        <f t="shared" si="6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1"/>
        <v>0</v>
      </c>
      <c r="M123" s="11">
        <f t="shared" si="2"/>
        <v>5.5555555555555636E-3</v>
      </c>
      <c r="N123" s="12" t="str">
        <f>VLOOKUP(B123,Usergroups!$B$2:$D$12,3,)</f>
        <v>group1</v>
      </c>
    </row>
    <row r="124" spans="1:14" ht="14.25">
      <c r="A124" s="6" t="s">
        <v>85</v>
      </c>
      <c r="B124" s="6" t="s">
        <v>96</v>
      </c>
      <c r="C124" s="6">
        <v>2</v>
      </c>
      <c r="D124" s="6" t="str">
        <f t="shared" si="7"/>
        <v>P14-2</v>
      </c>
      <c r="E124" s="9" t="str">
        <f t="shared" si="6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1"/>
        <v>7.5000000000000011E-2</v>
      </c>
      <c r="M124" s="10">
        <f t="shared" si="2"/>
        <v>0</v>
      </c>
      <c r="N124" s="12" t="str">
        <f>VLOOKUP(B124,Usergroups!$B$2:$D$12,3,)</f>
        <v>group1</v>
      </c>
    </row>
    <row r="125" spans="1:14" ht="14.25">
      <c r="A125" s="6" t="s">
        <v>85</v>
      </c>
      <c r="B125" s="6" t="s">
        <v>96</v>
      </c>
      <c r="C125" s="6">
        <v>2</v>
      </c>
      <c r="D125" s="6" t="str">
        <f t="shared" si="7"/>
        <v>P14-2</v>
      </c>
      <c r="E125" s="9" t="str">
        <f t="shared" si="6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1"/>
        <v>0</v>
      </c>
      <c r="M125" s="10">
        <f t="shared" si="2"/>
        <v>0</v>
      </c>
      <c r="N125" s="12" t="str">
        <f>VLOOKUP(B125,Usergroups!$B$2:$D$12,3,)</f>
        <v>group1</v>
      </c>
    </row>
    <row r="126" spans="1:14" ht="14.25">
      <c r="A126" s="2" t="s">
        <v>85</v>
      </c>
      <c r="B126" s="2" t="s">
        <v>96</v>
      </c>
      <c r="C126" s="2">
        <v>3</v>
      </c>
      <c r="D126" s="6" t="str">
        <f t="shared" si="7"/>
        <v>P14-3</v>
      </c>
      <c r="E126" s="9" t="str">
        <f t="shared" si="6"/>
        <v>P14-3-Start</v>
      </c>
      <c r="F126" s="3">
        <v>0.27361111111111114</v>
      </c>
      <c r="L126">
        <f t="shared" si="1"/>
        <v>0</v>
      </c>
      <c r="M126">
        <f t="shared" si="2"/>
        <v>0</v>
      </c>
      <c r="N126" s="12" t="str">
        <f>VLOOKUP(B126,Usergroups!$B$2:$D$12,3,)</f>
        <v>group1</v>
      </c>
    </row>
    <row r="127" spans="1:14" ht="14.25">
      <c r="A127" s="2" t="s">
        <v>85</v>
      </c>
      <c r="B127" s="2" t="s">
        <v>96</v>
      </c>
      <c r="C127" s="2">
        <v>3</v>
      </c>
      <c r="D127" s="6" t="str">
        <f t="shared" si="7"/>
        <v>P14-3</v>
      </c>
      <c r="E127" s="9" t="str">
        <f t="shared" si="6"/>
        <v>---</v>
      </c>
      <c r="G127" s="3">
        <v>0.27361111111111114</v>
      </c>
      <c r="H127" s="3">
        <v>0.28263888888888888</v>
      </c>
      <c r="L127" s="7">
        <f t="shared" si="1"/>
        <v>9.0277777777777457E-3</v>
      </c>
      <c r="M127">
        <f t="shared" si="2"/>
        <v>0</v>
      </c>
      <c r="N127" s="12" t="str">
        <f>VLOOKUP(B127,Usergroups!$B$2:$D$12,3,)</f>
        <v>group1</v>
      </c>
    </row>
    <row r="128" spans="1:14" ht="14.25">
      <c r="A128" s="2" t="s">
        <v>85</v>
      </c>
      <c r="B128" s="2" t="s">
        <v>96</v>
      </c>
      <c r="C128" s="2">
        <v>3</v>
      </c>
      <c r="D128" s="6" t="str">
        <f t="shared" si="7"/>
        <v>P14-3</v>
      </c>
      <c r="E128" s="9" t="str">
        <f t="shared" si="6"/>
        <v>---</v>
      </c>
      <c r="I128" s="3">
        <v>0.28263888888888888</v>
      </c>
      <c r="J128" s="3">
        <v>0.29166666666666669</v>
      </c>
      <c r="L128">
        <f t="shared" si="1"/>
        <v>0</v>
      </c>
      <c r="M128" s="7">
        <f t="shared" si="2"/>
        <v>9.0277777777778012E-3</v>
      </c>
      <c r="N128" s="12" t="str">
        <f>VLOOKUP(B128,Usergroups!$B$2:$D$12,3,)</f>
        <v>group1</v>
      </c>
    </row>
    <row r="129" spans="1:14" ht="14.25">
      <c r="A129" s="2" t="s">
        <v>85</v>
      </c>
      <c r="B129" s="2" t="s">
        <v>96</v>
      </c>
      <c r="C129" s="2">
        <v>3</v>
      </c>
      <c r="D129" s="6" t="str">
        <f t="shared" si="7"/>
        <v>P14-3</v>
      </c>
      <c r="E129" s="9" t="str">
        <f t="shared" si="6"/>
        <v>---</v>
      </c>
      <c r="G129" s="3">
        <v>0.29166666666666669</v>
      </c>
      <c r="H129" s="3">
        <v>0.42569444444444443</v>
      </c>
      <c r="L129" s="7">
        <f t="shared" si="1"/>
        <v>0.13402777777777775</v>
      </c>
      <c r="M129">
        <f t="shared" si="2"/>
        <v>0</v>
      </c>
      <c r="N129" s="12" t="str">
        <f>VLOOKUP(B129,Usergroups!$B$2:$D$12,3,)</f>
        <v>group1</v>
      </c>
    </row>
    <row r="130" spans="1:14" ht="14.25">
      <c r="A130" s="2" t="s">
        <v>85</v>
      </c>
      <c r="B130" s="2" t="s">
        <v>96</v>
      </c>
      <c r="C130" s="2">
        <v>3</v>
      </c>
      <c r="D130" s="6" t="str">
        <f t="shared" ref="D130:D161" si="8">_xlfn.TEXTJOIN("-",,B130,C130)</f>
        <v>P14-3</v>
      </c>
      <c r="E130" s="9" t="str">
        <f t="shared" si="6"/>
        <v>P14-3-End</v>
      </c>
      <c r="K130" s="3">
        <v>0.42569444444444443</v>
      </c>
      <c r="L130">
        <f t="shared" si="1"/>
        <v>0</v>
      </c>
      <c r="M130">
        <f t="shared" si="2"/>
        <v>0</v>
      </c>
      <c r="N130" s="12" t="str">
        <f>VLOOKUP(B130,Usergroups!$B$2:$D$12,3,)</f>
        <v>group1</v>
      </c>
    </row>
    <row r="131" spans="1:14" ht="14.25">
      <c r="A131" s="6" t="s">
        <v>88</v>
      </c>
      <c r="B131" s="6" t="s">
        <v>100</v>
      </c>
      <c r="C131" s="6">
        <v>1</v>
      </c>
      <c r="D131" s="6" t="str">
        <f t="shared" si="8"/>
        <v>P11-1</v>
      </c>
      <c r="E131" s="9" t="str">
        <f t="shared" ref="E131:E177" si="9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1"/>
        <v>0</v>
      </c>
      <c r="M131" s="10">
        <f t="shared" si="2"/>
        <v>0</v>
      </c>
      <c r="N131" s="12" t="str">
        <f>VLOOKUP(B131,Usergroups!$B$2:$D$12,3,)</f>
        <v>group1</v>
      </c>
    </row>
    <row r="132" spans="1:14" ht="14.25">
      <c r="A132" s="6" t="s">
        <v>88</v>
      </c>
      <c r="B132" s="6" t="s">
        <v>100</v>
      </c>
      <c r="C132" s="6">
        <v>1</v>
      </c>
      <c r="D132" s="6" t="str">
        <f t="shared" si="8"/>
        <v>P11-1</v>
      </c>
      <c r="E132" s="9" t="str">
        <f t="shared" si="9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1"/>
        <v>1.9444444444444445E-2</v>
      </c>
      <c r="M132" s="10">
        <f t="shared" si="2"/>
        <v>0</v>
      </c>
      <c r="N132" s="12" t="str">
        <f>VLOOKUP(B132,Usergroups!$B$2:$D$12,3,)</f>
        <v>group1</v>
      </c>
    </row>
    <row r="133" spans="1:14" ht="14.25">
      <c r="A133" s="6" t="s">
        <v>88</v>
      </c>
      <c r="B133" s="6" t="s">
        <v>100</v>
      </c>
      <c r="C133" s="6">
        <v>1</v>
      </c>
      <c r="D133" s="6" t="str">
        <f t="shared" si="8"/>
        <v>P11-1</v>
      </c>
      <c r="E133" s="9" t="str">
        <f t="shared" si="9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1"/>
        <v>0</v>
      </c>
      <c r="M133" s="11">
        <f t="shared" si="2"/>
        <v>1.3194444444444446E-2</v>
      </c>
      <c r="N133" s="12" t="str">
        <f>VLOOKUP(B133,Usergroups!$B$2:$D$12,3,)</f>
        <v>group1</v>
      </c>
    </row>
    <row r="134" spans="1:14" ht="14.25">
      <c r="A134" s="6" t="s">
        <v>88</v>
      </c>
      <c r="B134" s="6" t="s">
        <v>100</v>
      </c>
      <c r="C134" s="6">
        <v>1</v>
      </c>
      <c r="D134" s="6" t="str">
        <f t="shared" si="8"/>
        <v>P11-1</v>
      </c>
      <c r="E134" s="9" t="str">
        <f t="shared" si="9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1"/>
        <v>0</v>
      </c>
      <c r="M134" s="11">
        <f t="shared" si="2"/>
        <v>3.541666666666668E-2</v>
      </c>
      <c r="N134" s="12" t="str">
        <f>VLOOKUP(B134,Usergroups!$B$2:$D$12,3,)</f>
        <v>group1</v>
      </c>
    </row>
    <row r="135" spans="1:14" ht="14.25">
      <c r="A135" s="6" t="s">
        <v>88</v>
      </c>
      <c r="B135" s="6" t="s">
        <v>100</v>
      </c>
      <c r="C135" s="6">
        <v>1</v>
      </c>
      <c r="D135" s="6" t="str">
        <f t="shared" si="8"/>
        <v>P11-1</v>
      </c>
      <c r="E135" s="9" t="str">
        <f t="shared" si="9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1"/>
        <v>0</v>
      </c>
      <c r="M135" s="10">
        <f t="shared" si="2"/>
        <v>0</v>
      </c>
      <c r="N135" s="12" t="str">
        <f>VLOOKUP(B135,Usergroups!$B$2:$D$12,3,)</f>
        <v>group1</v>
      </c>
    </row>
    <row r="136" spans="1:14" ht="14.25">
      <c r="A136" s="2" t="s">
        <v>88</v>
      </c>
      <c r="B136" s="2" t="s">
        <v>100</v>
      </c>
      <c r="C136" s="2">
        <v>2</v>
      </c>
      <c r="D136" s="6" t="str">
        <f t="shared" si="8"/>
        <v>P11-2</v>
      </c>
      <c r="E136" s="9" t="str">
        <f t="shared" si="9"/>
        <v>P11-2-Start</v>
      </c>
      <c r="F136" s="3">
        <v>0.18541666666666667</v>
      </c>
      <c r="L136">
        <f t="shared" si="1"/>
        <v>0</v>
      </c>
      <c r="M136">
        <f t="shared" si="2"/>
        <v>0</v>
      </c>
      <c r="N136" s="12" t="str">
        <f>VLOOKUP(B136,Usergroups!$B$2:$D$12,3,)</f>
        <v>group1</v>
      </c>
    </row>
    <row r="137" spans="1:14" ht="14.25">
      <c r="A137" s="2" t="s">
        <v>88</v>
      </c>
      <c r="B137" s="2" t="s">
        <v>100</v>
      </c>
      <c r="C137" s="2">
        <v>2</v>
      </c>
      <c r="D137" s="6" t="str">
        <f t="shared" si="8"/>
        <v>P11-2</v>
      </c>
      <c r="E137" s="9" t="str">
        <f t="shared" si="9"/>
        <v>---</v>
      </c>
      <c r="I137" s="3">
        <v>0.18541666666666667</v>
      </c>
      <c r="J137" s="3">
        <v>0.19930555555555557</v>
      </c>
      <c r="L137">
        <f t="shared" si="1"/>
        <v>0</v>
      </c>
      <c r="M137" s="7">
        <f t="shared" si="2"/>
        <v>1.3888888888888895E-2</v>
      </c>
      <c r="N137" s="12" t="str">
        <f>VLOOKUP(B137,Usergroups!$B$2:$D$12,3,)</f>
        <v>group1</v>
      </c>
    </row>
    <row r="138" spans="1:14" ht="14.25">
      <c r="A138" s="2" t="s">
        <v>88</v>
      </c>
      <c r="B138" s="2" t="s">
        <v>100</v>
      </c>
      <c r="C138" s="2">
        <v>2</v>
      </c>
      <c r="D138" s="6" t="str">
        <f t="shared" si="8"/>
        <v>P11-2</v>
      </c>
      <c r="E138" s="9" t="str">
        <f t="shared" si="9"/>
        <v>---</v>
      </c>
      <c r="G138" s="3">
        <v>0.19930555555555557</v>
      </c>
      <c r="H138" s="3">
        <v>0.25416666666666665</v>
      </c>
      <c r="L138" s="7">
        <f t="shared" si="1"/>
        <v>5.4861111111111083E-2</v>
      </c>
      <c r="M138">
        <f t="shared" si="2"/>
        <v>0</v>
      </c>
      <c r="N138" s="12" t="str">
        <f>VLOOKUP(B138,Usergroups!$B$2:$D$12,3,)</f>
        <v>group1</v>
      </c>
    </row>
    <row r="139" spans="1:14" ht="14.25">
      <c r="A139" s="2" t="s">
        <v>88</v>
      </c>
      <c r="B139" s="2" t="s">
        <v>100</v>
      </c>
      <c r="C139" s="2">
        <v>2</v>
      </c>
      <c r="D139" s="6" t="str">
        <f t="shared" si="8"/>
        <v>P11-2</v>
      </c>
      <c r="E139" s="9" t="str">
        <f t="shared" si="9"/>
        <v>---</v>
      </c>
      <c r="I139" s="3">
        <v>0.25416666666666665</v>
      </c>
      <c r="J139" s="3">
        <v>0.2902777777777778</v>
      </c>
      <c r="L139">
        <f t="shared" si="1"/>
        <v>0</v>
      </c>
      <c r="M139" s="7">
        <f t="shared" si="2"/>
        <v>3.6111111111111149E-2</v>
      </c>
      <c r="N139" s="12" t="str">
        <f>VLOOKUP(B139,Usergroups!$B$2:$D$12,3,)</f>
        <v>group1</v>
      </c>
    </row>
    <row r="140" spans="1:14" ht="14.25">
      <c r="A140" s="2" t="s">
        <v>88</v>
      </c>
      <c r="B140" s="2" t="s">
        <v>100</v>
      </c>
      <c r="C140" s="2">
        <v>2</v>
      </c>
      <c r="D140" s="6" t="str">
        <f t="shared" si="8"/>
        <v>P11-2</v>
      </c>
      <c r="E140" s="9" t="str">
        <f t="shared" si="9"/>
        <v>---</v>
      </c>
      <c r="G140" s="3">
        <v>0.2902777777777778</v>
      </c>
      <c r="H140" s="3">
        <v>0.37291666666666667</v>
      </c>
      <c r="L140" s="7">
        <f t="shared" si="1"/>
        <v>8.2638888888888873E-2</v>
      </c>
      <c r="M140">
        <f t="shared" si="2"/>
        <v>0</v>
      </c>
      <c r="N140" s="12" t="str">
        <f>VLOOKUP(B140,Usergroups!$B$2:$D$12,3,)</f>
        <v>group1</v>
      </c>
    </row>
    <row r="141" spans="1:14" ht="14.25">
      <c r="A141" s="2" t="s">
        <v>88</v>
      </c>
      <c r="B141" s="2" t="s">
        <v>100</v>
      </c>
      <c r="C141" s="2">
        <v>2</v>
      </c>
      <c r="D141" s="6" t="str">
        <f t="shared" si="8"/>
        <v>P11-2</v>
      </c>
      <c r="E141" s="9" t="str">
        <f t="shared" si="9"/>
        <v>P11-2-End</v>
      </c>
      <c r="K141" s="3">
        <v>0.37291666666666667</v>
      </c>
      <c r="L141">
        <f t="shared" si="1"/>
        <v>0</v>
      </c>
      <c r="M141">
        <f t="shared" si="2"/>
        <v>0</v>
      </c>
      <c r="N141" s="12" t="str">
        <f>VLOOKUP(B141,Usergroups!$B$2:$D$12,3,)</f>
        <v>group1</v>
      </c>
    </row>
    <row r="142" spans="1:14" ht="14.25">
      <c r="A142" s="6" t="s">
        <v>88</v>
      </c>
      <c r="B142" s="6" t="s">
        <v>100</v>
      </c>
      <c r="C142" s="6">
        <v>3</v>
      </c>
      <c r="D142" s="6" t="str">
        <f t="shared" si="8"/>
        <v>P11-3</v>
      </c>
      <c r="E142" s="9" t="str">
        <f t="shared" si="9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1"/>
        <v>0</v>
      </c>
      <c r="M142" s="10">
        <f t="shared" si="2"/>
        <v>0</v>
      </c>
      <c r="N142" s="12" t="str">
        <f>VLOOKUP(B142,Usergroups!$B$2:$D$12,3,)</f>
        <v>group1</v>
      </c>
    </row>
    <row r="143" spans="1:14" ht="14.25">
      <c r="A143" s="6" t="s">
        <v>88</v>
      </c>
      <c r="B143" s="6" t="s">
        <v>100</v>
      </c>
      <c r="C143" s="6">
        <v>3</v>
      </c>
      <c r="D143" s="6" t="str">
        <f t="shared" si="8"/>
        <v>P11-3</v>
      </c>
      <c r="E143" s="9" t="str">
        <f t="shared" si="9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1"/>
        <v>0.25902777777777775</v>
      </c>
      <c r="M143" s="10">
        <f t="shared" si="2"/>
        <v>0</v>
      </c>
      <c r="N143" s="12" t="str">
        <f>VLOOKUP(B143,Usergroups!$B$2:$D$12,3,)</f>
        <v>group1</v>
      </c>
    </row>
    <row r="144" spans="1:14" ht="14.25">
      <c r="A144" s="6" t="s">
        <v>88</v>
      </c>
      <c r="B144" s="6" t="s">
        <v>100</v>
      </c>
      <c r="C144" s="6">
        <v>3</v>
      </c>
      <c r="D144" s="6" t="str">
        <f t="shared" si="8"/>
        <v>P11-3</v>
      </c>
      <c r="E144" s="9" t="str">
        <f t="shared" si="9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1"/>
        <v>0</v>
      </c>
      <c r="M144" s="10">
        <f t="shared" si="2"/>
        <v>0</v>
      </c>
      <c r="N144" s="12" t="str">
        <f>VLOOKUP(B144,Usergroups!$B$2:$D$12,3,)</f>
        <v>group1</v>
      </c>
    </row>
    <row r="145" spans="1:14" ht="14.25">
      <c r="A145" s="2" t="s">
        <v>90</v>
      </c>
      <c r="B145" s="2" t="s">
        <v>103</v>
      </c>
      <c r="C145" s="2">
        <v>1</v>
      </c>
      <c r="D145" s="6" t="str">
        <f t="shared" si="8"/>
        <v>P06-1</v>
      </c>
      <c r="E145" s="9" t="str">
        <f t="shared" si="9"/>
        <v>P06-1-Start</v>
      </c>
      <c r="F145" s="3">
        <v>2.1527777777777778E-2</v>
      </c>
      <c r="L145">
        <f t="shared" si="1"/>
        <v>0</v>
      </c>
      <c r="M145">
        <f t="shared" si="2"/>
        <v>0</v>
      </c>
      <c r="N145" s="12" t="str">
        <f>VLOOKUP(B145,Usergroups!$B$2:$D$12,3,)</f>
        <v>group2</v>
      </c>
    </row>
    <row r="146" spans="1:14" ht="14.25">
      <c r="A146" s="2" t="s">
        <v>90</v>
      </c>
      <c r="B146" s="2" t="s">
        <v>103</v>
      </c>
      <c r="C146" s="2">
        <v>1</v>
      </c>
      <c r="D146" s="6" t="str">
        <f t="shared" si="8"/>
        <v>P06-1</v>
      </c>
      <c r="E146" s="9" t="str">
        <f t="shared" si="9"/>
        <v>---</v>
      </c>
      <c r="G146" s="3">
        <v>2.1527777777777778E-2</v>
      </c>
      <c r="H146" s="3">
        <v>3.3333333333333333E-2</v>
      </c>
      <c r="L146" s="7">
        <f t="shared" si="1"/>
        <v>1.1805555555555555E-2</v>
      </c>
      <c r="M146">
        <f t="shared" si="2"/>
        <v>0</v>
      </c>
      <c r="N146" s="12" t="str">
        <f>VLOOKUP(B146,Usergroups!$B$2:$D$12,3,)</f>
        <v>group2</v>
      </c>
    </row>
    <row r="147" spans="1:14" ht="14.25">
      <c r="A147" s="2" t="s">
        <v>90</v>
      </c>
      <c r="B147" s="2" t="s">
        <v>103</v>
      </c>
      <c r="C147" s="2">
        <v>1</v>
      </c>
      <c r="D147" s="6" t="str">
        <f t="shared" si="8"/>
        <v>P06-1</v>
      </c>
      <c r="E147" s="9" t="str">
        <f t="shared" si="9"/>
        <v>---</v>
      </c>
      <c r="I147" s="3">
        <v>3.3333333333333333E-2</v>
      </c>
      <c r="J147" s="3">
        <v>4.027777777777778E-2</v>
      </c>
      <c r="L147">
        <f t="shared" si="1"/>
        <v>0</v>
      </c>
      <c r="M147" s="7">
        <f t="shared" si="2"/>
        <v>6.9444444444444475E-3</v>
      </c>
      <c r="N147" s="12" t="str">
        <f>VLOOKUP(B147,Usergroups!$B$2:$D$12,3,)</f>
        <v>group2</v>
      </c>
    </row>
    <row r="148" spans="1:14" ht="14.25">
      <c r="A148" s="2" t="s">
        <v>90</v>
      </c>
      <c r="B148" s="2" t="s">
        <v>103</v>
      </c>
      <c r="C148" s="2">
        <v>1</v>
      </c>
      <c r="D148" s="6" t="str">
        <f t="shared" si="8"/>
        <v>P06-1</v>
      </c>
      <c r="E148" s="9" t="str">
        <f t="shared" si="9"/>
        <v>---</v>
      </c>
      <c r="I148" s="3">
        <v>5.2083333333333336E-2</v>
      </c>
      <c r="J148" s="3">
        <v>6.8750000000000006E-2</v>
      </c>
      <c r="L148">
        <f t="shared" si="1"/>
        <v>0</v>
      </c>
      <c r="M148" s="7">
        <f t="shared" si="2"/>
        <v>1.666666666666667E-2</v>
      </c>
      <c r="N148" s="12" t="str">
        <f>VLOOKUP(B148,Usergroups!$B$2:$D$12,3,)</f>
        <v>group2</v>
      </c>
    </row>
    <row r="149" spans="1:14" ht="14.25">
      <c r="A149" s="2" t="s">
        <v>90</v>
      </c>
      <c r="B149" s="2" t="s">
        <v>103</v>
      </c>
      <c r="C149" s="2">
        <v>1</v>
      </c>
      <c r="D149" s="6" t="str">
        <f t="shared" si="8"/>
        <v>P06-1</v>
      </c>
      <c r="E149" s="9" t="str">
        <f t="shared" si="9"/>
        <v>P06-1-End</v>
      </c>
      <c r="K149" s="3">
        <v>6.8750000000000006E-2</v>
      </c>
      <c r="L149">
        <f t="shared" si="1"/>
        <v>0</v>
      </c>
      <c r="M149">
        <f t="shared" si="2"/>
        <v>0</v>
      </c>
      <c r="N149" s="12" t="str">
        <f>VLOOKUP(B149,Usergroups!$B$2:$D$12,3,)</f>
        <v>group2</v>
      </c>
    </row>
    <row r="150" spans="1:14" ht="14.25">
      <c r="A150" s="6" t="s">
        <v>90</v>
      </c>
      <c r="B150" s="6" t="s">
        <v>103</v>
      </c>
      <c r="C150" s="6">
        <v>2</v>
      </c>
      <c r="D150" s="6" t="str">
        <f t="shared" si="8"/>
        <v>P06-2</v>
      </c>
      <c r="E150" s="9" t="str">
        <f t="shared" si="9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1"/>
        <v>0</v>
      </c>
      <c r="M150" s="10">
        <f t="shared" si="2"/>
        <v>0</v>
      </c>
      <c r="N150" s="12" t="str">
        <f>VLOOKUP(B150,Usergroups!$B$2:$D$12,3,)</f>
        <v>group2</v>
      </c>
    </row>
    <row r="151" spans="1:14" ht="14.25">
      <c r="A151" s="6" t="s">
        <v>90</v>
      </c>
      <c r="B151" s="6" t="s">
        <v>103</v>
      </c>
      <c r="C151" s="6">
        <v>2</v>
      </c>
      <c r="D151" s="6" t="str">
        <f t="shared" si="8"/>
        <v>P06-2</v>
      </c>
      <c r="E151" s="9" t="str">
        <f t="shared" si="9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1"/>
        <v>0</v>
      </c>
      <c r="M151" s="11">
        <f t="shared" si="2"/>
        <v>3.6805555555555564E-2</v>
      </c>
      <c r="N151" s="12" t="str">
        <f>VLOOKUP(B151,Usergroups!$B$2:$D$12,3,)</f>
        <v>group2</v>
      </c>
    </row>
    <row r="152" spans="1:14" ht="14.25">
      <c r="A152" s="6" t="s">
        <v>90</v>
      </c>
      <c r="B152" s="6" t="s">
        <v>103</v>
      </c>
      <c r="C152" s="6">
        <v>2</v>
      </c>
      <c r="D152" s="6" t="str">
        <f t="shared" si="8"/>
        <v>P06-2</v>
      </c>
      <c r="E152" s="9" t="str">
        <f t="shared" si="9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1"/>
        <v>8.3333333333333315E-2</v>
      </c>
      <c r="M152" s="10">
        <f t="shared" si="2"/>
        <v>0</v>
      </c>
      <c r="N152" s="12" t="str">
        <f>VLOOKUP(B152,Usergroups!$B$2:$D$12,3,)</f>
        <v>group2</v>
      </c>
    </row>
    <row r="153" spans="1:14" ht="14.25">
      <c r="A153" s="6" t="s">
        <v>90</v>
      </c>
      <c r="B153" s="6" t="s">
        <v>103</v>
      </c>
      <c r="C153" s="6">
        <v>2</v>
      </c>
      <c r="D153" s="6" t="str">
        <f t="shared" si="8"/>
        <v>P06-2</v>
      </c>
      <c r="E153" s="9" t="str">
        <f t="shared" si="9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1"/>
        <v>0</v>
      </c>
      <c r="M153" s="10">
        <f t="shared" si="2"/>
        <v>0</v>
      </c>
      <c r="N153" s="12" t="str">
        <f>VLOOKUP(B153,Usergroups!$B$2:$D$12,3,)</f>
        <v>group2</v>
      </c>
    </row>
    <row r="154" spans="1:14" ht="14.25">
      <c r="A154" s="2" t="s">
        <v>90</v>
      </c>
      <c r="B154" s="2" t="s">
        <v>103</v>
      </c>
      <c r="C154" s="2">
        <v>3</v>
      </c>
      <c r="D154" s="6" t="str">
        <f t="shared" si="8"/>
        <v>P06-3</v>
      </c>
      <c r="E154" s="9" t="str">
        <f t="shared" si="9"/>
        <v>P06-3-Start</v>
      </c>
      <c r="F154" s="3">
        <v>0.24791666666666667</v>
      </c>
      <c r="L154">
        <f t="shared" si="1"/>
        <v>0</v>
      </c>
      <c r="M154">
        <f t="shared" si="2"/>
        <v>0</v>
      </c>
      <c r="N154" s="12" t="str">
        <f>VLOOKUP(B154,Usergroups!$B$2:$D$12,3,)</f>
        <v>group2</v>
      </c>
    </row>
    <row r="155" spans="1:14" ht="14.25">
      <c r="A155" s="2" t="s">
        <v>90</v>
      </c>
      <c r="B155" s="2" t="s">
        <v>103</v>
      </c>
      <c r="C155" s="2">
        <v>3</v>
      </c>
      <c r="D155" s="6" t="str">
        <f t="shared" si="8"/>
        <v>P06-3</v>
      </c>
      <c r="E155" s="9" t="str">
        <f t="shared" si="9"/>
        <v>---</v>
      </c>
      <c r="G155" s="3">
        <v>0.24791666666666667</v>
      </c>
      <c r="H155" s="3">
        <v>0.25416666666666665</v>
      </c>
      <c r="L155" s="7">
        <f t="shared" si="1"/>
        <v>6.2499999999999778E-3</v>
      </c>
      <c r="M155">
        <f t="shared" si="2"/>
        <v>0</v>
      </c>
      <c r="N155" s="12" t="str">
        <f>VLOOKUP(B155,Usergroups!$B$2:$D$12,3,)</f>
        <v>group2</v>
      </c>
    </row>
    <row r="156" spans="1:14" ht="14.25">
      <c r="A156" s="2" t="s">
        <v>90</v>
      </c>
      <c r="B156" s="2" t="s">
        <v>103</v>
      </c>
      <c r="C156" s="2">
        <v>3</v>
      </c>
      <c r="D156" s="6" t="str">
        <f t="shared" si="8"/>
        <v>P06-3</v>
      </c>
      <c r="E156" s="9" t="str">
        <f t="shared" si="9"/>
        <v>---</v>
      </c>
      <c r="I156" s="3">
        <v>0.25416666666666665</v>
      </c>
      <c r="J156" s="3">
        <v>0.25833333333333336</v>
      </c>
      <c r="L156">
        <f t="shared" si="1"/>
        <v>0</v>
      </c>
      <c r="M156" s="7">
        <f t="shared" si="2"/>
        <v>4.1666666666667074E-3</v>
      </c>
      <c r="N156" s="12" t="str">
        <f>VLOOKUP(B156,Usergroups!$B$2:$D$12,3,)</f>
        <v>group2</v>
      </c>
    </row>
    <row r="157" spans="1:14" ht="14.25">
      <c r="A157" s="2" t="s">
        <v>90</v>
      </c>
      <c r="B157" s="2" t="s">
        <v>103</v>
      </c>
      <c r="C157" s="2">
        <v>3</v>
      </c>
      <c r="D157" s="6" t="str">
        <f t="shared" si="8"/>
        <v>P06-3</v>
      </c>
      <c r="E157" s="9" t="str">
        <f t="shared" si="9"/>
        <v>---</v>
      </c>
      <c r="I157" s="3">
        <v>0.25972222222222224</v>
      </c>
      <c r="J157" s="3">
        <v>0.30277777777777776</v>
      </c>
      <c r="L157">
        <f t="shared" si="1"/>
        <v>0</v>
      </c>
      <c r="M157" s="7">
        <f t="shared" si="2"/>
        <v>4.3055555555555514E-2</v>
      </c>
      <c r="N157" s="12" t="str">
        <f>VLOOKUP(B157,Usergroups!$B$2:$D$12,3,)</f>
        <v>group2</v>
      </c>
    </row>
    <row r="158" spans="1:14" ht="14.25">
      <c r="A158" s="2" t="s">
        <v>90</v>
      </c>
      <c r="B158" s="2" t="s">
        <v>103</v>
      </c>
      <c r="C158" s="2">
        <v>3</v>
      </c>
      <c r="D158" s="6" t="str">
        <f t="shared" si="8"/>
        <v>P06-3</v>
      </c>
      <c r="E158" s="9" t="str">
        <f t="shared" si="9"/>
        <v>---</v>
      </c>
      <c r="G158" s="3">
        <v>0.30277777777777776</v>
      </c>
      <c r="H158" s="3">
        <v>0.44930555555555557</v>
      </c>
      <c r="L158" s="7">
        <f t="shared" si="1"/>
        <v>0.14652777777777781</v>
      </c>
      <c r="M158">
        <f t="shared" si="2"/>
        <v>0</v>
      </c>
      <c r="N158" s="12" t="str">
        <f>VLOOKUP(B158,Usergroups!$B$2:$D$12,3,)</f>
        <v>group2</v>
      </c>
    </row>
    <row r="159" spans="1:14" ht="14.25">
      <c r="A159" s="2" t="s">
        <v>90</v>
      </c>
      <c r="B159" s="2" t="s">
        <v>103</v>
      </c>
      <c r="C159" s="2">
        <v>3</v>
      </c>
      <c r="D159" s="6" t="str">
        <f t="shared" si="8"/>
        <v>P06-3</v>
      </c>
      <c r="E159" s="9" t="str">
        <f t="shared" si="9"/>
        <v>P06-3-End</v>
      </c>
      <c r="K159" s="3">
        <v>0.44930555555555557</v>
      </c>
      <c r="L159">
        <f t="shared" si="1"/>
        <v>0</v>
      </c>
      <c r="M159">
        <f t="shared" si="2"/>
        <v>0</v>
      </c>
      <c r="N159" s="12" t="str">
        <f>VLOOKUP(B159,Usergroups!$B$2:$D$12,3,)</f>
        <v>group2</v>
      </c>
    </row>
    <row r="160" spans="1:14" ht="14.25">
      <c r="A160" s="6" t="s">
        <v>91</v>
      </c>
      <c r="B160" s="6" t="s">
        <v>106</v>
      </c>
      <c r="C160" s="6">
        <v>1</v>
      </c>
      <c r="D160" s="6" t="str">
        <f t="shared" si="8"/>
        <v>P07-1</v>
      </c>
      <c r="E160" s="9" t="str">
        <f t="shared" si="9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1"/>
        <v>0</v>
      </c>
      <c r="M160" s="10">
        <f t="shared" si="2"/>
        <v>0</v>
      </c>
      <c r="N160" s="12" t="str">
        <f>VLOOKUP(B160,Usergroups!$B$2:$D$12,3,)</f>
        <v>group2</v>
      </c>
    </row>
    <row r="161" spans="1:14" ht="14.25">
      <c r="A161" s="6" t="s">
        <v>91</v>
      </c>
      <c r="B161" s="6" t="s">
        <v>106</v>
      </c>
      <c r="C161" s="6">
        <v>1</v>
      </c>
      <c r="D161" s="6" t="str">
        <f t="shared" si="8"/>
        <v>P07-1</v>
      </c>
      <c r="E161" s="9" t="str">
        <f t="shared" si="9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1"/>
        <v>6.805555555555555E-2</v>
      </c>
      <c r="M161" s="10">
        <f t="shared" si="2"/>
        <v>0</v>
      </c>
      <c r="N161" s="12" t="str">
        <f>VLOOKUP(B161,Usergroups!$B$2:$D$12,3,)</f>
        <v>group2</v>
      </c>
    </row>
    <row r="162" spans="1:14" ht="14.25">
      <c r="A162" s="6" t="s">
        <v>91</v>
      </c>
      <c r="B162" s="6" t="s">
        <v>106</v>
      </c>
      <c r="C162" s="6">
        <v>1</v>
      </c>
      <c r="D162" s="6" t="str">
        <f t="shared" ref="D162:D177" si="10">_xlfn.TEXTJOIN("-",,B162,C162)</f>
        <v>P07-1</v>
      </c>
      <c r="E162" s="9" t="str">
        <f t="shared" si="9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1"/>
        <v>0</v>
      </c>
      <c r="M162" s="11">
        <f t="shared" si="2"/>
        <v>9.7222222222222293E-3</v>
      </c>
      <c r="N162" s="12" t="str">
        <f>VLOOKUP(B162,Usergroups!$B$2:$D$12,3,)</f>
        <v>group2</v>
      </c>
    </row>
    <row r="163" spans="1:14" ht="14.25">
      <c r="A163" s="6" t="s">
        <v>91</v>
      </c>
      <c r="B163" s="6" t="s">
        <v>106</v>
      </c>
      <c r="C163" s="6">
        <v>1</v>
      </c>
      <c r="D163" s="6" t="str">
        <f t="shared" si="10"/>
        <v>P07-1</v>
      </c>
      <c r="E163" s="9" t="str">
        <f t="shared" si="9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1"/>
        <v>0</v>
      </c>
      <c r="M163" s="11">
        <f t="shared" si="2"/>
        <v>2.2222222222222227E-2</v>
      </c>
      <c r="N163" s="12" t="str">
        <f>VLOOKUP(B163,Usergroups!$B$2:$D$12,3,)</f>
        <v>group2</v>
      </c>
    </row>
    <row r="164" spans="1:14" ht="14.25">
      <c r="A164" s="6" t="s">
        <v>91</v>
      </c>
      <c r="B164" s="6" t="s">
        <v>106</v>
      </c>
      <c r="C164" s="6">
        <v>1</v>
      </c>
      <c r="D164" s="6" t="str">
        <f t="shared" si="10"/>
        <v>P07-1</v>
      </c>
      <c r="E164" s="9" t="str">
        <f t="shared" si="9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1"/>
        <v>0</v>
      </c>
      <c r="M164" s="10">
        <f t="shared" si="2"/>
        <v>0</v>
      </c>
      <c r="N164" s="12" t="str">
        <f>VLOOKUP(B164,Usergroups!$B$2:$D$12,3,)</f>
        <v>group2</v>
      </c>
    </row>
    <row r="165" spans="1:14" ht="14.25">
      <c r="A165" s="2" t="s">
        <v>91</v>
      </c>
      <c r="B165" s="14" t="s">
        <v>106</v>
      </c>
      <c r="C165" s="2">
        <v>2</v>
      </c>
      <c r="D165" s="6" t="str">
        <f t="shared" si="10"/>
        <v>P07-2</v>
      </c>
      <c r="E165" s="9" t="str">
        <f t="shared" si="9"/>
        <v>P07-2-Start</v>
      </c>
      <c r="F165" s="3">
        <v>0.15208333333333332</v>
      </c>
      <c r="L165">
        <f t="shared" si="1"/>
        <v>0</v>
      </c>
      <c r="M165">
        <f t="shared" si="2"/>
        <v>0</v>
      </c>
      <c r="N165" s="12" t="str">
        <f>VLOOKUP(B165,Usergroups!$B$2:$D$12,3,)</f>
        <v>group2</v>
      </c>
    </row>
    <row r="166" spans="1:14" ht="14.25">
      <c r="A166" s="2" t="s">
        <v>91</v>
      </c>
      <c r="B166" s="14" t="s">
        <v>106</v>
      </c>
      <c r="C166" s="2">
        <v>2</v>
      </c>
      <c r="D166" s="6" t="str">
        <f t="shared" si="10"/>
        <v>P07-2</v>
      </c>
      <c r="E166" s="9" t="str">
        <f t="shared" si="9"/>
        <v>---</v>
      </c>
      <c r="I166" s="3">
        <v>0.15208333333333332</v>
      </c>
      <c r="J166" s="3">
        <v>0.15486111111111112</v>
      </c>
      <c r="L166">
        <f t="shared" si="1"/>
        <v>0</v>
      </c>
      <c r="M166" s="7">
        <f t="shared" si="2"/>
        <v>2.7777777777777957E-3</v>
      </c>
      <c r="N166" s="12" t="str">
        <f>VLOOKUP(B166,Usergroups!$B$2:$D$12,3,)</f>
        <v>group2</v>
      </c>
    </row>
    <row r="167" spans="1:14" ht="14.25">
      <c r="A167" s="2" t="s">
        <v>91</v>
      </c>
      <c r="B167" s="14" t="s">
        <v>106</v>
      </c>
      <c r="C167" s="2">
        <v>2</v>
      </c>
      <c r="D167" s="6" t="str">
        <f t="shared" si="10"/>
        <v>P07-2</v>
      </c>
      <c r="E167" s="9" t="str">
        <f t="shared" si="9"/>
        <v>---</v>
      </c>
      <c r="G167" s="3">
        <v>0.15486111111111112</v>
      </c>
      <c r="H167" s="3">
        <v>0.16666666666666666</v>
      </c>
      <c r="L167" s="7">
        <f t="shared" si="1"/>
        <v>1.1805555555555541E-2</v>
      </c>
      <c r="M167">
        <f t="shared" si="2"/>
        <v>0</v>
      </c>
      <c r="N167" s="12" t="str">
        <f>VLOOKUP(B167,Usergroups!$B$2:$D$12,3,)</f>
        <v>group2</v>
      </c>
    </row>
    <row r="168" spans="1:14" ht="14.25">
      <c r="A168" s="2" t="s">
        <v>91</v>
      </c>
      <c r="B168" s="14" t="s">
        <v>106</v>
      </c>
      <c r="C168" s="2">
        <v>2</v>
      </c>
      <c r="D168" s="6" t="str">
        <f t="shared" si="10"/>
        <v>P07-2</v>
      </c>
      <c r="E168" s="9" t="str">
        <f t="shared" si="9"/>
        <v>---</v>
      </c>
      <c r="I168" s="3">
        <v>0.16666666666666666</v>
      </c>
      <c r="J168" s="3">
        <v>0.17430555555555555</v>
      </c>
      <c r="L168">
        <f t="shared" si="1"/>
        <v>0</v>
      </c>
      <c r="M168" s="7">
        <f t="shared" si="2"/>
        <v>7.6388888888888895E-3</v>
      </c>
      <c r="N168" s="12" t="str">
        <f>VLOOKUP(B168,Usergroups!$B$2:$D$12,3,)</f>
        <v>group2</v>
      </c>
    </row>
    <row r="169" spans="1:14" ht="14.25">
      <c r="A169" s="2" t="s">
        <v>91</v>
      </c>
      <c r="B169" s="14" t="s">
        <v>106</v>
      </c>
      <c r="C169" s="2">
        <v>2</v>
      </c>
      <c r="D169" s="6" t="str">
        <f t="shared" si="10"/>
        <v>P07-2</v>
      </c>
      <c r="E169" s="9" t="str">
        <f t="shared" si="9"/>
        <v>---</v>
      </c>
      <c r="I169" s="3">
        <v>0.17708333333333334</v>
      </c>
      <c r="J169" s="3">
        <v>0.19583333333333333</v>
      </c>
      <c r="L169">
        <f t="shared" si="1"/>
        <v>0</v>
      </c>
      <c r="M169" s="7">
        <f t="shared" si="2"/>
        <v>1.8749999999999989E-2</v>
      </c>
      <c r="N169" s="12" t="str">
        <f>VLOOKUP(B169,Usergroups!$B$2:$D$12,3,)</f>
        <v>group2</v>
      </c>
    </row>
    <row r="170" spans="1:14" ht="14.25">
      <c r="A170" s="2" t="s">
        <v>91</v>
      </c>
      <c r="B170" s="14" t="s">
        <v>106</v>
      </c>
      <c r="C170" s="2">
        <v>2</v>
      </c>
      <c r="D170" s="6" t="str">
        <f t="shared" si="10"/>
        <v>P07-2</v>
      </c>
      <c r="E170" s="9" t="str">
        <f t="shared" si="9"/>
        <v>---</v>
      </c>
      <c r="G170" s="3">
        <v>0.19583333333333333</v>
      </c>
      <c r="H170" s="3">
        <v>0.28749999999999998</v>
      </c>
      <c r="L170" s="7">
        <f t="shared" si="1"/>
        <v>9.1666666666666646E-2</v>
      </c>
      <c r="M170">
        <f t="shared" si="2"/>
        <v>0</v>
      </c>
      <c r="N170" s="12" t="str">
        <f>VLOOKUP(B170,Usergroups!$B$2:$D$12,3,)</f>
        <v>group2</v>
      </c>
    </row>
    <row r="171" spans="1:14" ht="14.25">
      <c r="A171" s="2" t="s">
        <v>91</v>
      </c>
      <c r="B171" s="14" t="s">
        <v>106</v>
      </c>
      <c r="C171" s="2">
        <v>2</v>
      </c>
      <c r="D171" s="6" t="str">
        <f t="shared" si="10"/>
        <v>P07-2</v>
      </c>
      <c r="E171" s="9" t="str">
        <f t="shared" si="9"/>
        <v>P07-2-End</v>
      </c>
      <c r="K171" s="3">
        <v>0.28749999999999998</v>
      </c>
      <c r="L171">
        <f t="shared" si="1"/>
        <v>0</v>
      </c>
      <c r="M171">
        <f t="shared" si="2"/>
        <v>0</v>
      </c>
      <c r="N171" s="12" t="str">
        <f>VLOOKUP(B171,Usergroups!$B$2:$D$12,3,)</f>
        <v>group2</v>
      </c>
    </row>
    <row r="172" spans="1:14" ht="14.25">
      <c r="A172" s="6" t="s">
        <v>91</v>
      </c>
      <c r="B172" s="6" t="s">
        <v>106</v>
      </c>
      <c r="C172" s="6">
        <v>3</v>
      </c>
      <c r="D172" s="6" t="str">
        <f t="shared" si="10"/>
        <v>P07-3</v>
      </c>
      <c r="E172" s="9" t="str">
        <f t="shared" si="9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1"/>
        <v>0</v>
      </c>
      <c r="M172" s="10">
        <f t="shared" si="2"/>
        <v>0</v>
      </c>
      <c r="N172" s="12" t="str">
        <f>VLOOKUP(B172,Usergroups!$B$2:$D$12,3,)</f>
        <v>group2</v>
      </c>
    </row>
    <row r="173" spans="1:14" ht="14.25">
      <c r="A173" s="6" t="s">
        <v>91</v>
      </c>
      <c r="B173" s="6" t="s">
        <v>106</v>
      </c>
      <c r="C173" s="6">
        <v>3</v>
      </c>
      <c r="D173" s="6" t="str">
        <f t="shared" si="10"/>
        <v>P07-3</v>
      </c>
      <c r="E173" s="9" t="str">
        <f t="shared" si="9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1"/>
        <v>6.2499999999999778E-3</v>
      </c>
      <c r="M173" s="10">
        <f t="shared" si="2"/>
        <v>0</v>
      </c>
      <c r="N173" s="12" t="str">
        <f>VLOOKUP(B173,Usergroups!$B$2:$D$12,3,)</f>
        <v>group2</v>
      </c>
    </row>
    <row r="174" spans="1:14" ht="14.25">
      <c r="A174" s="6" t="s">
        <v>91</v>
      </c>
      <c r="B174" s="6" t="s">
        <v>106</v>
      </c>
      <c r="C174" s="6">
        <v>3</v>
      </c>
      <c r="D174" s="6" t="str">
        <f t="shared" si="10"/>
        <v>P07-3</v>
      </c>
      <c r="E174" s="9" t="str">
        <f t="shared" si="9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1"/>
        <v>0</v>
      </c>
      <c r="M174" s="11">
        <f t="shared" si="2"/>
        <v>1.0416666666666685E-2</v>
      </c>
      <c r="N174" s="12" t="str">
        <f>VLOOKUP(B174,Usergroups!$B$2:$D$12,3,)</f>
        <v>group2</v>
      </c>
    </row>
    <row r="175" spans="1:14" ht="14.25">
      <c r="A175" s="6" t="s">
        <v>91</v>
      </c>
      <c r="B175" s="6" t="s">
        <v>106</v>
      </c>
      <c r="C175" s="6">
        <v>3</v>
      </c>
      <c r="D175" s="6" t="str">
        <f t="shared" si="10"/>
        <v>P07-3</v>
      </c>
      <c r="E175" s="9" t="str">
        <f t="shared" si="9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1"/>
        <v>0</v>
      </c>
      <c r="M175" s="11">
        <f t="shared" si="2"/>
        <v>6.2500000000000333E-3</v>
      </c>
      <c r="N175" s="12" t="str">
        <f>VLOOKUP(B175,Usergroups!$B$2:$D$12,3,)</f>
        <v>group2</v>
      </c>
    </row>
    <row r="176" spans="1:14" ht="14.25">
      <c r="A176" s="6" t="s">
        <v>91</v>
      </c>
      <c r="B176" s="6" t="s">
        <v>106</v>
      </c>
      <c r="C176" s="6">
        <v>3</v>
      </c>
      <c r="D176" s="6" t="str">
        <f t="shared" si="10"/>
        <v>P07-3</v>
      </c>
      <c r="E176" s="9" t="str">
        <f t="shared" si="9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1"/>
        <v>0.11944444444444441</v>
      </c>
      <c r="M176" s="10">
        <f t="shared" si="2"/>
        <v>0</v>
      </c>
      <c r="N176" s="12" t="str">
        <f>VLOOKUP(B176,Usergroups!$B$2:$D$12,3,)</f>
        <v>group2</v>
      </c>
    </row>
    <row r="177" spans="1:14" ht="14.25">
      <c r="A177" s="6" t="s">
        <v>91</v>
      </c>
      <c r="B177" s="6" t="s">
        <v>106</v>
      </c>
      <c r="C177" s="6">
        <v>3</v>
      </c>
      <c r="D177" s="6" t="str">
        <f t="shared" si="10"/>
        <v>P07-3</v>
      </c>
      <c r="E177" s="9" t="str">
        <f t="shared" si="9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1"/>
        <v>0</v>
      </c>
      <c r="M177" s="10">
        <f t="shared" si="2"/>
        <v>0</v>
      </c>
      <c r="N177" s="12" t="str">
        <f>VLOOKUP(B177,Usergroups!$B$2:$D$12,3,)</f>
        <v>group2</v>
      </c>
    </row>
    <row r="178" spans="1:14" ht="15.75" customHeight="1">
      <c r="L178" s="47"/>
      <c r="M178" s="49"/>
    </row>
    <row r="179" spans="1:14" ht="15.75" customHeight="1">
      <c r="L179" s="49"/>
    </row>
  </sheetData>
  <autoFilter ref="A1:Q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50"/>
  <sheetViews>
    <sheetView topLeftCell="A38" zoomScaleNormal="100" workbookViewId="0">
      <selection activeCell="C42" sqref="C42"/>
    </sheetView>
  </sheetViews>
  <sheetFormatPr baseColWidth="10" defaultColWidth="14.42578125" defaultRowHeight="15.75" customHeight="1"/>
  <cols>
    <col min="2" max="2" width="11.7109375" customWidth="1"/>
    <col min="3" max="3" width="11.7109375" style="43" customWidth="1"/>
    <col min="4" max="4" width="18.28515625" customWidth="1"/>
    <col min="5" max="5" width="20.28515625" customWidth="1"/>
    <col min="6" max="6" width="16.140625" customWidth="1"/>
    <col min="7" max="7" width="18.5703125" customWidth="1"/>
    <col min="8" max="8" width="12.7109375" customWidth="1"/>
    <col min="9" max="9" width="11.7109375" customWidth="1"/>
    <col min="10" max="10" width="14" customWidth="1"/>
    <col min="11" max="11" width="11.5703125" customWidth="1"/>
    <col min="12" max="12" width="10.28515625" customWidth="1"/>
    <col min="13" max="13" width="9.42578125" customWidth="1"/>
    <col min="14" max="14" width="10.42578125" customWidth="1"/>
    <col min="15" max="15" width="11.5703125" customWidth="1"/>
    <col min="16" max="16" width="11.140625" customWidth="1"/>
    <col min="17" max="17" width="11.42578125" customWidth="1"/>
    <col min="18" max="18" width="11.5703125" customWidth="1"/>
    <col min="19" max="19" width="10.5703125" customWidth="1"/>
    <col min="20" max="20" width="10.85546875" customWidth="1"/>
    <col min="21" max="21" width="11.5703125" customWidth="1"/>
    <col min="22" max="22" width="10.7109375" customWidth="1"/>
    <col min="23" max="23" width="13.140625" customWidth="1"/>
    <col min="24" max="25" width="13.7109375" customWidth="1"/>
    <col min="26" max="26" width="19.28515625" customWidth="1"/>
  </cols>
  <sheetData>
    <row r="1" spans="1:27" ht="15.75" customHeight="1">
      <c r="A1" s="58" t="s">
        <v>1</v>
      </c>
      <c r="B1" s="55" t="s">
        <v>23</v>
      </c>
      <c r="C1" s="42"/>
      <c r="D1" s="18"/>
      <c r="E1" s="55" t="s">
        <v>109</v>
      </c>
      <c r="F1" s="56"/>
      <c r="G1" s="56"/>
      <c r="I1" s="55" t="s">
        <v>110</v>
      </c>
      <c r="J1" s="56"/>
      <c r="K1" s="56"/>
      <c r="L1" s="57" t="s">
        <v>111</v>
      </c>
      <c r="M1" s="56"/>
      <c r="N1" s="56"/>
      <c r="P1" s="55" t="s">
        <v>112</v>
      </c>
      <c r="Q1" s="56"/>
      <c r="R1" s="56"/>
      <c r="S1" s="57" t="s">
        <v>113</v>
      </c>
      <c r="T1" s="56"/>
      <c r="U1" s="56"/>
      <c r="V1" s="57" t="s">
        <v>114</v>
      </c>
      <c r="W1" s="56"/>
      <c r="X1" s="56"/>
      <c r="Y1" s="57" t="s">
        <v>115</v>
      </c>
      <c r="Z1" s="56"/>
      <c r="AA1" s="56"/>
    </row>
    <row r="2" spans="1:27" ht="15.75" customHeight="1">
      <c r="A2" s="56"/>
      <c r="B2" s="56"/>
      <c r="C2" s="31" t="s">
        <v>194</v>
      </c>
      <c r="D2" s="31" t="s">
        <v>125</v>
      </c>
      <c r="E2" s="2" t="s">
        <v>116</v>
      </c>
      <c r="F2" s="2" t="s">
        <v>117</v>
      </c>
      <c r="G2" s="2" t="s">
        <v>118</v>
      </c>
      <c r="H2" s="33" t="s">
        <v>126</v>
      </c>
      <c r="I2" s="2" t="s">
        <v>116</v>
      </c>
      <c r="J2" s="2" t="s">
        <v>117</v>
      </c>
      <c r="K2" s="2" t="s">
        <v>118</v>
      </c>
      <c r="L2" s="2" t="s">
        <v>116</v>
      </c>
      <c r="M2" s="2" t="s">
        <v>117</v>
      </c>
      <c r="N2" s="2" t="s">
        <v>118</v>
      </c>
      <c r="O2" s="33" t="s">
        <v>127</v>
      </c>
      <c r="P2" s="2" t="s">
        <v>116</v>
      </c>
      <c r="Q2" s="2" t="s">
        <v>117</v>
      </c>
      <c r="R2" s="2" t="s">
        <v>118</v>
      </c>
      <c r="S2" s="2" t="s">
        <v>116</v>
      </c>
      <c r="T2" s="2" t="s">
        <v>117</v>
      </c>
      <c r="U2" s="2" t="s">
        <v>118</v>
      </c>
      <c r="V2" s="2" t="s">
        <v>116</v>
      </c>
      <c r="W2" s="2" t="s">
        <v>117</v>
      </c>
      <c r="X2" s="2" t="s">
        <v>118</v>
      </c>
      <c r="Y2" s="2" t="s">
        <v>116</v>
      </c>
      <c r="Z2" s="2" t="s">
        <v>117</v>
      </c>
      <c r="AA2" s="2" t="s">
        <v>118</v>
      </c>
    </row>
    <row r="3" spans="1:27" ht="15.75" hidden="1" customHeight="1">
      <c r="A3" s="2" t="s">
        <v>37</v>
      </c>
      <c r="B3" s="2" t="s">
        <v>46</v>
      </c>
      <c r="C3" s="44" t="str">
        <f>VLOOKUP(B3,Usergroups!$B$2:$D$12,3,)</f>
        <v>group3</v>
      </c>
      <c r="D3" s="34">
        <f>VLOOKUP(_xlfn.TEXTJOIN("-",,B3,"1"),Trips!$E$2:$G$34,2,)</f>
        <v>2.7083333333333334E-2</v>
      </c>
      <c r="E3" s="20">
        <v>6.5972222222222224E-2</v>
      </c>
      <c r="F3" s="7">
        <f>E3-D3</f>
        <v>3.888888888888889E-2</v>
      </c>
      <c r="G3" s="2" t="s">
        <v>119</v>
      </c>
      <c r="H3" s="34">
        <f>VLOOKUP(_xlfn.TEXTJOIN("-",,B3,"2"),Trips!$E$2:$G$34,2,)</f>
        <v>9.0277777777777776E-2</v>
      </c>
      <c r="I3" s="3">
        <v>9.7222222222222224E-2</v>
      </c>
      <c r="J3" s="7">
        <f>I3-H3</f>
        <v>6.9444444444444475E-3</v>
      </c>
      <c r="K3" s="2" t="s">
        <v>119</v>
      </c>
      <c r="L3" s="3">
        <v>0.12013888888888889</v>
      </c>
      <c r="M3" s="7">
        <f>L3-H3</f>
        <v>2.9861111111111116E-2</v>
      </c>
      <c r="N3" s="2" t="s">
        <v>120</v>
      </c>
      <c r="O3" s="34">
        <f>VLOOKUP(_xlfn.TEXTJOIN("-",,B3,"3"),Trips!$E$2:$G$34,2,)</f>
        <v>0.14097222222222222</v>
      </c>
      <c r="P3" s="3">
        <v>0.15069444444444444</v>
      </c>
      <c r="Q3" s="32">
        <f>P3-O3</f>
        <v>9.7222222222222154E-3</v>
      </c>
      <c r="R3" s="2" t="s">
        <v>119</v>
      </c>
      <c r="S3" s="3">
        <v>0.19513888888888889</v>
      </c>
      <c r="T3" s="32">
        <f>S3-O3</f>
        <v>5.4166666666666669E-2</v>
      </c>
      <c r="U3" s="2" t="s">
        <v>120</v>
      </c>
      <c r="V3" s="3">
        <v>0.20694444444444443</v>
      </c>
      <c r="W3" s="32">
        <f>V3-O3</f>
        <v>6.597222222222221E-2</v>
      </c>
      <c r="X3" s="2" t="s">
        <v>120</v>
      </c>
      <c r="Y3" s="3">
        <v>0.24791666666666667</v>
      </c>
      <c r="Z3" s="32">
        <f>Y3-O3</f>
        <v>0.10694444444444445</v>
      </c>
      <c r="AA3" s="2" t="s">
        <v>120</v>
      </c>
    </row>
    <row r="4" spans="1:27" ht="15.75" hidden="1" customHeight="1">
      <c r="A4" s="2" t="s">
        <v>54</v>
      </c>
      <c r="B4" s="2" t="s">
        <v>55</v>
      </c>
      <c r="C4" s="44" t="str">
        <f>VLOOKUP(B4,Usergroups!$B$2:$D$12,3,)</f>
        <v>group2</v>
      </c>
      <c r="D4" s="34">
        <f>VLOOKUP(_xlfn.TEXTJOIN("-",,B4,"1"),Trips!$E$2:$G$34,2,)</f>
        <v>2.361111111111111E-2</v>
      </c>
      <c r="E4" s="21">
        <v>0.16111111111111112</v>
      </c>
      <c r="F4" s="7">
        <f t="shared" ref="F4:F13" si="0">E4-D4</f>
        <v>0.13750000000000001</v>
      </c>
      <c r="G4" s="2" t="s">
        <v>119</v>
      </c>
      <c r="H4" s="34">
        <f>VLOOKUP(_xlfn.TEXTJOIN("-",,B4,"2"),Trips!$E$2:$G$34,2,)</f>
        <v>0.21597222222222223</v>
      </c>
      <c r="I4" s="3">
        <v>0.23194444444444445</v>
      </c>
      <c r="J4" s="7">
        <f t="shared" ref="J4:J13" si="1">I4-H4</f>
        <v>1.5972222222222221E-2</v>
      </c>
      <c r="K4" s="2" t="s">
        <v>119</v>
      </c>
      <c r="L4" s="3">
        <v>0.31041666666666667</v>
      </c>
      <c r="M4" s="7">
        <f t="shared" ref="M4:M13" si="2">L4-H4</f>
        <v>9.4444444444444442E-2</v>
      </c>
      <c r="N4" s="2" t="s">
        <v>119</v>
      </c>
      <c r="O4" s="34">
        <f>VLOOKUP(_xlfn.TEXTJOIN("-",,B4,"3"),Trips!$E$2:$G$34,2,)</f>
        <v>0.36041666666666666</v>
      </c>
      <c r="P4" s="3">
        <v>0.36527777777777776</v>
      </c>
      <c r="Q4" s="32">
        <f t="shared" ref="Q4:Q13" si="3">P4-O4</f>
        <v>4.8611111111110938E-3</v>
      </c>
      <c r="R4" s="2" t="s">
        <v>119</v>
      </c>
      <c r="S4" s="3">
        <v>0.43819444444444444</v>
      </c>
      <c r="T4" s="32">
        <f t="shared" ref="T4:T13" si="4">S4-O4</f>
        <v>7.7777777777777779E-2</v>
      </c>
      <c r="U4" s="2" t="s">
        <v>119</v>
      </c>
      <c r="V4" s="3">
        <v>0.45416666666666666</v>
      </c>
      <c r="W4" s="32">
        <f t="shared" ref="W4:W13" si="5">V4-O4</f>
        <v>9.375E-2</v>
      </c>
      <c r="X4" s="2" t="s">
        <v>119</v>
      </c>
      <c r="Y4" s="3">
        <v>0.46388888888888891</v>
      </c>
      <c r="Z4" s="32">
        <f t="shared" ref="Z4:Z13" si="6">Y4-O4</f>
        <v>0.10347222222222224</v>
      </c>
      <c r="AA4" s="2" t="s">
        <v>119</v>
      </c>
    </row>
    <row r="5" spans="1:27" ht="15.75" customHeight="1">
      <c r="A5" s="2" t="s">
        <v>62</v>
      </c>
      <c r="B5" s="2" t="s">
        <v>61</v>
      </c>
      <c r="C5" s="44" t="str">
        <f>VLOOKUP(B5,Usergroups!$B$2:$D$12,3,)</f>
        <v>group1</v>
      </c>
      <c r="D5" s="34">
        <f>VLOOKUP(_xlfn.TEXTJOIN("-",,B5,"1"),Trips!$E$2:$G$34,2,)</f>
        <v>1.9444444444444445E-2</v>
      </c>
      <c r="E5" s="20">
        <v>9.7222222222222224E-2</v>
      </c>
      <c r="F5" s="7">
        <f t="shared" si="0"/>
        <v>7.7777777777777779E-2</v>
      </c>
      <c r="G5" s="2" t="s">
        <v>119</v>
      </c>
      <c r="H5" s="34">
        <f>VLOOKUP(_xlfn.TEXTJOIN("-",,B5,"2"),Trips!$E$2:$G$34,2,)</f>
        <v>0.18124999999999999</v>
      </c>
      <c r="I5" s="3">
        <v>0.19583333333333333</v>
      </c>
      <c r="J5" s="7">
        <f t="shared" si="1"/>
        <v>1.4583333333333337E-2</v>
      </c>
      <c r="K5" s="2" t="s">
        <v>119</v>
      </c>
      <c r="L5" s="3">
        <v>0.26041666666666669</v>
      </c>
      <c r="M5" s="7">
        <f t="shared" si="2"/>
        <v>7.9166666666666691E-2</v>
      </c>
      <c r="N5" s="2" t="s">
        <v>120</v>
      </c>
      <c r="O5" s="34">
        <f>VLOOKUP(_xlfn.TEXTJOIN("-",,B5,"3"),Trips!$E$2:$G$34,2,)</f>
        <v>0.30069444444444443</v>
      </c>
      <c r="P5" s="3">
        <v>0.31319444444444444</v>
      </c>
      <c r="Q5" s="32">
        <f t="shared" si="3"/>
        <v>1.2500000000000011E-2</v>
      </c>
      <c r="R5" s="2" t="s">
        <v>119</v>
      </c>
      <c r="S5" s="3">
        <v>0.40763888888888888</v>
      </c>
      <c r="T5" s="32">
        <f t="shared" si="4"/>
        <v>0.10694444444444445</v>
      </c>
      <c r="U5" s="2" t="s">
        <v>120</v>
      </c>
      <c r="V5" s="3">
        <v>0.42430555555555555</v>
      </c>
      <c r="W5" s="32">
        <f t="shared" si="5"/>
        <v>0.12361111111111112</v>
      </c>
      <c r="X5" s="2" t="s">
        <v>120</v>
      </c>
      <c r="Y5" s="3">
        <v>0.45277777777777778</v>
      </c>
      <c r="Z5" s="32">
        <f t="shared" si="6"/>
        <v>0.15208333333333335</v>
      </c>
      <c r="AA5" s="2" t="s">
        <v>120</v>
      </c>
    </row>
    <row r="6" spans="1:27" ht="15.75" hidden="1" customHeight="1">
      <c r="A6" s="2" t="s">
        <v>66</v>
      </c>
      <c r="B6" s="2" t="s">
        <v>65</v>
      </c>
      <c r="C6" s="44" t="str">
        <f>VLOOKUP(B6,Usergroups!$B$2:$D$12,3,)</f>
        <v>group3</v>
      </c>
      <c r="D6" s="34">
        <f>VLOOKUP(_xlfn.TEXTJOIN("-",,B6,"1"),Trips!$E$2:$G$34,2,)</f>
        <v>2.361111111111111E-2</v>
      </c>
      <c r="E6" s="22">
        <v>4.6527777777777779E-2</v>
      </c>
      <c r="F6" s="7">
        <f t="shared" si="0"/>
        <v>2.2916666666666669E-2</v>
      </c>
      <c r="G6" s="2" t="s">
        <v>119</v>
      </c>
      <c r="H6" s="34">
        <f>VLOOKUP(_xlfn.TEXTJOIN("-",,B6,"2"),Trips!$E$2:$G$34,2,)</f>
        <v>7.6388888888888895E-2</v>
      </c>
      <c r="I6" s="3">
        <v>8.2638888888888887E-2</v>
      </c>
      <c r="J6" s="7">
        <f t="shared" si="1"/>
        <v>6.2499999999999917E-3</v>
      </c>
      <c r="K6" s="2" t="s">
        <v>119</v>
      </c>
      <c r="L6" s="3">
        <v>0.14097222222222222</v>
      </c>
      <c r="M6" s="7">
        <f t="shared" si="2"/>
        <v>6.4583333333333326E-2</v>
      </c>
      <c r="N6" s="2" t="s">
        <v>120</v>
      </c>
      <c r="O6" s="34">
        <f>VLOOKUP(_xlfn.TEXTJOIN("-",,B6,"3"),Trips!$E$2:$G$34,2,)</f>
        <v>0.18333333333333332</v>
      </c>
      <c r="P6" s="3">
        <v>0.19652777777777777</v>
      </c>
      <c r="Q6" s="32">
        <f t="shared" si="3"/>
        <v>1.3194444444444453E-2</v>
      </c>
      <c r="R6" s="2" t="s">
        <v>119</v>
      </c>
      <c r="S6" s="3">
        <v>0.2638888888888889</v>
      </c>
      <c r="T6" s="32">
        <f t="shared" si="4"/>
        <v>8.0555555555555575E-2</v>
      </c>
      <c r="U6" s="2" t="s">
        <v>120</v>
      </c>
      <c r="V6" s="3">
        <v>0.32083333333333336</v>
      </c>
      <c r="W6" s="32">
        <f t="shared" si="5"/>
        <v>0.13750000000000004</v>
      </c>
      <c r="X6" s="2" t="s">
        <v>120</v>
      </c>
      <c r="Y6" s="3">
        <v>0.32361111111111113</v>
      </c>
      <c r="Z6" s="32">
        <f t="shared" si="6"/>
        <v>0.14027777777777781</v>
      </c>
      <c r="AA6" s="2" t="s">
        <v>120</v>
      </c>
    </row>
    <row r="7" spans="1:27" ht="15.75" customHeight="1">
      <c r="A7" s="2" t="s">
        <v>72</v>
      </c>
      <c r="B7" s="2" t="s">
        <v>71</v>
      </c>
      <c r="C7" s="44" t="str">
        <f>VLOOKUP(B7,Usergroups!$B$2:$D$12,3,)</f>
        <v>group1</v>
      </c>
      <c r="D7" s="34">
        <f>VLOOKUP(_xlfn.TEXTJOIN("-",,B7,"1"),Trips!$E$2:$G$34,2,)</f>
        <v>3.6111111111111108E-2</v>
      </c>
      <c r="E7" s="22">
        <v>9.583333333333334E-2</v>
      </c>
      <c r="F7" s="7">
        <f t="shared" si="0"/>
        <v>5.9722222222222232E-2</v>
      </c>
      <c r="G7" s="2" t="s">
        <v>119</v>
      </c>
      <c r="H7" s="34">
        <f>VLOOKUP(_xlfn.TEXTJOIN("-",,B7,"2"),Trips!$E$2:$G$34,2,)</f>
        <v>0.13263888888888889</v>
      </c>
      <c r="I7" s="3">
        <v>0.16458333333333333</v>
      </c>
      <c r="J7" s="7">
        <f t="shared" si="1"/>
        <v>3.1944444444444442E-2</v>
      </c>
      <c r="K7" s="2" t="s">
        <v>119</v>
      </c>
      <c r="L7" s="3">
        <v>0.19375000000000001</v>
      </c>
      <c r="M7" s="7">
        <f t="shared" si="2"/>
        <v>6.1111111111111116E-2</v>
      </c>
      <c r="N7" s="2" t="s">
        <v>120</v>
      </c>
      <c r="O7" s="34">
        <f>VLOOKUP(_xlfn.TEXTJOIN("-",,B7,"3"),Trips!$E$2:$G$34,2,)</f>
        <v>0.24236111111111111</v>
      </c>
      <c r="P7" s="3">
        <v>0.24652777777777779</v>
      </c>
      <c r="Q7" s="32">
        <f t="shared" si="3"/>
        <v>4.1666666666666796E-3</v>
      </c>
      <c r="R7" s="2" t="s">
        <v>119</v>
      </c>
      <c r="S7" s="3">
        <v>0.35347222222222224</v>
      </c>
      <c r="T7" s="32">
        <f t="shared" si="4"/>
        <v>0.11111111111111113</v>
      </c>
      <c r="U7" s="2" t="s">
        <v>120</v>
      </c>
      <c r="V7" s="3">
        <v>0.37152777777777779</v>
      </c>
      <c r="W7" s="32">
        <f t="shared" si="5"/>
        <v>0.12916666666666668</v>
      </c>
      <c r="X7" s="2" t="s">
        <v>120</v>
      </c>
      <c r="Y7" s="3">
        <v>0.39097222222222222</v>
      </c>
      <c r="Z7" s="32">
        <f t="shared" si="6"/>
        <v>0.14861111111111111</v>
      </c>
      <c r="AA7" s="2" t="s">
        <v>120</v>
      </c>
    </row>
    <row r="8" spans="1:27" ht="15.75" customHeight="1">
      <c r="A8" s="2" t="s">
        <v>81</v>
      </c>
      <c r="B8" s="2" t="s">
        <v>80</v>
      </c>
      <c r="C8" s="44" t="str">
        <f>VLOOKUP(B8,Usergroups!$B$2:$D$12,3,)</f>
        <v>group1</v>
      </c>
      <c r="D8" s="34">
        <f>VLOOKUP(_xlfn.TEXTJOIN("-",,B8,"1"),Trips!$E$2:$G$34,2,)</f>
        <v>2.7083333333333334E-2</v>
      </c>
      <c r="E8" s="22">
        <v>9.0277777777777776E-2</v>
      </c>
      <c r="F8" s="7">
        <f t="shared" si="0"/>
        <v>6.3194444444444442E-2</v>
      </c>
      <c r="G8" s="2" t="s">
        <v>119</v>
      </c>
      <c r="H8" s="34">
        <f>VLOOKUP(_xlfn.TEXTJOIN("-",,B8,"2"),Trips!$E$2:$G$34,2,)</f>
        <v>0.15208333333333332</v>
      </c>
      <c r="I8" s="3">
        <v>0.20277777777777778</v>
      </c>
      <c r="J8" s="7">
        <f t="shared" si="1"/>
        <v>5.0694444444444459E-2</v>
      </c>
      <c r="K8" s="2" t="s">
        <v>119</v>
      </c>
      <c r="L8" s="3">
        <v>0.35833333333333334</v>
      </c>
      <c r="M8" s="7">
        <f t="shared" si="2"/>
        <v>0.20625000000000002</v>
      </c>
      <c r="N8" s="2" t="s">
        <v>119</v>
      </c>
      <c r="O8" s="34">
        <f>VLOOKUP(_xlfn.TEXTJOIN("-",,B8,"3"),Trips!$E$2:$G$34,2,)</f>
        <v>0.40763888888888888</v>
      </c>
      <c r="P8" s="3">
        <v>0.41875000000000001</v>
      </c>
      <c r="Q8" s="32">
        <f t="shared" si="3"/>
        <v>1.1111111111111127E-2</v>
      </c>
      <c r="R8" s="2" t="s">
        <v>119</v>
      </c>
      <c r="S8" s="3">
        <v>0.50138888888888888</v>
      </c>
      <c r="T8" s="32">
        <f t="shared" si="4"/>
        <v>9.375E-2</v>
      </c>
      <c r="U8" s="2" t="s">
        <v>120</v>
      </c>
      <c r="V8" s="3">
        <v>0.65138888888888891</v>
      </c>
      <c r="W8" s="32">
        <f t="shared" si="5"/>
        <v>0.24375000000000002</v>
      </c>
      <c r="X8" s="2" t="s">
        <v>120</v>
      </c>
      <c r="Y8" s="3">
        <v>0.65694444444444444</v>
      </c>
      <c r="Z8" s="32">
        <f t="shared" si="6"/>
        <v>0.24930555555555556</v>
      </c>
      <c r="AA8" s="2" t="s">
        <v>120</v>
      </c>
    </row>
    <row r="9" spans="1:27" ht="15.75" customHeight="1">
      <c r="A9" s="2" t="s">
        <v>82</v>
      </c>
      <c r="B9" s="2" t="s">
        <v>89</v>
      </c>
      <c r="C9" s="44" t="str">
        <f>VLOOKUP(B9,Usergroups!$B$2:$D$12,3,)</f>
        <v>group1</v>
      </c>
      <c r="D9" s="34">
        <f>VLOOKUP(_xlfn.TEXTJOIN("-",,B9,"1"),Trips!$E$2:$G$34,2,)</f>
        <v>2.7083333333333334E-2</v>
      </c>
      <c r="E9" s="20">
        <v>0.20347222222222222</v>
      </c>
      <c r="F9" s="7">
        <f t="shared" si="0"/>
        <v>0.17638888888888887</v>
      </c>
      <c r="G9" s="2" t="s">
        <v>119</v>
      </c>
      <c r="H9" s="34">
        <f>VLOOKUP(_xlfn.TEXTJOIN("-",,B9,"2"),Trips!$E$2:$G$34,2,)</f>
        <v>0.25208333333333333</v>
      </c>
      <c r="I9" s="3">
        <v>0.26180555555555557</v>
      </c>
      <c r="J9" s="7">
        <f t="shared" si="1"/>
        <v>9.7222222222222432E-3</v>
      </c>
      <c r="K9" s="2" t="s">
        <v>119</v>
      </c>
      <c r="L9" s="3">
        <v>0.36944444444444446</v>
      </c>
      <c r="M9" s="7">
        <f t="shared" si="2"/>
        <v>0.11736111111111114</v>
      </c>
      <c r="N9" s="2" t="s">
        <v>120</v>
      </c>
      <c r="O9" s="34">
        <f>VLOOKUP(_xlfn.TEXTJOIN("-",,B9,"3"),Trips!$E$2:$G$34,2,)</f>
        <v>0.41249999999999998</v>
      </c>
      <c r="P9" s="3">
        <v>0.4284722222222222</v>
      </c>
      <c r="Q9" s="32">
        <f t="shared" si="3"/>
        <v>1.5972222222222221E-2</v>
      </c>
      <c r="R9" s="2" t="s">
        <v>120</v>
      </c>
      <c r="S9" s="3">
        <v>0.4548611111111111</v>
      </c>
      <c r="T9" s="32">
        <f t="shared" si="4"/>
        <v>4.2361111111111127E-2</v>
      </c>
      <c r="U9" s="2" t="s">
        <v>120</v>
      </c>
      <c r="V9" s="3">
        <v>0.49236111111111114</v>
      </c>
      <c r="W9" s="32">
        <f t="shared" si="5"/>
        <v>7.986111111111116E-2</v>
      </c>
      <c r="X9" s="2" t="s">
        <v>120</v>
      </c>
      <c r="Y9" s="3">
        <v>0.51736111111111116</v>
      </c>
      <c r="Z9" s="32">
        <f t="shared" si="6"/>
        <v>0.10486111111111118</v>
      </c>
      <c r="AA9" s="2" t="s">
        <v>120</v>
      </c>
    </row>
    <row r="10" spans="1:27" ht="15.75" customHeight="1">
      <c r="A10" s="2" t="s">
        <v>85</v>
      </c>
      <c r="B10" s="2" t="s">
        <v>96</v>
      </c>
      <c r="C10" s="44" t="str">
        <f>VLOOKUP(B10,Usergroups!$B$2:$D$12,3,)</f>
        <v>group1</v>
      </c>
      <c r="D10" s="34">
        <f>VLOOKUP(_xlfn.TEXTJOIN("-",,B10,"1"),Trips!$E$2:$G$34,2,)</f>
        <v>3.125E-2</v>
      </c>
      <c r="E10" s="20">
        <v>9.375E-2</v>
      </c>
      <c r="F10" s="7">
        <f t="shared" si="0"/>
        <v>6.25E-2</v>
      </c>
      <c r="G10" s="2" t="s">
        <v>119</v>
      </c>
      <c r="H10" s="34">
        <f>VLOOKUP(_xlfn.TEXTJOIN("-",,B10,"2"),Trips!$E$2:$G$34,2,)</f>
        <v>0.1423611111111111</v>
      </c>
      <c r="I10" s="3">
        <v>0.16250000000000001</v>
      </c>
      <c r="J10" s="7">
        <f t="shared" si="1"/>
        <v>2.0138888888888901E-2</v>
      </c>
      <c r="K10" s="2" t="s">
        <v>119</v>
      </c>
      <c r="L10" s="3">
        <v>0.2326388888888889</v>
      </c>
      <c r="M10" s="7">
        <f t="shared" si="2"/>
        <v>9.027777777777779E-2</v>
      </c>
      <c r="N10" s="2" t="s">
        <v>120</v>
      </c>
      <c r="O10" s="34">
        <f>VLOOKUP(_xlfn.TEXTJOIN("-",,B10,"3"),Trips!$E$2:$G$34,2,)</f>
        <v>0.27361111111111114</v>
      </c>
      <c r="P10" s="3">
        <v>0.28958333333333336</v>
      </c>
      <c r="Q10" s="32">
        <f t="shared" si="3"/>
        <v>1.5972222222222221E-2</v>
      </c>
      <c r="R10" s="2" t="s">
        <v>119</v>
      </c>
      <c r="S10" s="3">
        <v>0.38124999999999998</v>
      </c>
      <c r="T10" s="32">
        <f t="shared" si="4"/>
        <v>0.10763888888888884</v>
      </c>
      <c r="U10" s="2" t="s">
        <v>120</v>
      </c>
      <c r="V10" s="3">
        <v>0.4</v>
      </c>
      <c r="W10" s="32">
        <f t="shared" si="5"/>
        <v>0.12638888888888888</v>
      </c>
      <c r="X10" s="2" t="s">
        <v>120</v>
      </c>
      <c r="Y10" s="3">
        <v>0.40972222222222221</v>
      </c>
      <c r="Z10" s="32">
        <f t="shared" si="6"/>
        <v>0.13611111111111107</v>
      </c>
      <c r="AA10" s="2" t="s">
        <v>120</v>
      </c>
    </row>
    <row r="11" spans="1:27" ht="15.75" customHeight="1">
      <c r="A11" s="2" t="s">
        <v>88</v>
      </c>
      <c r="B11" s="2" t="s">
        <v>100</v>
      </c>
      <c r="C11" s="44" t="str">
        <f>VLOOKUP(B11,Usergroups!$B$2:$D$12,3,)</f>
        <v>group1</v>
      </c>
      <c r="D11" s="34">
        <f>VLOOKUP(_xlfn.TEXTJOIN("-",,B11,"1"),Trips!$E$2:$G$34,2,)</f>
        <v>3.7499999999999999E-2</v>
      </c>
      <c r="E11" s="20">
        <v>0.1076388888888889</v>
      </c>
      <c r="F11" s="7">
        <f t="shared" si="0"/>
        <v>7.013888888888889E-2</v>
      </c>
      <c r="G11" s="2" t="s">
        <v>119</v>
      </c>
      <c r="H11" s="34">
        <f>VLOOKUP(_xlfn.TEXTJOIN("-",,B11,"2"),Trips!$E$2:$G$34,2,)</f>
        <v>0.18541666666666667</v>
      </c>
      <c r="I11" s="3">
        <v>0.19513888888888889</v>
      </c>
      <c r="J11" s="7">
        <f t="shared" si="1"/>
        <v>9.7222222222222154E-3</v>
      </c>
      <c r="K11" s="2" t="s">
        <v>119</v>
      </c>
      <c r="L11" s="3">
        <v>0.34027777777777779</v>
      </c>
      <c r="M11" s="7">
        <f t="shared" si="2"/>
        <v>0.15486111111111112</v>
      </c>
      <c r="N11" s="2" t="s">
        <v>120</v>
      </c>
      <c r="O11" s="34">
        <f>VLOOKUP(_xlfn.TEXTJOIN("-",,B11,"3"),Trips!$E$2:$G$34,2,)</f>
        <v>0.43194444444444446</v>
      </c>
      <c r="P11" s="3">
        <v>0.47708333333333336</v>
      </c>
      <c r="Q11" s="32">
        <f t="shared" si="3"/>
        <v>4.5138888888888895E-2</v>
      </c>
      <c r="R11" s="2" t="s">
        <v>120</v>
      </c>
      <c r="S11" s="3">
        <v>0.52430555555555558</v>
      </c>
      <c r="T11" s="32">
        <f t="shared" si="4"/>
        <v>9.2361111111111116E-2</v>
      </c>
      <c r="U11" s="2" t="s">
        <v>120</v>
      </c>
      <c r="V11" s="3">
        <v>0.59444444444444444</v>
      </c>
      <c r="W11" s="32">
        <f t="shared" si="5"/>
        <v>0.16249999999999998</v>
      </c>
      <c r="X11" s="2" t="s">
        <v>120</v>
      </c>
      <c r="Y11" s="3">
        <v>0.68472222222222223</v>
      </c>
      <c r="Z11" s="32">
        <f t="shared" si="6"/>
        <v>0.25277777777777777</v>
      </c>
      <c r="AA11" s="2" t="s">
        <v>120</v>
      </c>
    </row>
    <row r="12" spans="1:27" ht="15.75" hidden="1" customHeight="1">
      <c r="A12" s="2" t="s">
        <v>90</v>
      </c>
      <c r="B12" s="2" t="s">
        <v>103</v>
      </c>
      <c r="C12" s="44" t="str">
        <f>VLOOKUP(B12,Usergroups!$B$2:$D$12,3,)</f>
        <v>group2</v>
      </c>
      <c r="D12" s="34">
        <f>VLOOKUP(_xlfn.TEXTJOIN("-",,B12,"1"),Trips!$E$2:$G$34,2,)</f>
        <v>2.1527777777777778E-2</v>
      </c>
      <c r="E12" s="20">
        <v>5.9027777777777776E-2</v>
      </c>
      <c r="F12" s="7">
        <f t="shared" si="0"/>
        <v>3.7499999999999999E-2</v>
      </c>
      <c r="G12" s="2" t="s">
        <v>119</v>
      </c>
      <c r="H12" s="34">
        <f>VLOOKUP(_xlfn.TEXTJOIN("-",,B12,"2"),Trips!$E$2:$G$34,2,)</f>
        <v>9.4444444444444442E-2</v>
      </c>
      <c r="I12" s="3">
        <v>0.10416666666666667</v>
      </c>
      <c r="J12" s="7">
        <f t="shared" si="1"/>
        <v>9.7222222222222293E-3</v>
      </c>
      <c r="K12" s="2" t="s">
        <v>119</v>
      </c>
      <c r="L12" s="3">
        <v>0.21111111111111111</v>
      </c>
      <c r="M12" s="7">
        <f t="shared" si="2"/>
        <v>0.11666666666666667</v>
      </c>
      <c r="N12" s="2" t="s">
        <v>120</v>
      </c>
      <c r="O12" s="34">
        <f>VLOOKUP(_xlfn.TEXTJOIN("-",,B12,"3"),Trips!$E$2:$G$34,2,)</f>
        <v>0.24791666666666667</v>
      </c>
      <c r="P12" s="3">
        <v>0.28194444444444444</v>
      </c>
      <c r="Q12" s="32">
        <f t="shared" si="3"/>
        <v>3.4027777777777768E-2</v>
      </c>
      <c r="R12" s="2" t="s">
        <v>119</v>
      </c>
      <c r="S12" s="3">
        <v>0.36180555555555555</v>
      </c>
      <c r="T12" s="32">
        <f t="shared" si="4"/>
        <v>0.11388888888888887</v>
      </c>
      <c r="U12" s="2" t="s">
        <v>120</v>
      </c>
      <c r="V12" s="3">
        <v>0.39652777777777776</v>
      </c>
      <c r="W12" s="32">
        <f t="shared" si="5"/>
        <v>0.14861111111111108</v>
      </c>
      <c r="X12" s="2" t="s">
        <v>120</v>
      </c>
      <c r="Y12" s="3">
        <v>0.4465277777777778</v>
      </c>
      <c r="Z12" s="32">
        <f t="shared" si="6"/>
        <v>0.19861111111111113</v>
      </c>
      <c r="AA12" s="2" t="s">
        <v>120</v>
      </c>
    </row>
    <row r="13" spans="1:27" ht="15.75" hidden="1" customHeight="1">
      <c r="A13" s="2" t="s">
        <v>91</v>
      </c>
      <c r="B13" s="2" t="s">
        <v>106</v>
      </c>
      <c r="C13" s="44" t="str">
        <f>VLOOKUP(B13,Usergroups!$B$2:$D$12,3,)</f>
        <v>group2</v>
      </c>
      <c r="D13" s="34">
        <f>VLOOKUP(_xlfn.TEXTJOIN("-",,B13,"1"),Trips!$E$2:$G$34,2,)</f>
        <v>1.9444444444444445E-2</v>
      </c>
      <c r="E13" s="20">
        <v>0.11874999999999999</v>
      </c>
      <c r="F13" s="7">
        <f t="shared" si="0"/>
        <v>9.930555555555555E-2</v>
      </c>
      <c r="G13" s="2" t="s">
        <v>119</v>
      </c>
      <c r="H13" s="34">
        <f>VLOOKUP(_xlfn.TEXTJOIN("-",,B13,"2"),Trips!$E$2:$G$34,2,)</f>
        <v>0.15208333333333332</v>
      </c>
      <c r="I13" s="3">
        <v>0.1875</v>
      </c>
      <c r="J13" s="7">
        <f t="shared" si="1"/>
        <v>3.541666666666668E-2</v>
      </c>
      <c r="K13" s="2" t="s">
        <v>119</v>
      </c>
      <c r="L13" s="3">
        <v>0.27569444444444446</v>
      </c>
      <c r="M13" s="7">
        <f t="shared" si="2"/>
        <v>0.12361111111111114</v>
      </c>
      <c r="N13" s="2" t="s">
        <v>120</v>
      </c>
      <c r="O13" s="34">
        <f>VLOOKUP(_xlfn.TEXTJOIN("-",,B13,"3"),Trips!$E$2:$G$34,2,)</f>
        <v>0.32708333333333334</v>
      </c>
      <c r="P13" s="3">
        <v>0.34791666666666665</v>
      </c>
      <c r="Q13" s="32">
        <f t="shared" si="3"/>
        <v>2.0833333333333315E-2</v>
      </c>
      <c r="R13" s="2" t="s">
        <v>119</v>
      </c>
      <c r="S13" s="3">
        <v>0.42152777777777778</v>
      </c>
      <c r="T13" s="32">
        <f t="shared" si="4"/>
        <v>9.4444444444444442E-2</v>
      </c>
      <c r="U13" s="2" t="s">
        <v>120</v>
      </c>
      <c r="V13" s="3">
        <v>0.45208333333333334</v>
      </c>
      <c r="W13" s="32">
        <f t="shared" si="5"/>
        <v>0.125</v>
      </c>
      <c r="X13" s="2" t="s">
        <v>120</v>
      </c>
      <c r="Y13" s="3">
        <v>0.46180555555555558</v>
      </c>
      <c r="Z13" s="32">
        <f t="shared" si="6"/>
        <v>0.13472222222222224</v>
      </c>
      <c r="AA13" s="2" t="s">
        <v>120</v>
      </c>
    </row>
    <row r="14" spans="1:27" ht="15.75" customHeight="1">
      <c r="B14" s="2"/>
      <c r="C14" s="44"/>
      <c r="D14" s="2"/>
      <c r="E14" s="23"/>
      <c r="F14" s="63"/>
      <c r="J14" s="63"/>
      <c r="M14" s="63"/>
      <c r="Q14" s="63"/>
      <c r="T14" s="63"/>
      <c r="W14" s="63"/>
      <c r="Z14" s="63"/>
    </row>
    <row r="15" spans="1:27" ht="15.75" customHeight="1">
      <c r="B15" s="30"/>
      <c r="C15" s="30"/>
      <c r="D15" s="35"/>
      <c r="E15" s="35"/>
      <c r="F15" s="63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7" ht="15.75" customHeight="1">
      <c r="B16" s="23"/>
      <c r="C16" s="23"/>
      <c r="D16" s="23"/>
      <c r="E16" s="23"/>
      <c r="F16" s="2"/>
      <c r="G16" s="2"/>
      <c r="H16" s="2"/>
    </row>
    <row r="17" spans="1:26" ht="15.75" customHeight="1">
      <c r="A17" s="2"/>
      <c r="B17" s="2"/>
      <c r="C17" s="44"/>
      <c r="D17" s="2"/>
      <c r="E17" s="19"/>
      <c r="F17" s="2"/>
      <c r="G17" s="2"/>
      <c r="H17" s="2"/>
      <c r="J17" s="7"/>
      <c r="M17" s="32"/>
      <c r="Z17" s="52"/>
    </row>
    <row r="18" spans="1:26" ht="15.75" customHeight="1">
      <c r="A18" s="2"/>
      <c r="B18" s="2"/>
      <c r="C18" s="44"/>
      <c r="D18" s="2"/>
      <c r="E18" s="19"/>
      <c r="F18" s="7"/>
      <c r="G18" s="7"/>
      <c r="H18" s="7"/>
      <c r="J18" s="7"/>
    </row>
    <row r="19" spans="1:26" ht="15.75" customHeight="1">
      <c r="A19" s="2"/>
      <c r="B19" s="2"/>
      <c r="C19" s="44"/>
      <c r="D19" s="2"/>
      <c r="E19" s="19"/>
      <c r="F19" s="7"/>
      <c r="G19" s="7"/>
      <c r="H19" s="7"/>
      <c r="J19" s="7"/>
    </row>
    <row r="20" spans="1:26" ht="15.75" customHeight="1">
      <c r="A20" s="33" t="s">
        <v>216</v>
      </c>
      <c r="B20" s="14" t="s">
        <v>208</v>
      </c>
      <c r="C20" s="14" t="s">
        <v>217</v>
      </c>
      <c r="D20" s="33" t="s">
        <v>209</v>
      </c>
      <c r="E20" s="33" t="s">
        <v>210</v>
      </c>
      <c r="F20" s="33" t="s">
        <v>225</v>
      </c>
      <c r="G20" s="30" t="s">
        <v>226</v>
      </c>
      <c r="H20" s="7"/>
      <c r="I20" s="64" t="s">
        <v>208</v>
      </c>
      <c r="J20" s="33" t="s">
        <v>216</v>
      </c>
      <c r="K20" s="31" t="s">
        <v>209</v>
      </c>
      <c r="L20" s="31" t="s">
        <v>210</v>
      </c>
    </row>
    <row r="21" spans="1:26" ht="15.75" customHeight="1">
      <c r="A21" s="62" t="s">
        <v>218</v>
      </c>
      <c r="B21" s="33" t="s">
        <v>184</v>
      </c>
      <c r="C21" s="65">
        <v>7.6091269841269835E-2</v>
      </c>
      <c r="D21">
        <f>F21/VLOOKUP($B21,Darstellungsformen!$A$17:$B$19,2)</f>
        <v>0</v>
      </c>
      <c r="E21" s="54">
        <f>G21/VLOOKUP($B21,Darstellungsformen!$A$17:$B$19,2)</f>
        <v>1</v>
      </c>
      <c r="F21" s="2">
        <v>0</v>
      </c>
      <c r="G21" s="19">
        <v>6</v>
      </c>
      <c r="H21" s="7"/>
      <c r="I21" s="33" t="s">
        <v>184</v>
      </c>
      <c r="J21" s="62" t="s">
        <v>218</v>
      </c>
      <c r="K21">
        <v>0</v>
      </c>
      <c r="L21">
        <v>1</v>
      </c>
    </row>
    <row r="22" spans="1:26" ht="15.75" customHeight="1">
      <c r="A22" s="62" t="s">
        <v>218</v>
      </c>
      <c r="B22" s="33" t="s">
        <v>185</v>
      </c>
      <c r="C22" s="47">
        <v>8.0694444444444444E-2</v>
      </c>
      <c r="D22" s="54">
        <f>F22/VLOOKUP(B22,Darstellungsformen!$A$17:$B$19,2)</f>
        <v>0</v>
      </c>
      <c r="E22" s="54">
        <f>G22/VLOOKUP($B22,Darstellungsformen!$A$17:$B$19,2)</f>
        <v>1</v>
      </c>
      <c r="F22" s="2">
        <v>0</v>
      </c>
      <c r="G22" s="19">
        <v>3</v>
      </c>
      <c r="H22" s="7"/>
      <c r="I22" s="33" t="s">
        <v>184</v>
      </c>
      <c r="J22" s="33" t="s">
        <v>219</v>
      </c>
      <c r="K22">
        <v>0</v>
      </c>
      <c r="L22">
        <v>1</v>
      </c>
    </row>
    <row r="23" spans="1:26" ht="15.75" customHeight="1">
      <c r="A23" s="62" t="s">
        <v>218</v>
      </c>
      <c r="B23" s="33" t="s">
        <v>186</v>
      </c>
      <c r="C23" s="47">
        <v>6.9270833333333337E-2</v>
      </c>
      <c r="D23" s="54">
        <f>F23/VLOOKUP(B23,Darstellungsformen!$A$17:$B$19,2)</f>
        <v>0</v>
      </c>
      <c r="E23" s="54">
        <f>G23/VLOOKUP($B23,Darstellungsformen!$A$17:$B$19,2)</f>
        <v>1</v>
      </c>
      <c r="F23" s="2">
        <v>0</v>
      </c>
      <c r="G23" s="19">
        <v>2</v>
      </c>
      <c r="H23" s="7"/>
      <c r="I23" s="33" t="s">
        <v>184</v>
      </c>
      <c r="J23" s="33" t="s">
        <v>220</v>
      </c>
      <c r="K23">
        <v>0.83333333333333337</v>
      </c>
      <c r="L23">
        <v>0.16666666666666666</v>
      </c>
    </row>
    <row r="24" spans="1:26" ht="15.75" customHeight="1">
      <c r="A24" s="33" t="s">
        <v>219</v>
      </c>
      <c r="B24" s="33" t="s">
        <v>184</v>
      </c>
      <c r="C24" s="47">
        <v>2.043650793650794E-2</v>
      </c>
      <c r="D24" s="54">
        <f>F24/VLOOKUP(B24,Darstellungsformen!$A$17:$B$19,2)</f>
        <v>0</v>
      </c>
      <c r="E24" s="54">
        <f>G24/VLOOKUP($B24,Darstellungsformen!$A$17:$B$19,2)</f>
        <v>1</v>
      </c>
      <c r="F24" s="2">
        <v>0</v>
      </c>
      <c r="G24" s="19">
        <v>6</v>
      </c>
      <c r="H24" s="7"/>
      <c r="I24" s="33" t="s">
        <v>184</v>
      </c>
      <c r="J24" s="33" t="s">
        <v>221</v>
      </c>
      <c r="K24">
        <v>0.33333333333333331</v>
      </c>
      <c r="L24">
        <v>0.66666666666666663</v>
      </c>
    </row>
    <row r="25" spans="1:26" ht="15.75" customHeight="1">
      <c r="A25" s="33" t="s">
        <v>219</v>
      </c>
      <c r="B25" s="33" t="s">
        <v>185</v>
      </c>
      <c r="C25" s="47">
        <v>2.0416666666666673E-2</v>
      </c>
      <c r="D25" s="54">
        <f>F25/VLOOKUP(B25,Darstellungsformen!$A$17:$B$19,2)</f>
        <v>0</v>
      </c>
      <c r="E25" s="54">
        <f>G25/VLOOKUP($B25,Darstellungsformen!$A$17:$B$19,2)</f>
        <v>1</v>
      </c>
      <c r="F25" s="2">
        <v>0</v>
      </c>
      <c r="G25" s="19">
        <v>3</v>
      </c>
      <c r="H25" s="7"/>
      <c r="I25" s="33" t="s">
        <v>184</v>
      </c>
      <c r="J25" s="33" t="s">
        <v>222</v>
      </c>
      <c r="K25">
        <v>1</v>
      </c>
      <c r="L25">
        <v>0</v>
      </c>
    </row>
    <row r="26" spans="1:26" ht="15.75" customHeight="1">
      <c r="A26" s="33" t="s">
        <v>219</v>
      </c>
      <c r="B26" s="33" t="s">
        <v>186</v>
      </c>
      <c r="C26" s="47">
        <v>1.0937499999999999E-2</v>
      </c>
      <c r="D26" s="54">
        <f>F26/VLOOKUP(B26,Darstellungsformen!$A$17:$B$19,2)</f>
        <v>0</v>
      </c>
      <c r="E26" s="54">
        <f>G26/VLOOKUP($B26,Darstellungsformen!$A$17:$B$19,2)</f>
        <v>1</v>
      </c>
      <c r="F26" s="2">
        <v>0</v>
      </c>
      <c r="G26" s="19">
        <v>2</v>
      </c>
      <c r="H26" s="7"/>
      <c r="I26" s="33" t="s">
        <v>184</v>
      </c>
      <c r="J26" s="33" t="s">
        <v>223</v>
      </c>
      <c r="K26">
        <v>1</v>
      </c>
      <c r="L26">
        <v>0</v>
      </c>
    </row>
    <row r="27" spans="1:26" ht="15.75" customHeight="1">
      <c r="A27" s="33" t="s">
        <v>220</v>
      </c>
      <c r="B27" s="33" t="s">
        <v>184</v>
      </c>
      <c r="C27" s="34">
        <v>0.11051587301587303</v>
      </c>
      <c r="D27" s="54">
        <f>F27/VLOOKUP(B27,Darstellungsformen!$A$17:$B$19,2)</f>
        <v>0.83333333333333337</v>
      </c>
      <c r="E27" s="54">
        <f>G27/VLOOKUP($B27,Darstellungsformen!$A$17:$B$19,2)</f>
        <v>0.16666666666666666</v>
      </c>
      <c r="F27" s="2">
        <v>5</v>
      </c>
      <c r="G27" s="19">
        <v>1</v>
      </c>
      <c r="H27" s="7"/>
      <c r="I27" s="33" t="s">
        <v>184</v>
      </c>
      <c r="J27" s="33" t="s">
        <v>224</v>
      </c>
      <c r="K27">
        <v>1</v>
      </c>
      <c r="L27">
        <v>0</v>
      </c>
    </row>
    <row r="28" spans="1:26" ht="15.75" customHeight="1">
      <c r="A28" s="33" t="s">
        <v>220</v>
      </c>
      <c r="B28" s="33" t="s">
        <v>185</v>
      </c>
      <c r="C28" s="47">
        <v>0.11083333333333337</v>
      </c>
      <c r="D28" s="54">
        <f>F28/VLOOKUP(B28,Darstellungsformen!$A$17:$B$19,2)</f>
        <v>0.66666666666666663</v>
      </c>
      <c r="E28" s="54">
        <f>G28/VLOOKUP($B28,Darstellungsformen!$A$17:$B$19,2)</f>
        <v>0.33333333333333331</v>
      </c>
      <c r="F28" s="2">
        <v>2</v>
      </c>
      <c r="G28" s="19">
        <v>1</v>
      </c>
      <c r="H28" s="7"/>
    </row>
    <row r="29" spans="1:26" ht="15.75" customHeight="1">
      <c r="A29" s="33" t="s">
        <v>220</v>
      </c>
      <c r="B29" s="33" t="s">
        <v>186</v>
      </c>
      <c r="C29" s="34">
        <v>6.7013888888888901E-2</v>
      </c>
      <c r="D29" s="54">
        <f>F29/VLOOKUP(B29,Darstellungsformen!$A$17:$B$19,2)</f>
        <v>1</v>
      </c>
      <c r="E29" s="54">
        <f>G29/VLOOKUP($B29,Darstellungsformen!$A$17:$B$19,2)</f>
        <v>0</v>
      </c>
      <c r="F29" s="2">
        <v>2</v>
      </c>
      <c r="G29" s="19">
        <v>0</v>
      </c>
      <c r="H29" s="7"/>
    </row>
    <row r="30" spans="1:26" ht="15.75" customHeight="1">
      <c r="A30" s="33" t="s">
        <v>221</v>
      </c>
      <c r="B30" s="33" t="s">
        <v>184</v>
      </c>
      <c r="C30" s="34">
        <v>1.6865079365079371E-2</v>
      </c>
      <c r="D30" s="54">
        <f>F30/VLOOKUP(B30,Darstellungsformen!$A$17:$B$19,2)</f>
        <v>0.33333333333333331</v>
      </c>
      <c r="E30" s="54">
        <f>G30/VLOOKUP($B30,Darstellungsformen!$A$17:$B$19,2)</f>
        <v>0.66666666666666663</v>
      </c>
      <c r="F30" s="2">
        <v>2</v>
      </c>
      <c r="G30" s="19">
        <v>4</v>
      </c>
      <c r="H30" s="7"/>
    </row>
    <row r="31" spans="1:26" ht="15.75" customHeight="1">
      <c r="A31" s="33" t="s">
        <v>221</v>
      </c>
      <c r="B31" s="33" t="s">
        <v>185</v>
      </c>
      <c r="C31" s="34">
        <v>1.7777777777777778E-2</v>
      </c>
      <c r="D31" s="54">
        <f>F31/VLOOKUP(B31,Darstellungsformen!$A$17:$B$19,2)</f>
        <v>0</v>
      </c>
      <c r="E31" s="54">
        <f>G31/VLOOKUP($B31,Darstellungsformen!$A$17:$B$19,2)</f>
        <v>1</v>
      </c>
      <c r="F31" s="2">
        <v>0</v>
      </c>
      <c r="G31" s="19">
        <v>3</v>
      </c>
      <c r="H31" s="7"/>
      <c r="I31" s="64" t="s">
        <v>208</v>
      </c>
      <c r="J31" s="33" t="s">
        <v>216</v>
      </c>
      <c r="K31" s="31" t="s">
        <v>209</v>
      </c>
      <c r="L31" s="31" t="s">
        <v>210</v>
      </c>
    </row>
    <row r="32" spans="1:26" ht="15.75" customHeight="1">
      <c r="A32" s="33" t="s">
        <v>221</v>
      </c>
      <c r="B32" s="33" t="s">
        <v>186</v>
      </c>
      <c r="C32" s="34">
        <v>1.0069444444444443E-2</v>
      </c>
      <c r="D32" s="54">
        <f>F32/VLOOKUP(B32,Darstellungsformen!$A$17:$B$19,2)</f>
        <v>0</v>
      </c>
      <c r="E32" s="54">
        <f>G32/VLOOKUP($B32,Darstellungsformen!$A$17:$B$19,2)</f>
        <v>1</v>
      </c>
      <c r="F32" s="2">
        <v>0</v>
      </c>
      <c r="G32" s="19">
        <v>2</v>
      </c>
      <c r="H32" s="7"/>
      <c r="I32" s="33" t="s">
        <v>185</v>
      </c>
      <c r="J32" s="62" t="s">
        <v>218</v>
      </c>
      <c r="K32">
        <v>0</v>
      </c>
      <c r="L32">
        <v>1</v>
      </c>
    </row>
    <row r="33" spans="1:12" ht="15.75" customHeight="1">
      <c r="A33" s="33" t="s">
        <v>222</v>
      </c>
      <c r="B33" s="33" t="s">
        <v>184</v>
      </c>
      <c r="C33" s="47">
        <v>9.0674603174603172E-2</v>
      </c>
      <c r="D33" s="54">
        <f>F33/VLOOKUP(B33,Darstellungsformen!$A$17:$B$19,2)</f>
        <v>1</v>
      </c>
      <c r="E33" s="54">
        <f>G33/VLOOKUP($B33,Darstellungsformen!$A$17:$B$19,2)</f>
        <v>0</v>
      </c>
      <c r="F33" s="2">
        <v>6</v>
      </c>
      <c r="G33" s="19">
        <v>0</v>
      </c>
      <c r="H33" s="7"/>
      <c r="I33" s="33" t="s">
        <v>185</v>
      </c>
      <c r="J33" s="33" t="s">
        <v>219</v>
      </c>
      <c r="K33">
        <v>0</v>
      </c>
      <c r="L33">
        <v>1</v>
      </c>
    </row>
    <row r="34" spans="1:12" ht="15.75" customHeight="1">
      <c r="A34" s="33" t="s">
        <v>222</v>
      </c>
      <c r="B34" s="33" t="s">
        <v>185</v>
      </c>
      <c r="C34" s="47">
        <v>9.208333333333335E-2</v>
      </c>
      <c r="D34" s="54">
        <f>F34/VLOOKUP(B34,Darstellungsformen!$A$17:$B$19,2)</f>
        <v>0.66666666666666663</v>
      </c>
      <c r="E34" s="54">
        <f>G34/VLOOKUP($B34,Darstellungsformen!$A$17:$B$19,2)</f>
        <v>0.33333333333333331</v>
      </c>
      <c r="F34" s="2">
        <v>2</v>
      </c>
      <c r="G34" s="19">
        <v>1</v>
      </c>
      <c r="H34" s="7"/>
      <c r="I34" s="33" t="s">
        <v>185</v>
      </c>
      <c r="J34" s="33" t="s">
        <v>220</v>
      </c>
      <c r="K34">
        <v>0.66666666666666663</v>
      </c>
      <c r="L34">
        <v>0.33333333333333331</v>
      </c>
    </row>
    <row r="35" spans="1:12" ht="15.75" customHeight="1">
      <c r="A35" s="33" t="s">
        <v>222</v>
      </c>
      <c r="B35" s="33" t="s">
        <v>186</v>
      </c>
      <c r="C35" s="47">
        <v>7.9861111111111119E-2</v>
      </c>
      <c r="D35" s="54">
        <f>F35/VLOOKUP(B35,Darstellungsformen!$A$17:$B$19,2)</f>
        <v>1</v>
      </c>
      <c r="E35" s="54">
        <f>G35/VLOOKUP($B35,Darstellungsformen!$A$17:$B$19,2)</f>
        <v>0</v>
      </c>
      <c r="F35" s="2">
        <v>2</v>
      </c>
      <c r="G35" s="19">
        <v>0</v>
      </c>
      <c r="H35" s="7"/>
      <c r="I35" s="33" t="s">
        <v>185</v>
      </c>
      <c r="J35" s="33" t="s">
        <v>221</v>
      </c>
      <c r="K35">
        <v>0</v>
      </c>
      <c r="L35">
        <v>1</v>
      </c>
    </row>
    <row r="36" spans="1:12" ht="15.75" customHeight="1">
      <c r="A36" s="33" t="s">
        <v>223</v>
      </c>
      <c r="B36" s="33" t="s">
        <v>184</v>
      </c>
      <c r="C36" s="47">
        <v>0.14325396825396824</v>
      </c>
      <c r="D36" s="54">
        <f>F36/VLOOKUP(B36,Darstellungsformen!$A$17:$B$19,2)</f>
        <v>1</v>
      </c>
      <c r="E36" s="54">
        <f>G36/VLOOKUP($B36,Darstellungsformen!$A$17:$B$19,2)</f>
        <v>0</v>
      </c>
      <c r="F36" s="2">
        <v>6</v>
      </c>
      <c r="G36" s="19">
        <v>0</v>
      </c>
      <c r="H36" s="7"/>
      <c r="I36" s="33" t="s">
        <v>185</v>
      </c>
      <c r="J36" s="33" t="s">
        <v>222</v>
      </c>
      <c r="K36">
        <v>0.66666666666666663</v>
      </c>
      <c r="L36">
        <v>0.33333333333333331</v>
      </c>
    </row>
    <row r="37" spans="1:12" ht="12.75">
      <c r="A37" s="33" t="s">
        <v>223</v>
      </c>
      <c r="B37" s="33" t="s">
        <v>185</v>
      </c>
      <c r="C37" s="47">
        <v>0.13701388888888888</v>
      </c>
      <c r="D37" s="54">
        <f>F37/VLOOKUP(B37,Darstellungsformen!$A$17:$B$19,2)</f>
        <v>0.66666666666666663</v>
      </c>
      <c r="E37" s="54">
        <f>G37/VLOOKUP($B37,Darstellungsformen!$A$17:$B$19,2)</f>
        <v>0.33333333333333331</v>
      </c>
      <c r="F37" s="2">
        <v>2</v>
      </c>
      <c r="G37" s="19">
        <v>1</v>
      </c>
      <c r="H37" s="7"/>
      <c r="I37" s="33" t="s">
        <v>185</v>
      </c>
      <c r="J37" s="33" t="s">
        <v>223</v>
      </c>
      <c r="K37">
        <v>0.66666666666666663</v>
      </c>
      <c r="L37">
        <v>0.33333333333333331</v>
      </c>
    </row>
    <row r="38" spans="1:12" ht="12.75">
      <c r="A38" s="33" t="s">
        <v>223</v>
      </c>
      <c r="B38" s="33" t="s">
        <v>186</v>
      </c>
      <c r="C38" s="34">
        <v>0.10520833333333335</v>
      </c>
      <c r="D38" s="54">
        <f>F38/VLOOKUP(B38,Darstellungsformen!$A$17:$B$19,2)</f>
        <v>1</v>
      </c>
      <c r="E38" s="54">
        <f>G38/VLOOKUP($B38,Darstellungsformen!$A$17:$B$19,2)</f>
        <v>0</v>
      </c>
      <c r="F38" s="2">
        <v>2</v>
      </c>
      <c r="G38" s="19">
        <v>0</v>
      </c>
      <c r="H38" s="7"/>
      <c r="I38" s="33" t="s">
        <v>185</v>
      </c>
      <c r="J38" s="33" t="s">
        <v>224</v>
      </c>
      <c r="K38">
        <v>0.66666666666666663</v>
      </c>
      <c r="L38">
        <v>0.33333333333333331</v>
      </c>
    </row>
    <row r="39" spans="1:12" ht="12.75">
      <c r="A39" s="33" t="s">
        <v>224</v>
      </c>
      <c r="B39" s="33" t="s">
        <v>184</v>
      </c>
      <c r="C39" s="34">
        <v>0.16914682539682541</v>
      </c>
      <c r="D39" s="54">
        <f>F39/VLOOKUP(B39,Darstellungsformen!$A$17:$B$19,2)</f>
        <v>1</v>
      </c>
      <c r="E39" s="54">
        <f>G39/VLOOKUP($B39,Darstellungsformen!$A$17:$B$19,2)</f>
        <v>0</v>
      </c>
      <c r="F39" s="2">
        <v>6</v>
      </c>
      <c r="G39" s="19">
        <v>0</v>
      </c>
      <c r="H39" s="7"/>
    </row>
    <row r="40" spans="1:12" ht="12.75">
      <c r="A40" s="33" t="s">
        <v>224</v>
      </c>
      <c r="B40" s="33" t="s">
        <v>185</v>
      </c>
      <c r="C40" s="34">
        <v>0.16208333333333333</v>
      </c>
      <c r="D40" s="54">
        <f>F40/VLOOKUP(B40,Darstellungsformen!$A$17:$B$19,2)</f>
        <v>0.66666666666666663</v>
      </c>
      <c r="E40" s="54">
        <f>G40/VLOOKUP($B40,Darstellungsformen!$A$17:$B$19,2)</f>
        <v>0.33333333333333331</v>
      </c>
      <c r="F40" s="2">
        <v>2</v>
      </c>
      <c r="G40" s="19">
        <v>1</v>
      </c>
      <c r="H40" s="7"/>
    </row>
    <row r="41" spans="1:12" ht="12.75">
      <c r="A41" s="33" t="s">
        <v>224</v>
      </c>
      <c r="B41" s="33" t="s">
        <v>186</v>
      </c>
      <c r="C41" s="47">
        <v>0.12569444444444447</v>
      </c>
      <c r="D41" s="54">
        <f>F41/VLOOKUP(B41,Darstellungsformen!$A$17:$B$19,2)</f>
        <v>1</v>
      </c>
      <c r="E41" s="54">
        <f>G41/VLOOKUP($B41,Darstellungsformen!$A$17:$B$19,2)</f>
        <v>0</v>
      </c>
      <c r="F41" s="2">
        <v>2</v>
      </c>
      <c r="G41" s="19">
        <v>0</v>
      </c>
      <c r="H41" s="7"/>
    </row>
    <row r="42" spans="1:12" ht="12.75">
      <c r="A42" s="2"/>
      <c r="B42" s="2"/>
      <c r="C42" s="44"/>
      <c r="D42" s="2"/>
      <c r="E42" s="19"/>
      <c r="F42" s="7"/>
      <c r="G42" s="7"/>
      <c r="H42" s="7"/>
    </row>
    <row r="43" spans="1:12" ht="12.75">
      <c r="A43" s="2"/>
      <c r="B43" s="2"/>
      <c r="C43" s="44"/>
      <c r="D43" s="2"/>
      <c r="E43" s="19"/>
      <c r="F43" s="7"/>
      <c r="G43" s="7"/>
      <c r="H43" s="7"/>
    </row>
    <row r="44" spans="1:12" ht="12.75">
      <c r="A44" s="2"/>
      <c r="B44" s="2"/>
      <c r="C44" s="44"/>
      <c r="D44" s="2"/>
      <c r="E44" s="19"/>
      <c r="F44" s="7"/>
      <c r="G44" s="7"/>
      <c r="H44" s="7"/>
    </row>
    <row r="45" spans="1:12" ht="12.75">
      <c r="A45" s="2"/>
      <c r="B45" s="2"/>
      <c r="C45" s="44"/>
      <c r="D45" s="2"/>
      <c r="E45" s="19"/>
      <c r="F45" s="7"/>
      <c r="G45" s="7"/>
      <c r="H45" s="7"/>
    </row>
    <row r="46" spans="1:12" ht="12.75">
      <c r="A46" s="2"/>
      <c r="B46" s="2"/>
      <c r="C46" s="44"/>
      <c r="D46" s="2"/>
      <c r="E46" s="19"/>
      <c r="F46" s="7"/>
      <c r="G46" s="7"/>
      <c r="H46" s="7"/>
    </row>
    <row r="47" spans="1:12" ht="12.75">
      <c r="A47" s="2"/>
      <c r="B47" s="2"/>
      <c r="C47" s="44"/>
      <c r="D47" s="2"/>
      <c r="E47" s="19"/>
      <c r="F47" s="7"/>
      <c r="G47" s="7"/>
      <c r="H47" s="7"/>
    </row>
    <row r="48" spans="1:12" ht="12.75">
      <c r="A48" s="2"/>
      <c r="B48" s="14"/>
      <c r="C48" s="14"/>
      <c r="D48" s="14"/>
      <c r="E48" s="19"/>
      <c r="F48" s="7"/>
      <c r="G48" s="7"/>
      <c r="H48" s="7"/>
    </row>
    <row r="49" spans="1:8" ht="12.75">
      <c r="A49" s="2"/>
      <c r="B49" s="14"/>
      <c r="C49" s="14"/>
      <c r="D49" s="14"/>
      <c r="E49" s="19"/>
      <c r="F49" s="7"/>
      <c r="G49" s="7"/>
      <c r="H49" s="7"/>
    </row>
    <row r="50" spans="1:8" ht="12.75">
      <c r="A50" s="2"/>
      <c r="B50" s="14"/>
      <c r="C50" s="14"/>
      <c r="D50" s="14"/>
      <c r="E50" s="19"/>
      <c r="F50" s="7"/>
      <c r="G50" s="7"/>
      <c r="H50" s="7"/>
    </row>
  </sheetData>
  <autoFilter ref="A2:AA13">
    <filterColumn colId="2">
      <filters>
        <filter val="group1"/>
      </filters>
    </filterColumn>
  </autoFilter>
  <mergeCells count="9">
    <mergeCell ref="P1:R1"/>
    <mergeCell ref="S1:U1"/>
    <mergeCell ref="V1:X1"/>
    <mergeCell ref="Y1:AA1"/>
    <mergeCell ref="A1:A2"/>
    <mergeCell ref="B1:B2"/>
    <mergeCell ref="E1:G1"/>
    <mergeCell ref="I1:K1"/>
    <mergeCell ref="L1:N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ColWidth="14.42578125" defaultRowHeight="15.75" customHeight="1"/>
  <cols>
    <col min="3" max="3" width="14.42578125" style="43"/>
    <col min="4" max="4" width="17.5703125" customWidth="1"/>
  </cols>
  <sheetData>
    <row r="1" spans="1:8" ht="15.75" customHeight="1">
      <c r="A1" s="2" t="s">
        <v>1</v>
      </c>
      <c r="B1" s="23" t="s">
        <v>23</v>
      </c>
      <c r="C1" s="30" t="s">
        <v>130</v>
      </c>
      <c r="D1" s="23" t="s">
        <v>24</v>
      </c>
      <c r="E1" s="30" t="s">
        <v>26</v>
      </c>
      <c r="F1" s="2" t="s">
        <v>121</v>
      </c>
      <c r="G1" s="2" t="s">
        <v>122</v>
      </c>
      <c r="H1" s="30" t="s">
        <v>124</v>
      </c>
    </row>
    <row r="2" spans="1:8" ht="15.75" customHeight="1">
      <c r="A2" s="2" t="s">
        <v>37</v>
      </c>
      <c r="B2" s="2" t="s">
        <v>46</v>
      </c>
      <c r="C2" s="44" t="str">
        <f>VLOOKUP(B2,Usergroups!$B$2:$D$12,3,)</f>
        <v>group3</v>
      </c>
      <c r="D2" s="23">
        <v>1</v>
      </c>
      <c r="E2" s="23" t="str">
        <f>_xlfn.TEXTJOIN("-",,B2,D2)</f>
        <v>P04-1</v>
      </c>
      <c r="F2" s="7">
        <f>VLOOKUP(_xlfn.TEXTJOIN("-",,B2,D2,"Start"),Timeline!$E$2:$M$177,2,)</f>
        <v>2.7083333333333334E-2</v>
      </c>
      <c r="G2" s="7">
        <f>VLOOKUP(_xlfn.TEXTJOIN("-",,B2,D2,"End"),Timeline!$E$2:$M$177,7,)</f>
        <v>7.4999999999999997E-2</v>
      </c>
      <c r="H2" s="32">
        <f>G2-F2</f>
        <v>4.7916666666666663E-2</v>
      </c>
    </row>
    <row r="3" spans="1:8" ht="15.75" customHeight="1">
      <c r="A3" s="2" t="s">
        <v>37</v>
      </c>
      <c r="B3" s="2" t="s">
        <v>46</v>
      </c>
      <c r="C3" s="44" t="str">
        <f>VLOOKUP(B3,Usergroups!$B$2:$D$12,3,)</f>
        <v>group3</v>
      </c>
      <c r="D3" s="23">
        <v>2</v>
      </c>
      <c r="E3" s="23" t="str">
        <f t="shared" ref="E3:E34" si="0">_xlfn.TEXTJOIN("-",,B3,D3)</f>
        <v>P04-2</v>
      </c>
      <c r="F3" s="7">
        <f>VLOOKUP(_xlfn.TEXTJOIN("-",,B3,D3,"Start"),Timeline!$E$2:$M$177,2,)</f>
        <v>9.0277777777777776E-2</v>
      </c>
      <c r="G3" s="7">
        <f>VLOOKUP(_xlfn.TEXTJOIN("-",,B3,D3,"End"),Timeline!$E$2:$M$177,7,)</f>
        <v>0.12361111111111112</v>
      </c>
      <c r="H3" s="32">
        <f t="shared" ref="H3:H34" si="1">G3-F3</f>
        <v>3.333333333333334E-2</v>
      </c>
    </row>
    <row r="4" spans="1:8" ht="15.75" customHeight="1">
      <c r="A4" s="2" t="s">
        <v>37</v>
      </c>
      <c r="B4" s="2" t="s">
        <v>46</v>
      </c>
      <c r="C4" s="44" t="str">
        <f>VLOOKUP(B4,Usergroups!$B$2:$D$12,3,)</f>
        <v>group3</v>
      </c>
      <c r="D4" s="23">
        <v>3</v>
      </c>
      <c r="E4" s="23" t="str">
        <f t="shared" si="0"/>
        <v>P04-3</v>
      </c>
      <c r="F4" s="7">
        <f>VLOOKUP(_xlfn.TEXTJOIN("-",,B4,D4,"Start"),Timeline!$E$2:$M$177,2,)</f>
        <v>0.14097222222222222</v>
      </c>
      <c r="G4" s="7">
        <f>VLOOKUP(_xlfn.TEXTJOIN("-",,B4,D4,"End"),Timeline!$E$2:$M$177,7,)</f>
        <v>0.24930555555555556</v>
      </c>
      <c r="H4" s="32">
        <f t="shared" si="1"/>
        <v>0.10833333333333334</v>
      </c>
    </row>
    <row r="5" spans="1:8" ht="15.75" customHeight="1">
      <c r="A5" s="2" t="s">
        <v>54</v>
      </c>
      <c r="B5" s="2" t="s">
        <v>55</v>
      </c>
      <c r="C5" s="44" t="str">
        <f>VLOOKUP(B5,Usergroups!$B$2:$D$12,3,)</f>
        <v>group2</v>
      </c>
      <c r="D5" s="23">
        <v>1</v>
      </c>
      <c r="E5" s="23" t="str">
        <f t="shared" si="0"/>
        <v>P08-1</v>
      </c>
      <c r="F5" s="7">
        <f>VLOOKUP(_xlfn.TEXTJOIN("-",,B5,D5,"Start"),Timeline!$E$2:$M$177,2,)</f>
        <v>2.361111111111111E-2</v>
      </c>
      <c r="G5" s="7">
        <f>VLOOKUP(_xlfn.TEXTJOIN("-",,B5,D5,"End"),Timeline!$E$2:$M$177,7,)</f>
        <v>0.17569444444444443</v>
      </c>
      <c r="H5" s="32">
        <f t="shared" si="1"/>
        <v>0.15208333333333332</v>
      </c>
    </row>
    <row r="6" spans="1:8" ht="15.75" customHeight="1">
      <c r="A6" s="2" t="s">
        <v>54</v>
      </c>
      <c r="B6" s="2" t="s">
        <v>55</v>
      </c>
      <c r="C6" s="44" t="str">
        <f>VLOOKUP(B6,Usergroups!$B$2:$D$12,3,)</f>
        <v>group2</v>
      </c>
      <c r="D6" s="23">
        <v>2</v>
      </c>
      <c r="E6" s="23" t="str">
        <f t="shared" si="0"/>
        <v>P08-2</v>
      </c>
      <c r="F6" s="7">
        <f>VLOOKUP(_xlfn.TEXTJOIN("-",,B6,D6,"Start"),Timeline!$E$2:$M$177,2,)</f>
        <v>0.21597222222222223</v>
      </c>
      <c r="G6" s="7">
        <f>VLOOKUP(_xlfn.TEXTJOIN("-",,B6,D6,"End"),Timeline!$E$2:$M$177,7,)</f>
        <v>0.31944444444444442</v>
      </c>
      <c r="H6" s="32">
        <f t="shared" si="1"/>
        <v>0.10347222222222219</v>
      </c>
    </row>
    <row r="7" spans="1:8" ht="15.75" customHeight="1">
      <c r="A7" s="2" t="s">
        <v>54</v>
      </c>
      <c r="B7" s="2" t="s">
        <v>55</v>
      </c>
      <c r="C7" s="44" t="str">
        <f>VLOOKUP(B7,Usergroups!$B$2:$D$12,3,)</f>
        <v>group2</v>
      </c>
      <c r="D7" s="23">
        <v>3</v>
      </c>
      <c r="E7" s="23" t="str">
        <f t="shared" si="0"/>
        <v>P08-3</v>
      </c>
      <c r="F7" s="7">
        <f>VLOOKUP(_xlfn.TEXTJOIN("-",,B7,D7,"Start"),Timeline!$E$2:$M$177,2,)</f>
        <v>0.36041666666666666</v>
      </c>
      <c r="G7" s="7">
        <f>VLOOKUP(_xlfn.TEXTJOIN("-",,B7,D7,"End"),Timeline!$E$2:$M$177,7,)</f>
        <v>0.54791666666666672</v>
      </c>
      <c r="H7" s="32">
        <f t="shared" si="1"/>
        <v>0.18750000000000006</v>
      </c>
    </row>
    <row r="8" spans="1:8" ht="15.75" customHeight="1">
      <c r="A8" s="2" t="s">
        <v>62</v>
      </c>
      <c r="B8" s="2" t="s">
        <v>61</v>
      </c>
      <c r="C8" s="44" t="str">
        <f>VLOOKUP(B8,Usergroups!$B$2:$D$12,3,)</f>
        <v>group1</v>
      </c>
      <c r="D8" s="23">
        <v>1</v>
      </c>
      <c r="E8" s="23" t="str">
        <f t="shared" si="0"/>
        <v>P09-1</v>
      </c>
      <c r="F8" s="7">
        <f>VLOOKUP(_xlfn.TEXTJOIN("-",,B8,D8,"Start"),Timeline!$E$2:$M$177,2,)</f>
        <v>1.9444444444444445E-2</v>
      </c>
      <c r="G8" s="7">
        <f>VLOOKUP(_xlfn.TEXTJOIN("-",,B8,D8,"End"),Timeline!$E$2:$M$177,7,)</f>
        <v>0.14791666666666667</v>
      </c>
      <c r="H8" s="32">
        <f t="shared" si="1"/>
        <v>0.12847222222222221</v>
      </c>
    </row>
    <row r="9" spans="1:8" ht="15.75" customHeight="1">
      <c r="A9" s="2" t="s">
        <v>62</v>
      </c>
      <c r="B9" s="2" t="s">
        <v>61</v>
      </c>
      <c r="C9" s="44" t="str">
        <f>VLOOKUP(B9,Usergroups!$B$2:$D$12,3,)</f>
        <v>group1</v>
      </c>
      <c r="D9" s="23">
        <v>2</v>
      </c>
      <c r="E9" s="23" t="str">
        <f t="shared" si="0"/>
        <v>P09-2</v>
      </c>
      <c r="F9" s="7">
        <f>VLOOKUP(_xlfn.TEXTJOIN("-",,B9,D9,"Start"),Timeline!$E$2:$M$177,2,)</f>
        <v>0.18124999999999999</v>
      </c>
      <c r="G9" s="7">
        <f>VLOOKUP(_xlfn.TEXTJOIN("-",,B9,D9,"End"),Timeline!$E$2:$M$177,7,)</f>
        <v>0.27291666666666664</v>
      </c>
      <c r="H9" s="32">
        <f t="shared" si="1"/>
        <v>9.1666666666666646E-2</v>
      </c>
    </row>
    <row r="10" spans="1:8" ht="15.75" customHeight="1">
      <c r="A10" s="2" t="s">
        <v>62</v>
      </c>
      <c r="B10" s="2" t="s">
        <v>61</v>
      </c>
      <c r="C10" s="44" t="str">
        <f>VLOOKUP(B10,Usergroups!$B$2:$D$12,3,)</f>
        <v>group1</v>
      </c>
      <c r="D10" s="23">
        <v>3</v>
      </c>
      <c r="E10" s="23" t="str">
        <f t="shared" si="0"/>
        <v>P09-3</v>
      </c>
      <c r="F10" s="7">
        <f>VLOOKUP(_xlfn.TEXTJOIN("-",,B10,D10,"Start"),Timeline!$E$2:$M$177,2,)</f>
        <v>0.30069444444444443</v>
      </c>
      <c r="G10" s="7">
        <f>VLOOKUP(_xlfn.TEXTJOIN("-",,B10,D10,"End"),Timeline!$E$2:$M$177,7,)</f>
        <v>0.46388888888888891</v>
      </c>
      <c r="H10" s="32">
        <f t="shared" si="1"/>
        <v>0.16319444444444448</v>
      </c>
    </row>
    <row r="11" spans="1:8" ht="15.75" customHeight="1">
      <c r="A11" s="2" t="s">
        <v>66</v>
      </c>
      <c r="B11" s="2" t="s">
        <v>65</v>
      </c>
      <c r="C11" s="44" t="str">
        <f>VLOOKUP(B11,Usergroups!$B$2:$D$12,3,)</f>
        <v>group3</v>
      </c>
      <c r="D11" s="23">
        <v>1</v>
      </c>
      <c r="E11" s="23" t="str">
        <f t="shared" si="0"/>
        <v>P05-1</v>
      </c>
      <c r="F11" s="7">
        <f>VLOOKUP(_xlfn.TEXTJOIN("-",,B11,D11,"Start"),Timeline!$E$2:$M$177,2,)</f>
        <v>2.361111111111111E-2</v>
      </c>
      <c r="G11" s="7">
        <f>VLOOKUP(_xlfn.TEXTJOIN("-",,B11,D11,"End"),Timeline!$E$2:$M$177,7,)</f>
        <v>5.1388888888888887E-2</v>
      </c>
      <c r="H11" s="32">
        <f t="shared" si="1"/>
        <v>2.7777777777777776E-2</v>
      </c>
    </row>
    <row r="12" spans="1:8" ht="15.75" customHeight="1">
      <c r="A12" s="2" t="s">
        <v>66</v>
      </c>
      <c r="B12" s="2" t="s">
        <v>65</v>
      </c>
      <c r="C12" s="44" t="str">
        <f>VLOOKUP(B12,Usergroups!$B$2:$D$12,3,)</f>
        <v>group3</v>
      </c>
      <c r="D12" s="23">
        <v>2</v>
      </c>
      <c r="E12" s="23" t="str">
        <f t="shared" si="0"/>
        <v>P05-2</v>
      </c>
      <c r="F12" s="7">
        <f>VLOOKUP(_xlfn.TEXTJOIN("-",,B12,D12,"Start"),Timeline!$E$2:$M$177,2,)</f>
        <v>7.6388888888888895E-2</v>
      </c>
      <c r="G12" s="7">
        <f>VLOOKUP(_xlfn.TEXTJOIN("-",,B12,D12,"End"),Timeline!$E$2:$M$177,7,)</f>
        <v>0.15416666666666667</v>
      </c>
      <c r="H12" s="32">
        <f t="shared" si="1"/>
        <v>7.7777777777777779E-2</v>
      </c>
    </row>
    <row r="13" spans="1:8" ht="15.75" customHeight="1">
      <c r="A13" s="2" t="s">
        <v>66</v>
      </c>
      <c r="B13" s="2" t="s">
        <v>65</v>
      </c>
      <c r="C13" s="44" t="str">
        <f>VLOOKUP(B13,Usergroups!$B$2:$D$12,3,)</f>
        <v>group3</v>
      </c>
      <c r="D13" s="23">
        <v>3</v>
      </c>
      <c r="E13" s="23" t="str">
        <f t="shared" si="0"/>
        <v>P05-3</v>
      </c>
      <c r="F13" s="7">
        <f>VLOOKUP(_xlfn.TEXTJOIN("-",,B13,D13,"Start"),Timeline!$E$2:$M$177,2,)</f>
        <v>0.18333333333333332</v>
      </c>
      <c r="G13" s="7">
        <f>VLOOKUP(_xlfn.TEXTJOIN("-",,B13,D13,"End"),Timeline!$E$2:$M$177,7,)</f>
        <v>0.33402777777777776</v>
      </c>
      <c r="H13" s="32">
        <f t="shared" si="1"/>
        <v>0.15069444444444444</v>
      </c>
    </row>
    <row r="14" spans="1:8" ht="15.75" customHeight="1">
      <c r="A14" s="2" t="s">
        <v>72</v>
      </c>
      <c r="B14" s="2" t="s">
        <v>71</v>
      </c>
      <c r="C14" s="44" t="str">
        <f>VLOOKUP(B14,Usergroups!$B$2:$D$12,3,)</f>
        <v>group1</v>
      </c>
      <c r="D14" s="23">
        <v>1</v>
      </c>
      <c r="E14" s="23" t="str">
        <f t="shared" si="0"/>
        <v>P10-1</v>
      </c>
      <c r="F14" s="7">
        <f>VLOOKUP(_xlfn.TEXTJOIN("-",,B14,D14,"Start"),Timeline!$E$2:$M$177,2,)</f>
        <v>3.6111111111111108E-2</v>
      </c>
      <c r="G14" s="7">
        <f>VLOOKUP(_xlfn.TEXTJOIN("-",,B14,D14,"End"),Timeline!$E$2:$M$177,7,)</f>
        <v>0.10277777777777777</v>
      </c>
      <c r="H14" s="32">
        <f t="shared" si="1"/>
        <v>6.6666666666666666E-2</v>
      </c>
    </row>
    <row r="15" spans="1:8" ht="15.75" customHeight="1">
      <c r="A15" s="2" t="s">
        <v>72</v>
      </c>
      <c r="B15" s="2" t="s">
        <v>71</v>
      </c>
      <c r="C15" s="44" t="str">
        <f>VLOOKUP(B15,Usergroups!$B$2:$D$12,3,)</f>
        <v>group1</v>
      </c>
      <c r="D15" s="23">
        <v>2</v>
      </c>
      <c r="E15" s="23" t="str">
        <f t="shared" si="0"/>
        <v>P10-2</v>
      </c>
      <c r="F15" s="7">
        <f>VLOOKUP(_xlfn.TEXTJOIN("-",,B15,D15,"Start"),Timeline!$E$2:$M$177,2,)</f>
        <v>0.13263888888888889</v>
      </c>
      <c r="G15" s="7">
        <f>VLOOKUP(_xlfn.TEXTJOIN("-",,B15,D15,"End"),Timeline!$E$2:$M$177,7,)</f>
        <v>0.2048611111111111</v>
      </c>
      <c r="H15" s="32">
        <f t="shared" si="1"/>
        <v>7.2222222222222215E-2</v>
      </c>
    </row>
    <row r="16" spans="1:8" ht="15.75" customHeight="1">
      <c r="A16" s="2" t="s">
        <v>72</v>
      </c>
      <c r="B16" s="2" t="s">
        <v>71</v>
      </c>
      <c r="C16" s="44" t="str">
        <f>VLOOKUP(B16,Usergroups!$B$2:$D$12,3,)</f>
        <v>group1</v>
      </c>
      <c r="D16" s="23">
        <v>3</v>
      </c>
      <c r="E16" s="23" t="str">
        <f t="shared" si="0"/>
        <v>P10-3</v>
      </c>
      <c r="F16" s="7">
        <f>VLOOKUP(_xlfn.TEXTJOIN("-",,B16,D16,"Start"),Timeline!$E$2:$M$177,2,)</f>
        <v>0.24236111111111111</v>
      </c>
      <c r="G16" s="7">
        <f>VLOOKUP(_xlfn.TEXTJOIN("-",,B16,D16,"End"),Timeline!$E$2:$M$177,7,)</f>
        <v>0.46250000000000002</v>
      </c>
      <c r="H16" s="32">
        <f t="shared" si="1"/>
        <v>0.22013888888888891</v>
      </c>
    </row>
    <row r="17" spans="1:8" ht="15.75" customHeight="1">
      <c r="A17" s="2" t="s">
        <v>81</v>
      </c>
      <c r="B17" s="2" t="s">
        <v>80</v>
      </c>
      <c r="C17" s="44" t="str">
        <f>VLOOKUP(B17,Usergroups!$B$2:$D$12,3,)</f>
        <v>group1</v>
      </c>
      <c r="D17" s="23">
        <v>1</v>
      </c>
      <c r="E17" s="23" t="str">
        <f t="shared" si="0"/>
        <v>P12-1</v>
      </c>
      <c r="F17" s="7">
        <f>VLOOKUP(_xlfn.TEXTJOIN("-",,B17,D17,"Start"),Timeline!$E$2:$M$177,2,)</f>
        <v>2.7083333333333334E-2</v>
      </c>
      <c r="G17" s="7">
        <f>VLOOKUP(_xlfn.TEXTJOIN("-",,B17,D17,"End"),Timeline!$E$2:$M$177,7,)</f>
        <v>0.10972222222222222</v>
      </c>
      <c r="H17" s="32">
        <f t="shared" si="1"/>
        <v>8.2638888888888887E-2</v>
      </c>
    </row>
    <row r="18" spans="1:8" ht="15.75" customHeight="1">
      <c r="A18" s="2" t="s">
        <v>81</v>
      </c>
      <c r="B18" s="2" t="s">
        <v>80</v>
      </c>
      <c r="C18" s="44" t="str">
        <f>VLOOKUP(B18,Usergroups!$B$2:$D$12,3,)</f>
        <v>group1</v>
      </c>
      <c r="D18" s="23">
        <v>2</v>
      </c>
      <c r="E18" s="23" t="str">
        <f t="shared" si="0"/>
        <v>P12-2</v>
      </c>
      <c r="F18" s="7">
        <f>VLOOKUP(_xlfn.TEXTJOIN("-",,B18,D18,"Start"),Timeline!$E$2:$M$177,2,)</f>
        <v>0.15208333333333332</v>
      </c>
      <c r="G18" s="7">
        <f>VLOOKUP(_xlfn.TEXTJOIN("-",,B18,D18,"End"),Timeline!$E$2:$M$177,7,)</f>
        <v>0.36527777777777776</v>
      </c>
      <c r="H18" s="32">
        <f t="shared" si="1"/>
        <v>0.21319444444444444</v>
      </c>
    </row>
    <row r="19" spans="1:8" ht="15.75" customHeight="1">
      <c r="A19" s="2" t="s">
        <v>81</v>
      </c>
      <c r="B19" s="2" t="s">
        <v>80</v>
      </c>
      <c r="C19" s="44" t="str">
        <f>VLOOKUP(B19,Usergroups!$B$2:$D$12,3,)</f>
        <v>group1</v>
      </c>
      <c r="D19" s="23">
        <v>3</v>
      </c>
      <c r="E19" s="23" t="str">
        <f t="shared" si="0"/>
        <v>P12-3</v>
      </c>
      <c r="F19" s="7">
        <f>VLOOKUP(_xlfn.TEXTJOIN("-",,B19,D19,"Start"),Timeline!$E$2:$M$177,2,)</f>
        <v>0.40763888888888888</v>
      </c>
      <c r="G19" s="7">
        <f>VLOOKUP(_xlfn.TEXTJOIN("-",,B19,D19,"End"),Timeline!$E$2:$M$177,7,)</f>
        <v>0.67013888888888884</v>
      </c>
      <c r="H19" s="32">
        <f t="shared" si="1"/>
        <v>0.26249999999999996</v>
      </c>
    </row>
    <row r="20" spans="1:8" ht="15.75" customHeight="1">
      <c r="A20" s="2" t="s">
        <v>82</v>
      </c>
      <c r="B20" s="2" t="s">
        <v>89</v>
      </c>
      <c r="C20" s="44" t="str">
        <f>VLOOKUP(B20,Usergroups!$B$2:$D$12,3,)</f>
        <v>group1</v>
      </c>
      <c r="D20" s="23">
        <v>1</v>
      </c>
      <c r="E20" s="23" t="str">
        <f t="shared" si="0"/>
        <v>P13-1</v>
      </c>
      <c r="F20" s="7">
        <f>VLOOKUP(_xlfn.TEXTJOIN("-",,B20,D20,"Start"),Timeline!$E$2:$M$177,2,)</f>
        <v>2.7083333333333334E-2</v>
      </c>
      <c r="G20" s="7">
        <f>VLOOKUP(_xlfn.TEXTJOIN("-",,B20,D20,"End"),Timeline!$E$2:$M$177,7,)</f>
        <v>0.21249999999999999</v>
      </c>
      <c r="H20" s="32">
        <f t="shared" si="1"/>
        <v>0.18541666666666667</v>
      </c>
    </row>
    <row r="21" spans="1:8" ht="15.75" customHeight="1">
      <c r="A21" s="2" t="s">
        <v>82</v>
      </c>
      <c r="B21" s="2" t="s">
        <v>89</v>
      </c>
      <c r="C21" s="44" t="str">
        <f>VLOOKUP(B21,Usergroups!$B$2:$D$12,3,)</f>
        <v>group1</v>
      </c>
      <c r="D21" s="23">
        <v>2</v>
      </c>
      <c r="E21" s="23" t="str">
        <f t="shared" si="0"/>
        <v>P13-2</v>
      </c>
      <c r="F21" s="7">
        <f>VLOOKUP(_xlfn.TEXTJOIN("-",,B21,D21,"Start"),Timeline!$E$2:$M$177,2,)</f>
        <v>0.25208333333333333</v>
      </c>
      <c r="G21" s="7">
        <f>VLOOKUP(_xlfn.TEXTJOIN("-",,B21,D21,"End"),Timeline!$E$2:$M$177,7,)</f>
        <v>0.37916666666666665</v>
      </c>
      <c r="H21" s="32">
        <f t="shared" si="1"/>
        <v>0.12708333333333333</v>
      </c>
    </row>
    <row r="22" spans="1:8" ht="15.75" customHeight="1">
      <c r="A22" s="2" t="s">
        <v>82</v>
      </c>
      <c r="B22" s="2" t="s">
        <v>89</v>
      </c>
      <c r="C22" s="44" t="str">
        <f>VLOOKUP(B22,Usergroups!$B$2:$D$12,3,)</f>
        <v>group1</v>
      </c>
      <c r="D22" s="23">
        <v>3</v>
      </c>
      <c r="E22" s="23" t="str">
        <f t="shared" si="0"/>
        <v>P13-3</v>
      </c>
      <c r="F22" s="7">
        <f>VLOOKUP(_xlfn.TEXTJOIN("-",,B22,D22,"Start"),Timeline!$E$2:$M$177,2,)</f>
        <v>0.41249999999999998</v>
      </c>
      <c r="G22" s="7">
        <f>VLOOKUP(_xlfn.TEXTJOIN("-",,B22,D22,"End"),Timeline!$E$2:$M$177,7,)</f>
        <v>0.52152777777777781</v>
      </c>
      <c r="H22" s="32">
        <f t="shared" si="1"/>
        <v>0.10902777777777783</v>
      </c>
    </row>
    <row r="23" spans="1:8" ht="15.75" customHeight="1">
      <c r="A23" s="2" t="s">
        <v>85</v>
      </c>
      <c r="B23" s="2" t="s">
        <v>96</v>
      </c>
      <c r="C23" s="44" t="str">
        <f>VLOOKUP(B23,Usergroups!$B$2:$D$12,3,)</f>
        <v>group1</v>
      </c>
      <c r="D23" s="23">
        <v>1</v>
      </c>
      <c r="E23" s="23" t="str">
        <f t="shared" si="0"/>
        <v>P14-1</v>
      </c>
      <c r="F23" s="7">
        <f>VLOOKUP(_xlfn.TEXTJOIN("-",,B23,D23,"Start"),Timeline!$E$2:$M$177,2,)</f>
        <v>3.125E-2</v>
      </c>
      <c r="G23" s="7">
        <f>VLOOKUP(_xlfn.TEXTJOIN("-",,B23,D23,"End"),Timeline!$E$2:$M$177,7,)</f>
        <v>0.11458333333333333</v>
      </c>
      <c r="H23" s="32">
        <f t="shared" si="1"/>
        <v>8.3333333333333329E-2</v>
      </c>
    </row>
    <row r="24" spans="1:8" ht="15.75" customHeight="1">
      <c r="A24" s="2" t="s">
        <v>85</v>
      </c>
      <c r="B24" s="2" t="s">
        <v>96</v>
      </c>
      <c r="C24" s="44" t="str">
        <f>VLOOKUP(B24,Usergroups!$B$2:$D$12,3,)</f>
        <v>group1</v>
      </c>
      <c r="D24" s="23">
        <v>2</v>
      </c>
      <c r="E24" s="23" t="str">
        <f t="shared" si="0"/>
        <v>P14-2</v>
      </c>
      <c r="F24" s="7">
        <f>VLOOKUP(_xlfn.TEXTJOIN("-",,B24,D24,"Start"),Timeline!$E$2:$M$177,2,)</f>
        <v>0.1423611111111111</v>
      </c>
      <c r="G24" s="7">
        <f>VLOOKUP(_xlfn.TEXTJOIN("-",,B24,D24,"End"),Timeline!$E$2:$M$177,7,)</f>
        <v>0.23958333333333334</v>
      </c>
      <c r="H24" s="32">
        <f t="shared" si="1"/>
        <v>9.7222222222222238E-2</v>
      </c>
    </row>
    <row r="25" spans="1:8" ht="15.75" customHeight="1">
      <c r="A25" s="2" t="s">
        <v>85</v>
      </c>
      <c r="B25" s="2" t="s">
        <v>96</v>
      </c>
      <c r="C25" s="44" t="str">
        <f>VLOOKUP(B25,Usergroups!$B$2:$D$12,3,)</f>
        <v>group1</v>
      </c>
      <c r="D25" s="23">
        <v>3</v>
      </c>
      <c r="E25" s="23" t="str">
        <f t="shared" si="0"/>
        <v>P14-3</v>
      </c>
      <c r="F25" s="7">
        <f>VLOOKUP(_xlfn.TEXTJOIN("-",,B25,D25,"Start"),Timeline!$E$2:$M$177,2,)</f>
        <v>0.27361111111111114</v>
      </c>
      <c r="G25" s="7">
        <f>VLOOKUP(_xlfn.TEXTJOIN("-",,B25,D25,"End"),Timeline!$E$2:$M$177,7,)</f>
        <v>0.42569444444444443</v>
      </c>
      <c r="H25" s="32">
        <f t="shared" si="1"/>
        <v>0.15208333333333329</v>
      </c>
    </row>
    <row r="26" spans="1:8" ht="15.75" customHeight="1">
      <c r="A26" s="2" t="s">
        <v>88</v>
      </c>
      <c r="B26" s="2" t="s">
        <v>100</v>
      </c>
      <c r="C26" s="44" t="str">
        <f>VLOOKUP(B26,Usergroups!$B$2:$D$12,3,)</f>
        <v>group1</v>
      </c>
      <c r="D26" s="23">
        <v>1</v>
      </c>
      <c r="E26" s="23" t="str">
        <f t="shared" si="0"/>
        <v>P11-1</v>
      </c>
      <c r="F26" s="7">
        <f>VLOOKUP(_xlfn.TEXTJOIN("-",,B26,D26,"Start"),Timeline!$E$2:$M$177,2,)</f>
        <v>3.7499999999999999E-2</v>
      </c>
      <c r="G26" s="7">
        <f>VLOOKUP(_xlfn.TEXTJOIN("-",,B26,D26,"End"),Timeline!$E$2:$M$177,7,)</f>
        <v>0.13750000000000001</v>
      </c>
      <c r="H26" s="32">
        <f t="shared" si="1"/>
        <v>0.1</v>
      </c>
    </row>
    <row r="27" spans="1:8" ht="15.75" customHeight="1">
      <c r="A27" s="2" t="s">
        <v>88</v>
      </c>
      <c r="B27" s="2" t="s">
        <v>100</v>
      </c>
      <c r="C27" s="44" t="str">
        <f>VLOOKUP(B27,Usergroups!$B$2:$D$12,3,)</f>
        <v>group1</v>
      </c>
      <c r="D27" s="23">
        <v>2</v>
      </c>
      <c r="E27" s="23" t="str">
        <f t="shared" si="0"/>
        <v>P11-2</v>
      </c>
      <c r="F27" s="7">
        <f>VLOOKUP(_xlfn.TEXTJOIN("-",,B27,D27,"Start"),Timeline!$E$2:$M$177,2,)</f>
        <v>0.18541666666666667</v>
      </c>
      <c r="G27" s="7">
        <f>VLOOKUP(_xlfn.TEXTJOIN("-",,B27,D27,"End"),Timeline!$E$2:$M$177,7,)</f>
        <v>0.37291666666666667</v>
      </c>
      <c r="H27" s="32">
        <f t="shared" si="1"/>
        <v>0.1875</v>
      </c>
    </row>
    <row r="28" spans="1:8" ht="15.75" customHeight="1">
      <c r="A28" s="2" t="s">
        <v>88</v>
      </c>
      <c r="B28" s="2" t="s">
        <v>100</v>
      </c>
      <c r="C28" s="44" t="str">
        <f>VLOOKUP(B28,Usergroups!$B$2:$D$12,3,)</f>
        <v>group1</v>
      </c>
      <c r="D28" s="23">
        <v>3</v>
      </c>
      <c r="E28" s="23" t="str">
        <f t="shared" si="0"/>
        <v>P11-3</v>
      </c>
      <c r="F28" s="7">
        <f>VLOOKUP(_xlfn.TEXTJOIN("-",,B28,D28,"Start"),Timeline!$E$2:$M$177,2,)</f>
        <v>0.43194444444444446</v>
      </c>
      <c r="G28" s="7">
        <f>VLOOKUP(_xlfn.TEXTJOIN("-",,B28,D28,"End"),Timeline!$E$2:$M$177,7,)</f>
        <v>0.69097222222222221</v>
      </c>
      <c r="H28" s="32">
        <f t="shared" si="1"/>
        <v>0.25902777777777775</v>
      </c>
    </row>
    <row r="29" spans="1:8" ht="15.75" customHeight="1">
      <c r="A29" s="2" t="s">
        <v>90</v>
      </c>
      <c r="B29" s="2" t="s">
        <v>103</v>
      </c>
      <c r="C29" s="44" t="str">
        <f>VLOOKUP(B29,Usergroups!$B$2:$D$12,3,)</f>
        <v>group2</v>
      </c>
      <c r="D29" s="23">
        <v>1</v>
      </c>
      <c r="E29" s="23" t="str">
        <f t="shared" si="0"/>
        <v>P06-1</v>
      </c>
      <c r="F29" s="7">
        <f>VLOOKUP(_xlfn.TEXTJOIN("-",,B29,D29,"Start"),Timeline!$E$2:$M$177,2,)</f>
        <v>2.1527777777777778E-2</v>
      </c>
      <c r="G29" s="7">
        <f>VLOOKUP(_xlfn.TEXTJOIN("-",,B29,D29,"End"),Timeline!$E$2:$M$177,7,)</f>
        <v>6.8750000000000006E-2</v>
      </c>
      <c r="H29" s="32">
        <f t="shared" si="1"/>
        <v>4.7222222222222228E-2</v>
      </c>
    </row>
    <row r="30" spans="1:8" ht="15.75" customHeight="1">
      <c r="A30" s="2" t="s">
        <v>90</v>
      </c>
      <c r="B30" s="2" t="s">
        <v>103</v>
      </c>
      <c r="C30" s="44" t="str">
        <f>VLOOKUP(B30,Usergroups!$B$2:$D$12,3,)</f>
        <v>group2</v>
      </c>
      <c r="D30" s="23">
        <v>2</v>
      </c>
      <c r="E30" s="23" t="str">
        <f t="shared" si="0"/>
        <v>P06-2</v>
      </c>
      <c r="F30" s="7">
        <f>VLOOKUP(_xlfn.TEXTJOIN("-",,B30,D30,"Start"),Timeline!$E$2:$M$177,2,)</f>
        <v>9.4444444444444442E-2</v>
      </c>
      <c r="G30" s="7">
        <f>VLOOKUP(_xlfn.TEXTJOIN("-",,B30,D30,"End"),Timeline!$E$2:$M$177,7,)</f>
        <v>0.21458333333333332</v>
      </c>
      <c r="H30" s="32">
        <f t="shared" si="1"/>
        <v>0.12013888888888888</v>
      </c>
    </row>
    <row r="31" spans="1:8" ht="15.75" customHeight="1">
      <c r="A31" s="2" t="s">
        <v>90</v>
      </c>
      <c r="B31" s="2" t="s">
        <v>103</v>
      </c>
      <c r="C31" s="44" t="str">
        <f>VLOOKUP(B31,Usergroups!$B$2:$D$12,3,)</f>
        <v>group2</v>
      </c>
      <c r="D31" s="23">
        <v>3</v>
      </c>
      <c r="E31" s="23" t="str">
        <f t="shared" si="0"/>
        <v>P06-3</v>
      </c>
      <c r="F31" s="7">
        <f>VLOOKUP(_xlfn.TEXTJOIN("-",,B31,D31,"Start"),Timeline!$E$2:$M$177,2,)</f>
        <v>0.24791666666666667</v>
      </c>
      <c r="G31" s="7">
        <f>VLOOKUP(_xlfn.TEXTJOIN("-",,B31,D31,"End"),Timeline!$E$2:$M$177,7,)</f>
        <v>0.44930555555555557</v>
      </c>
      <c r="H31" s="32">
        <f t="shared" si="1"/>
        <v>0.2013888888888889</v>
      </c>
    </row>
    <row r="32" spans="1:8" ht="15.75" customHeight="1">
      <c r="A32" s="2" t="s">
        <v>91</v>
      </c>
      <c r="B32" s="14" t="s">
        <v>106</v>
      </c>
      <c r="C32" s="44" t="str">
        <f>VLOOKUP(B32,Usergroups!$B$2:$D$12,3,)</f>
        <v>group2</v>
      </c>
      <c r="D32" s="23">
        <v>1</v>
      </c>
      <c r="E32" s="23" t="str">
        <f t="shared" si="0"/>
        <v>P07-1</v>
      </c>
      <c r="F32" s="7">
        <f>VLOOKUP(_xlfn.TEXTJOIN("-",,B32,D32,"Start"),Timeline!$E$2:$M$177,2,)</f>
        <v>1.9444444444444445E-2</v>
      </c>
      <c r="G32" s="7">
        <f>VLOOKUP(_xlfn.TEXTJOIN("-",,B32,D32,"End"),Timeline!$E$2:$M$177,7,)</f>
        <v>0.125</v>
      </c>
      <c r="H32" s="32">
        <f t="shared" si="1"/>
        <v>0.10555555555555556</v>
      </c>
    </row>
    <row r="33" spans="1:8" ht="15.75" customHeight="1">
      <c r="A33" s="2" t="s">
        <v>91</v>
      </c>
      <c r="B33" s="14" t="s">
        <v>106</v>
      </c>
      <c r="C33" s="44" t="str">
        <f>VLOOKUP(B33,Usergroups!$B$2:$D$12,3,)</f>
        <v>group2</v>
      </c>
      <c r="D33" s="23">
        <v>2</v>
      </c>
      <c r="E33" s="23" t="str">
        <f t="shared" si="0"/>
        <v>P07-2</v>
      </c>
      <c r="F33" s="7">
        <f>VLOOKUP(_xlfn.TEXTJOIN("-",,B33,D33,"Start"),Timeline!$E$2:$M$177,2,)</f>
        <v>0.15208333333333332</v>
      </c>
      <c r="G33" s="7">
        <f>VLOOKUP(_xlfn.TEXTJOIN("-",,B33,D33,"End"),Timeline!$E$2:$M$177,7,)</f>
        <v>0.28749999999999998</v>
      </c>
      <c r="H33" s="32">
        <f t="shared" si="1"/>
        <v>0.13541666666666666</v>
      </c>
    </row>
    <row r="34" spans="1:8" ht="15.75" customHeight="1">
      <c r="A34" s="2" t="s">
        <v>91</v>
      </c>
      <c r="B34" s="14" t="s">
        <v>106</v>
      </c>
      <c r="C34" s="44" t="str">
        <f>VLOOKUP(B34,Usergroups!$B$2:$D$12,3,)</f>
        <v>group2</v>
      </c>
      <c r="D34" s="23">
        <v>3</v>
      </c>
      <c r="E34" s="23" t="str">
        <f t="shared" si="0"/>
        <v>P07-3</v>
      </c>
      <c r="F34" s="7">
        <f>VLOOKUP(_xlfn.TEXTJOIN("-",,B34,D34,"Start"),Timeline!$E$2:$M$177,2,)</f>
        <v>0.32708333333333334</v>
      </c>
      <c r="G34" s="7">
        <f>VLOOKUP(_xlfn.TEXTJOIN("-",,B34,D34,"End"),Timeline!$E$2:$M$177,7,)</f>
        <v>0.47152777777777777</v>
      </c>
      <c r="H34" s="32">
        <f t="shared" si="1"/>
        <v>0.14444444444444443</v>
      </c>
    </row>
  </sheetData>
  <autoFilter ref="A1:H34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="85" zoomScaleNormal="85" workbookViewId="0">
      <selection activeCell="M2" sqref="M2"/>
    </sheetView>
  </sheetViews>
  <sheetFormatPr baseColWidth="10" defaultRowHeight="12.75"/>
  <cols>
    <col min="1" max="1" width="13.28515625" bestFit="1" customWidth="1"/>
    <col min="4" max="4" width="13.28515625" customWidth="1"/>
    <col min="10" max="10" width="15.28515625" bestFit="1" customWidth="1"/>
  </cols>
  <sheetData>
    <row r="1" spans="1:15" s="43" customFormat="1">
      <c r="A1" s="59" t="s">
        <v>207</v>
      </c>
      <c r="B1" s="60"/>
      <c r="C1" s="60"/>
      <c r="D1" s="60"/>
    </row>
    <row r="2" spans="1:15">
      <c r="B2" s="31" t="s">
        <v>195</v>
      </c>
      <c r="C2" s="31" t="s">
        <v>196</v>
      </c>
      <c r="D2" s="31" t="s">
        <v>197</v>
      </c>
      <c r="M2" s="31" t="s">
        <v>24</v>
      </c>
      <c r="N2" s="31" t="s">
        <v>209</v>
      </c>
      <c r="O2" s="31" t="s">
        <v>210</v>
      </c>
    </row>
    <row r="3" spans="1:15">
      <c r="A3" s="31" t="s">
        <v>198</v>
      </c>
      <c r="B3" s="47">
        <f>_xlfn.MINIFS(Trips!$H$2:$H$34,Trips!$C$2:$C$34,"group1",Trips!$D$2:$D$34,1)</f>
        <v>6.6666666666666666E-2</v>
      </c>
      <c r="C3" s="47">
        <f>_xlfn.MINIFS(Trips!$H$2:$H$34,Trips!$C$2:$C$34,"group1",Trips!$D$2:$D$34,2)</f>
        <v>7.2222222222222215E-2</v>
      </c>
      <c r="D3" s="47">
        <f>_xlfn.MINIFS(Trips!$H$2:$H$34,Trips!$C$2:$C$34,"group1",Trips!$D$2:$D$34,3)</f>
        <v>0.10902777777777783</v>
      </c>
      <c r="M3" s="31" t="s">
        <v>195</v>
      </c>
      <c r="N3" s="53">
        <f>SUM(C24:C26)</f>
        <v>1.0833333333333334E-2</v>
      </c>
      <c r="O3" s="48">
        <f>SUM(D24:D26)</f>
        <v>4.7222222222222223E-3</v>
      </c>
    </row>
    <row r="4" spans="1:15">
      <c r="A4" s="31" t="s">
        <v>204</v>
      </c>
      <c r="B4" s="47">
        <f>AVERAGEIFS(Trips!$H$2:$H$34,Trips!$C$2:$C$34,"group1",Trips!$D$2:$D$34,1)</f>
        <v>0.10775462962962962</v>
      </c>
      <c r="C4" s="47">
        <f>AVERAGEIFS(Trips!$H$2:$H$34,Trips!$C$2:$C$34,"group1",Trips!$D$2:$D$34,2)</f>
        <v>0.13148148148148148</v>
      </c>
      <c r="D4" s="47">
        <f>AVERAGEIFS(Trips!$H$2:$H$34,Trips!$C$2:$C$34,"group1",Trips!$D$2:$D$34,3)</f>
        <v>0.19432870370370373</v>
      </c>
      <c r="M4" s="31" t="s">
        <v>196</v>
      </c>
      <c r="N4" s="48">
        <f>SUM(C27:C29)</f>
        <v>1.5370370370370371E-2</v>
      </c>
      <c r="O4" s="48">
        <f>SUM(D27:D29)</f>
        <v>5.1273148148148146E-3</v>
      </c>
    </row>
    <row r="5" spans="1:15">
      <c r="A5" s="31" t="s">
        <v>199</v>
      </c>
      <c r="B5" s="47">
        <f>_xlfn.MAXIFS(Trips!$H$2:$H$34,Trips!$C$2:$C$34,"group1",Trips!$D$2:$D$34,1)</f>
        <v>0.18541666666666667</v>
      </c>
      <c r="C5" s="47">
        <f>_xlfn.MAXIFS(Trips!$H$2:$H$34,Trips!$C$2:$C$34,"group1",Trips!$D$2:$D$34,2)</f>
        <v>0.21319444444444444</v>
      </c>
      <c r="D5" s="47">
        <f>_xlfn.MAXIFS(Trips!$H$2:$H$34,Trips!$C$2:$C$34,"group1",Trips!$D$2:$D$34,3)</f>
        <v>0.26249999999999996</v>
      </c>
      <c r="M5" s="31" t="s">
        <v>197</v>
      </c>
      <c r="N5" s="48">
        <f>SUM(C30:C32)</f>
        <v>2.7118055555555558E-2</v>
      </c>
      <c r="O5" s="48">
        <f>SUM(D30:D32)</f>
        <v>5.2199074074074066E-3</v>
      </c>
    </row>
    <row r="6" spans="1:15">
      <c r="A6" s="31" t="s">
        <v>200</v>
      </c>
      <c r="B6" s="47">
        <f>_xlfn.MINIFS(Trips!$H$2:$H$34,Trips!$C$2:$C$34,"group2",Trips!$D$2:$D$34,1)</f>
        <v>4.7222222222222228E-2</v>
      </c>
      <c r="C6" s="47">
        <f>_xlfn.MINIFS(Trips!$H$2:$H$34,Trips!$C$2:$C$34,"group2",Trips!$D$2:$D$34,2)</f>
        <v>0.10347222222222219</v>
      </c>
      <c r="D6" s="47">
        <f>_xlfn.MINIFS(Trips!$H$2:$H$34,Trips!$C$2:$C$34,"group2",Trips!$D$2:$D$34,3)</f>
        <v>0.14444444444444443</v>
      </c>
    </row>
    <row r="7" spans="1:15">
      <c r="A7" s="31" t="s">
        <v>205</v>
      </c>
      <c r="B7" s="47">
        <f>AVERAGEIFS(Trips!$H$2:$H$34,Trips!$C$2:$C$34,"group2",Trips!$D$2:$D$34,1)</f>
        <v>0.10162037037037036</v>
      </c>
      <c r="C7" s="47">
        <f>AVERAGEIFS(Trips!$H$2:$H$34,Trips!$C$2:$C$34,"group2",Trips!$D$2:$D$34,2)</f>
        <v>0.11967592592592591</v>
      </c>
      <c r="D7" s="47">
        <f>AVERAGEIFS(Trips!$H$2:$H$34,Trips!$C$2:$C$34,"group2",Trips!$D$2:$D$34,3)</f>
        <v>0.17777777777777781</v>
      </c>
    </row>
    <row r="8" spans="1:15">
      <c r="A8" s="31" t="s">
        <v>201</v>
      </c>
      <c r="B8" s="47">
        <f>_xlfn.MAXIFS(Trips!$H$2:$H$34,Trips!$C$2:$C$34,"group2",Trips!$D$2:$D$34,1)</f>
        <v>0.15208333333333332</v>
      </c>
      <c r="C8" s="47">
        <f>_xlfn.MAXIFS(Trips!$H$2:$H$34,Trips!$C$2:$C$34,"group2",Trips!$D$2:$D$34,2)</f>
        <v>0.13541666666666666</v>
      </c>
      <c r="D8" s="47">
        <f>_xlfn.MAXIFS(Trips!$H$2:$H$34,Trips!$C$2:$C$34,"group2",Trips!$D$2:$D$34,3)</f>
        <v>0.2013888888888889</v>
      </c>
    </row>
    <row r="9" spans="1:15">
      <c r="A9" s="31" t="s">
        <v>202</v>
      </c>
      <c r="B9" s="47">
        <f>_xlfn.MINIFS(Trips!$H$2:$H$34,Trips!$C$2:$C$34,"group3",Trips!$D$2:$D$34,1)</f>
        <v>2.7777777777777776E-2</v>
      </c>
      <c r="C9" s="47">
        <f>_xlfn.MINIFS(Trips!$H$2:$H$34,Trips!$C$2:$C$34,"group3",Trips!$D$2:$D$34,2)</f>
        <v>3.333333333333334E-2</v>
      </c>
      <c r="D9" s="47">
        <f>_xlfn.MINIFS(Trips!$H$2:$H$34,Trips!$C$2:$C$34,"group3",Trips!$D$2:$D$34,3)</f>
        <v>0.10833333333333334</v>
      </c>
    </row>
    <row r="10" spans="1:15">
      <c r="A10" s="31" t="s">
        <v>206</v>
      </c>
      <c r="B10" s="47">
        <f>AVERAGEIFS(Trips!$H$2:$H$34,Trips!$C$2:$C$34,"group3",Trips!$D$2:$D$34,1)</f>
        <v>3.784722222222222E-2</v>
      </c>
      <c r="C10" s="47">
        <f>AVERAGEIFS(Trips!$H$2:$H$34,Trips!$C$2:$C$34,"group3",Trips!$D$2:$D$34,2)</f>
        <v>5.5555555555555559E-2</v>
      </c>
      <c r="D10" s="47">
        <f>AVERAGEIFS(Trips!$H$2:$H$34,Trips!$C$2:$C$34,"group3",Trips!$D$2:$D$34,3)</f>
        <v>0.12951388888888887</v>
      </c>
    </row>
    <row r="11" spans="1:15">
      <c r="A11" s="31" t="s">
        <v>203</v>
      </c>
      <c r="B11" s="47">
        <f>_xlfn.MAXIFS(Trips!$H$2:$H$34,Trips!$C$2:$C$34,"group3",Trips!$D$2:$D$34,1)</f>
        <v>4.7916666666666663E-2</v>
      </c>
      <c r="C11" s="47">
        <f>_xlfn.MAXIFS(Trips!$H$2:$H$34,Trips!$C$2:$C$34,"group3",Trips!$D$2:$D$34,2)</f>
        <v>7.7777777777777779E-2</v>
      </c>
      <c r="D11" s="47">
        <f>_xlfn.MAXIFS(Trips!$H$2:$H$34,Trips!$C$2:$C$34,"group3",Trips!$D$2:$D$34,3)</f>
        <v>0.15069444444444444</v>
      </c>
    </row>
    <row r="16" spans="1:15">
      <c r="A16" s="31" t="s">
        <v>208</v>
      </c>
      <c r="B16" s="31" t="s">
        <v>212</v>
      </c>
    </row>
    <row r="17" spans="1:10">
      <c r="A17" s="31" t="s">
        <v>184</v>
      </c>
      <c r="B17">
        <f>COUNTIF(Usergroups!$D$2:$D$12,"group1")</f>
        <v>6</v>
      </c>
    </row>
    <row r="18" spans="1:10">
      <c r="A18" s="31" t="s">
        <v>185</v>
      </c>
      <c r="B18" s="45">
        <f>COUNTIF(Usergroups!$D$2:$D$12,"group2")</f>
        <v>3</v>
      </c>
    </row>
    <row r="19" spans="1:10">
      <c r="A19" s="31" t="s">
        <v>186</v>
      </c>
      <c r="B19" s="45">
        <f>COUNTIF(Usergroups!$D$2:$D$12,"group3")</f>
        <v>2</v>
      </c>
    </row>
    <row r="22" spans="1:10" ht="35.25" customHeight="1">
      <c r="A22" s="61" t="s">
        <v>211</v>
      </c>
      <c r="B22" s="59"/>
      <c r="C22" s="59"/>
      <c r="D22" s="59"/>
      <c r="F22" s="61" t="s">
        <v>213</v>
      </c>
      <c r="G22" s="59"/>
      <c r="H22" s="59"/>
      <c r="I22" s="59"/>
    </row>
    <row r="23" spans="1:10">
      <c r="A23" s="31" t="s">
        <v>24</v>
      </c>
      <c r="B23" s="31" t="s">
        <v>208</v>
      </c>
      <c r="C23" s="31" t="s">
        <v>209</v>
      </c>
      <c r="D23" s="31" t="s">
        <v>210</v>
      </c>
      <c r="F23" s="31" t="s">
        <v>24</v>
      </c>
      <c r="G23" s="31" t="s">
        <v>208</v>
      </c>
      <c r="H23" s="31" t="s">
        <v>209</v>
      </c>
      <c r="I23" s="31" t="s">
        <v>210</v>
      </c>
    </row>
    <row r="24" spans="1:10">
      <c r="A24" s="31" t="s">
        <v>195</v>
      </c>
      <c r="B24" s="31" t="s">
        <v>184</v>
      </c>
      <c r="C24" s="48">
        <v>7.0949074074074074E-3</v>
      </c>
      <c r="D24" s="48">
        <v>2.615740740740741E-3</v>
      </c>
      <c r="E24" s="47"/>
      <c r="F24" s="31" t="s">
        <v>195</v>
      </c>
      <c r="G24" s="31" t="s">
        <v>184</v>
      </c>
      <c r="H24" s="48">
        <f>C24/VLOOKUP(G24,$A$17:$B$19,2)</f>
        <v>1.1824845679012346E-3</v>
      </c>
      <c r="I24" s="48">
        <f>D24/VLOOKUP(G24,$A$17:$B$19,2)</f>
        <v>4.3595679012345683E-4</v>
      </c>
    </row>
    <row r="25" spans="1:10">
      <c r="A25" s="31" t="s">
        <v>195</v>
      </c>
      <c r="B25" s="31" t="s">
        <v>185</v>
      </c>
      <c r="C25" s="48">
        <v>3.2291666666666666E-3</v>
      </c>
      <c r="D25" s="48">
        <v>1.5624999999999999E-3</v>
      </c>
      <c r="E25" s="47"/>
      <c r="F25" s="31" t="s">
        <v>195</v>
      </c>
      <c r="G25" s="31" t="s">
        <v>185</v>
      </c>
      <c r="H25" s="48">
        <f t="shared" ref="H25:H32" si="0">C25/VLOOKUP(G25,$A$17:$B$19,2)</f>
        <v>1.0763888888888889E-3</v>
      </c>
      <c r="I25" s="48">
        <f t="shared" ref="I25:I32" si="1">D25/VLOOKUP(G25,$A$17:$B$19,2)</f>
        <v>5.2083333333333333E-4</v>
      </c>
    </row>
    <row r="26" spans="1:10">
      <c r="A26" s="31" t="s">
        <v>195</v>
      </c>
      <c r="B26" s="31" t="s">
        <v>186</v>
      </c>
      <c r="C26" s="48">
        <v>5.0925925925925921E-4</v>
      </c>
      <c r="D26" s="52">
        <v>5.4398148148148144E-4</v>
      </c>
      <c r="E26" s="47"/>
      <c r="F26" s="31" t="s">
        <v>195</v>
      </c>
      <c r="G26" s="31" t="s">
        <v>186</v>
      </c>
      <c r="H26" s="48">
        <f t="shared" si="0"/>
        <v>2.5462962962962961E-4</v>
      </c>
      <c r="I26" s="48">
        <f t="shared" si="1"/>
        <v>2.7199074074074072E-4</v>
      </c>
      <c r="J26" s="50"/>
    </row>
    <row r="27" spans="1:10">
      <c r="A27" s="31" t="s">
        <v>196</v>
      </c>
      <c r="B27" s="31" t="s">
        <v>184</v>
      </c>
      <c r="C27" s="48">
        <v>9.6643518518518511E-3</v>
      </c>
      <c r="D27" s="48">
        <v>3.1597222222222222E-3</v>
      </c>
      <c r="E27" s="47"/>
      <c r="F27" s="31" t="s">
        <v>196</v>
      </c>
      <c r="G27" s="31" t="s">
        <v>184</v>
      </c>
      <c r="H27" s="48">
        <f t="shared" si="0"/>
        <v>1.6107253086419752E-3</v>
      </c>
      <c r="I27" s="48">
        <f t="shared" si="1"/>
        <v>5.2662037037037033E-4</v>
      </c>
    </row>
    <row r="28" spans="1:10">
      <c r="A28" s="31" t="s">
        <v>196</v>
      </c>
      <c r="B28" s="31" t="s">
        <v>185</v>
      </c>
      <c r="C28" s="48">
        <v>4.2013888888888891E-3</v>
      </c>
      <c r="D28" s="48">
        <v>1.6203703703703703E-3</v>
      </c>
      <c r="E28" s="47"/>
      <c r="F28" s="31" t="s">
        <v>196</v>
      </c>
      <c r="G28" s="31" t="s">
        <v>185</v>
      </c>
      <c r="H28" s="48">
        <f t="shared" si="0"/>
        <v>1.4004629629629629E-3</v>
      </c>
      <c r="I28" s="48">
        <f t="shared" si="1"/>
        <v>5.4012345679012341E-4</v>
      </c>
    </row>
    <row r="29" spans="1:10">
      <c r="A29" s="31" t="s">
        <v>196</v>
      </c>
      <c r="B29" s="31" t="s">
        <v>186</v>
      </c>
      <c r="C29" s="48">
        <v>1.5046296296296294E-3</v>
      </c>
      <c r="D29" s="48">
        <v>3.4722222222222224E-4</v>
      </c>
      <c r="E29" s="47"/>
      <c r="F29" s="31" t="s">
        <v>196</v>
      </c>
      <c r="G29" s="31" t="s">
        <v>186</v>
      </c>
      <c r="H29" s="48">
        <f t="shared" si="0"/>
        <v>7.5231481481481471E-4</v>
      </c>
      <c r="I29" s="48">
        <f t="shared" si="1"/>
        <v>1.7361111111111112E-4</v>
      </c>
    </row>
    <row r="30" spans="1:10">
      <c r="A30" s="31" t="s">
        <v>197</v>
      </c>
      <c r="B30" s="31" t="s">
        <v>184</v>
      </c>
      <c r="C30" s="48">
        <v>1.758101851851852E-2</v>
      </c>
      <c r="D30" s="48">
        <v>1.6087962962962963E-3</v>
      </c>
      <c r="E30" s="47"/>
      <c r="F30" s="31" t="s">
        <v>197</v>
      </c>
      <c r="G30" s="31" t="s">
        <v>184</v>
      </c>
      <c r="H30" s="48">
        <f t="shared" si="0"/>
        <v>2.9301697530864199E-3</v>
      </c>
      <c r="I30" s="48">
        <f t="shared" si="1"/>
        <v>2.6813271604938274E-4</v>
      </c>
    </row>
    <row r="31" spans="1:10">
      <c r="A31" s="31" t="s">
        <v>197</v>
      </c>
      <c r="B31" s="31" t="s">
        <v>185</v>
      </c>
      <c r="C31" s="48">
        <v>5.4861111111111117E-3</v>
      </c>
      <c r="D31" s="48">
        <v>3.3449074074074071E-3</v>
      </c>
      <c r="E31" s="47"/>
      <c r="F31" s="31" t="s">
        <v>197</v>
      </c>
      <c r="G31" s="31" t="s">
        <v>185</v>
      </c>
      <c r="H31" s="48">
        <f t="shared" si="0"/>
        <v>1.8287037037037039E-3</v>
      </c>
      <c r="I31" s="48">
        <f t="shared" si="1"/>
        <v>1.114969135802469E-3</v>
      </c>
    </row>
    <row r="32" spans="1:10">
      <c r="A32" s="31" t="s">
        <v>197</v>
      </c>
      <c r="B32" s="31" t="s">
        <v>186</v>
      </c>
      <c r="C32" s="48">
        <v>4.0509259259259257E-3</v>
      </c>
      <c r="D32" s="52">
        <v>2.6620370370370372E-4</v>
      </c>
      <c r="E32" s="47"/>
      <c r="F32" s="31" t="s">
        <v>197</v>
      </c>
      <c r="G32" s="31" t="s">
        <v>186</v>
      </c>
      <c r="H32" s="48">
        <f t="shared" si="0"/>
        <v>2.0254629629629629E-3</v>
      </c>
      <c r="I32" s="48">
        <f t="shared" si="1"/>
        <v>1.3310185185185186E-4</v>
      </c>
    </row>
    <row r="33" spans="1:9">
      <c r="C33" s="47"/>
    </row>
    <row r="34" spans="1:9">
      <c r="C34" s="47"/>
    </row>
    <row r="38" spans="1:9">
      <c r="A38" s="60" t="s">
        <v>214</v>
      </c>
      <c r="B38" s="60"/>
      <c r="C38" s="60"/>
      <c r="D38" s="60"/>
      <c r="E38" s="52"/>
      <c r="F38" s="60" t="s">
        <v>215</v>
      </c>
      <c r="G38" s="60"/>
      <c r="H38" s="60"/>
      <c r="I38" s="60"/>
    </row>
    <row r="39" spans="1:9">
      <c r="A39" t="s">
        <v>24</v>
      </c>
      <c r="B39" t="s">
        <v>208</v>
      </c>
      <c r="C39" t="s">
        <v>209</v>
      </c>
      <c r="D39" t="s">
        <v>210</v>
      </c>
      <c r="E39" s="52"/>
      <c r="F39" s="51" t="s">
        <v>24</v>
      </c>
      <c r="G39" s="51" t="s">
        <v>208</v>
      </c>
      <c r="H39" s="51" t="s">
        <v>209</v>
      </c>
      <c r="I39" s="51" t="s">
        <v>210</v>
      </c>
    </row>
    <row r="40" spans="1:9">
      <c r="A40" s="31" t="s">
        <v>195</v>
      </c>
      <c r="B40" s="31" t="s">
        <v>184</v>
      </c>
      <c r="C40">
        <v>8</v>
      </c>
      <c r="D40">
        <v>6</v>
      </c>
      <c r="E40" s="52"/>
      <c r="F40" s="31" t="s">
        <v>195</v>
      </c>
      <c r="G40" s="31" t="s">
        <v>184</v>
      </c>
      <c r="H40" s="51">
        <f>C40/VLOOKUP(G40,$A$17:$B$19,2,)</f>
        <v>1.3333333333333333</v>
      </c>
      <c r="I40" s="51">
        <f>D40/VLOOKUP(G40,$A$17:$B$19,2,)</f>
        <v>1</v>
      </c>
    </row>
    <row r="41" spans="1:9">
      <c r="A41" s="31" t="s">
        <v>195</v>
      </c>
      <c r="B41" s="31" t="s">
        <v>185</v>
      </c>
      <c r="C41">
        <v>4</v>
      </c>
      <c r="D41">
        <v>4</v>
      </c>
      <c r="F41" s="31" t="s">
        <v>195</v>
      </c>
      <c r="G41" s="31" t="s">
        <v>185</v>
      </c>
      <c r="H41" s="51">
        <f t="shared" ref="H41:H48" si="2">C41/VLOOKUP(G41,$A$17:$B$19,2,)</f>
        <v>1.3333333333333333</v>
      </c>
      <c r="I41" s="51">
        <f t="shared" ref="I41:I48" si="3">D41/VLOOKUP(G41,$A$17:$B$19,2,)</f>
        <v>1.3333333333333333</v>
      </c>
    </row>
    <row r="42" spans="1:9">
      <c r="A42" s="31" t="s">
        <v>195</v>
      </c>
      <c r="B42" s="31" t="s">
        <v>186</v>
      </c>
      <c r="C42">
        <v>3</v>
      </c>
      <c r="D42">
        <v>2</v>
      </c>
      <c r="F42" s="31" t="s">
        <v>195</v>
      </c>
      <c r="G42" s="31" t="s">
        <v>186</v>
      </c>
      <c r="H42" s="51">
        <f t="shared" si="2"/>
        <v>1.5</v>
      </c>
      <c r="I42" s="51">
        <f t="shared" si="3"/>
        <v>1</v>
      </c>
    </row>
    <row r="43" spans="1:9">
      <c r="A43" s="31" t="s">
        <v>196</v>
      </c>
      <c r="B43" s="31" t="s">
        <v>184</v>
      </c>
      <c r="C43">
        <v>12</v>
      </c>
      <c r="D43">
        <v>12</v>
      </c>
      <c r="F43" s="31" t="s">
        <v>196</v>
      </c>
      <c r="G43" s="31" t="s">
        <v>184</v>
      </c>
      <c r="H43" s="51">
        <f t="shared" si="2"/>
        <v>2</v>
      </c>
      <c r="I43" s="51">
        <f t="shared" si="3"/>
        <v>2</v>
      </c>
    </row>
    <row r="44" spans="1:9">
      <c r="A44" s="31" t="s">
        <v>196</v>
      </c>
      <c r="B44" s="31" t="s">
        <v>185</v>
      </c>
      <c r="C44">
        <v>4</v>
      </c>
      <c r="D44">
        <v>5</v>
      </c>
      <c r="F44" s="31" t="s">
        <v>196</v>
      </c>
      <c r="G44" s="31" t="s">
        <v>185</v>
      </c>
      <c r="H44" s="51">
        <f t="shared" si="2"/>
        <v>1.3333333333333333</v>
      </c>
      <c r="I44" s="51">
        <f t="shared" si="3"/>
        <v>1.6666666666666667</v>
      </c>
    </row>
    <row r="45" spans="1:9">
      <c r="A45" s="31" t="s">
        <v>196</v>
      </c>
      <c r="B45" s="31" t="s">
        <v>186</v>
      </c>
      <c r="C45">
        <v>3</v>
      </c>
      <c r="D45">
        <v>2</v>
      </c>
      <c r="F45" s="31" t="s">
        <v>196</v>
      </c>
      <c r="G45" s="31" t="s">
        <v>186</v>
      </c>
      <c r="H45" s="51">
        <f t="shared" si="2"/>
        <v>1.5</v>
      </c>
      <c r="I45" s="51">
        <f t="shared" si="3"/>
        <v>1</v>
      </c>
    </row>
    <row r="46" spans="1:9">
      <c r="A46" s="31" t="s">
        <v>197</v>
      </c>
      <c r="B46" s="31" t="s">
        <v>184</v>
      </c>
      <c r="C46">
        <v>10</v>
      </c>
      <c r="D46">
        <v>6</v>
      </c>
      <c r="F46" s="31" t="s">
        <v>197</v>
      </c>
      <c r="G46" s="31" t="s">
        <v>184</v>
      </c>
      <c r="H46" s="51">
        <f t="shared" si="2"/>
        <v>1.6666666666666667</v>
      </c>
      <c r="I46" s="51">
        <f t="shared" si="3"/>
        <v>1</v>
      </c>
    </row>
    <row r="47" spans="1:9">
      <c r="A47" s="31" t="s">
        <v>197</v>
      </c>
      <c r="B47" s="31" t="s">
        <v>185</v>
      </c>
      <c r="C47">
        <v>6</v>
      </c>
      <c r="D47">
        <v>4</v>
      </c>
      <c r="F47" s="31" t="s">
        <v>197</v>
      </c>
      <c r="G47" s="31" t="s">
        <v>185</v>
      </c>
      <c r="H47" s="51">
        <f t="shared" si="2"/>
        <v>2</v>
      </c>
      <c r="I47" s="51">
        <f t="shared" si="3"/>
        <v>1.3333333333333333</v>
      </c>
    </row>
    <row r="48" spans="1:9">
      <c r="A48" s="31" t="s">
        <v>197</v>
      </c>
      <c r="B48" s="31" t="s">
        <v>186</v>
      </c>
      <c r="C48">
        <v>4</v>
      </c>
      <c r="D48">
        <v>2</v>
      </c>
      <c r="F48" s="31" t="s">
        <v>197</v>
      </c>
      <c r="G48" s="31" t="s">
        <v>186</v>
      </c>
      <c r="H48" s="51">
        <f t="shared" si="2"/>
        <v>2</v>
      </c>
      <c r="I48" s="51">
        <f t="shared" si="3"/>
        <v>1</v>
      </c>
    </row>
  </sheetData>
  <mergeCells count="5">
    <mergeCell ref="A1:D1"/>
    <mergeCell ref="A22:D22"/>
    <mergeCell ref="F22:I22"/>
    <mergeCell ref="A38:D38"/>
    <mergeCell ref="F38:I3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2.75"/>
  <sheetData>
    <row r="1" spans="1:4">
      <c r="A1" s="31" t="s">
        <v>128</v>
      </c>
      <c r="B1" s="31" t="s">
        <v>23</v>
      </c>
      <c r="C1" s="31" t="s">
        <v>129</v>
      </c>
      <c r="D1" s="31" t="s">
        <v>130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1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1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1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1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1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1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1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1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1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1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1" t="str">
        <f t="shared" si="0"/>
        <v>group2</v>
      </c>
    </row>
    <row r="16" spans="1:4">
      <c r="A16" s="31" t="s">
        <v>131</v>
      </c>
      <c r="B16">
        <f>0</f>
        <v>0</v>
      </c>
    </row>
    <row r="17" spans="1:5">
      <c r="A17" s="31" t="s">
        <v>132</v>
      </c>
      <c r="B17" s="31" t="s">
        <v>134</v>
      </c>
      <c r="E17" t="str">
        <f>IF(AND(C2&gt;0,C2&lt;38),"group2","")</f>
        <v/>
      </c>
    </row>
    <row r="18" spans="1:5">
      <c r="A18" s="31" t="s">
        <v>133</v>
      </c>
      <c r="B18" s="31" t="s">
        <v>135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RowHeight="12.75"/>
  <cols>
    <col min="1" max="1" width="14.28515625" bestFit="1" customWidth="1"/>
  </cols>
  <sheetData>
    <row r="1" spans="1:2" s="24" customFormat="1">
      <c r="A1" s="24" t="s">
        <v>140</v>
      </c>
      <c r="B1" s="24">
        <f>COUNTA('Formularantworten 1'!$B$2:$B$12)</f>
        <v>11</v>
      </c>
    </row>
    <row r="2" spans="1:2" s="24" customFormat="1"/>
    <row r="3" spans="1:2" s="24" customFormat="1">
      <c r="A3" s="24" t="s">
        <v>8</v>
      </c>
    </row>
    <row r="4" spans="1:2">
      <c r="A4" t="s">
        <v>136</v>
      </c>
      <c r="B4">
        <f>COUNTIF('Formularantworten 1'!$G$2:$G$12,"männlich")</f>
        <v>3</v>
      </c>
    </row>
    <row r="5" spans="1:2">
      <c r="A5" t="s">
        <v>137</v>
      </c>
      <c r="B5" s="24">
        <f>COUNTIF('Formularantworten 1'!$G$2:$G$12,"weiblich")</f>
        <v>6</v>
      </c>
    </row>
    <row r="6" spans="1:2">
      <c r="A6" t="s">
        <v>73</v>
      </c>
      <c r="B6" s="24">
        <f>COUNTIF('Formularantworten 1'!$G$2:$G$12,"keine Angaben")</f>
        <v>2</v>
      </c>
    </row>
    <row r="7" spans="1:2" s="24" customFormat="1"/>
    <row r="8" spans="1:2">
      <c r="A8" t="s">
        <v>7</v>
      </c>
    </row>
    <row r="9" spans="1:2">
      <c r="A9" t="s">
        <v>138</v>
      </c>
      <c r="B9">
        <f>MIN('Formularantworten 1'!$F$2:$F$11)</f>
        <v>22</v>
      </c>
    </row>
    <row r="10" spans="1:2">
      <c r="A10" t="s">
        <v>139</v>
      </c>
      <c r="B10">
        <f>MAX('Formularantworten 1'!$F$2:$F$11)</f>
        <v>29</v>
      </c>
    </row>
    <row r="11" spans="1:2">
      <c r="A11" s="31" t="s">
        <v>176</v>
      </c>
      <c r="B11">
        <f>AVERAGE('Formularantworten 1'!$F$2:$F$11)</f>
        <v>25.6</v>
      </c>
    </row>
    <row r="13" spans="1:2">
      <c r="A13" s="31" t="s">
        <v>169</v>
      </c>
    </row>
    <row r="14" spans="1:2">
      <c r="A14" s="31" t="s">
        <v>170</v>
      </c>
      <c r="B14">
        <f>COUNTIF(Usergroups!$D$2:$D$12,"group1")</f>
        <v>6</v>
      </c>
    </row>
    <row r="15" spans="1:2">
      <c r="A15" s="31" t="s">
        <v>171</v>
      </c>
      <c r="B15" s="24">
        <f>COUNTIF(Usergroups!$D$2:$D$12,"group2")</f>
        <v>3</v>
      </c>
    </row>
    <row r="16" spans="1:2">
      <c r="A16" s="31" t="s">
        <v>172</v>
      </c>
      <c r="B16" s="24">
        <f>COUNTIF(Usergroups!$D$2:$D$12,"group3")</f>
        <v>2</v>
      </c>
    </row>
    <row r="18" spans="1:2">
      <c r="A18" s="31" t="s">
        <v>174</v>
      </c>
      <c r="B18" s="32">
        <f>MIN(Eyetracking!$C$2:$C$12)</f>
        <v>0.25486111111111109</v>
      </c>
    </row>
    <row r="19" spans="1:2">
      <c r="A19" s="31" t="s">
        <v>175</v>
      </c>
      <c r="B19" s="32">
        <f>MAX(Eyetracking!$C$2:$C$12)</f>
        <v>0.69513888888888886</v>
      </c>
    </row>
    <row r="20" spans="1:2">
      <c r="A20" s="31" t="s">
        <v>177</v>
      </c>
      <c r="B20" s="32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baseColWidth="10" defaultRowHeight="12.75"/>
  <cols>
    <col min="1" max="3" width="11.5703125" style="38"/>
    <col min="9" max="9" width="16.28515625" bestFit="1" customWidth="1"/>
    <col min="10" max="10" width="21" bestFit="1" customWidth="1"/>
  </cols>
  <sheetData>
    <row r="1" spans="1:11">
      <c r="A1" s="38" t="s">
        <v>128</v>
      </c>
      <c r="B1" s="38" t="s">
        <v>23</v>
      </c>
      <c r="C1" s="38" t="s">
        <v>130</v>
      </c>
      <c r="D1" s="38" t="s">
        <v>150</v>
      </c>
      <c r="E1" s="38" t="s">
        <v>151</v>
      </c>
      <c r="F1" s="38" t="s">
        <v>152</v>
      </c>
      <c r="G1" s="38" t="s">
        <v>153</v>
      </c>
      <c r="H1" s="38" t="s">
        <v>154</v>
      </c>
      <c r="I1" s="38" t="s">
        <v>181</v>
      </c>
      <c r="J1" s="38" t="s">
        <v>182</v>
      </c>
      <c r="K1" s="38" t="s">
        <v>183</v>
      </c>
    </row>
    <row r="2" spans="1:11">
      <c r="A2" s="39" t="s">
        <v>37</v>
      </c>
      <c r="B2" s="39" t="s">
        <v>46</v>
      </c>
      <c r="C2" s="38" t="s">
        <v>178</v>
      </c>
      <c r="D2">
        <f>'Formularantworten 1'!O2</f>
        <v>3</v>
      </c>
      <c r="E2" s="38">
        <f>'Formularantworten 1'!P2</f>
        <v>3</v>
      </c>
      <c r="F2" s="38">
        <f>'Formularantworten 1'!Q2</f>
        <v>5</v>
      </c>
      <c r="G2" s="38">
        <f>'Formularantworten 1'!R2</f>
        <v>4</v>
      </c>
      <c r="H2" s="38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39" t="s">
        <v>54</v>
      </c>
      <c r="B3" s="39" t="s">
        <v>55</v>
      </c>
      <c r="C3" s="38" t="s">
        <v>179</v>
      </c>
      <c r="D3" s="38">
        <f>'Formularantworten 1'!O3</f>
        <v>4</v>
      </c>
      <c r="E3" s="38">
        <f>'Formularantworten 1'!P3</f>
        <v>4</v>
      </c>
      <c r="F3" s="38">
        <f>'Formularantworten 1'!Q3</f>
        <v>4</v>
      </c>
      <c r="G3" s="38">
        <f>'Formularantworten 1'!R3</f>
        <v>3</v>
      </c>
      <c r="H3" s="38">
        <f>'Formularantworten 1'!S3</f>
        <v>4</v>
      </c>
      <c r="I3" s="38">
        <f t="shared" ref="I3:I12" si="0">SUM(D3:H3)</f>
        <v>19</v>
      </c>
      <c r="J3" s="38">
        <f t="shared" ref="J3:J12" si="1">COUNTA(D2:H2)*5</f>
        <v>25</v>
      </c>
      <c r="K3" s="38">
        <f t="shared" ref="K3:K12" si="2">J3-I3</f>
        <v>6</v>
      </c>
    </row>
    <row r="4" spans="1:11">
      <c r="A4" s="39" t="s">
        <v>62</v>
      </c>
      <c r="B4" s="39" t="s">
        <v>61</v>
      </c>
      <c r="C4" s="38" t="s">
        <v>180</v>
      </c>
      <c r="D4" s="38">
        <f>'Formularantworten 1'!O4</f>
        <v>5</v>
      </c>
      <c r="E4" s="38">
        <f>'Formularantworten 1'!P4</f>
        <v>5</v>
      </c>
      <c r="F4" s="38">
        <f>'Formularantworten 1'!Q4</f>
        <v>4</v>
      </c>
      <c r="G4" s="38">
        <f>'Formularantworten 1'!R4</f>
        <v>5</v>
      </c>
      <c r="H4" s="38">
        <f>'Formularantworten 1'!S4</f>
        <v>5</v>
      </c>
      <c r="I4" s="38">
        <f t="shared" si="0"/>
        <v>24</v>
      </c>
      <c r="J4" s="38">
        <f t="shared" si="1"/>
        <v>25</v>
      </c>
      <c r="K4" s="38">
        <f t="shared" si="2"/>
        <v>1</v>
      </c>
    </row>
    <row r="5" spans="1:11">
      <c r="A5" s="39" t="s">
        <v>66</v>
      </c>
      <c r="B5" s="39" t="s">
        <v>65</v>
      </c>
      <c r="C5" s="38" t="s">
        <v>178</v>
      </c>
      <c r="D5" s="38">
        <f>'Formularantworten 1'!O5</f>
        <v>4</v>
      </c>
      <c r="E5" s="38">
        <f>'Formularantworten 1'!P5</f>
        <v>4</v>
      </c>
      <c r="F5" s="38">
        <f>'Formularantworten 1'!Q5</f>
        <v>4</v>
      </c>
      <c r="G5" s="38">
        <f>'Formularantworten 1'!R5</f>
        <v>4</v>
      </c>
      <c r="H5" s="38">
        <f>'Formularantworten 1'!S5</f>
        <v>2</v>
      </c>
      <c r="I5" s="38">
        <f t="shared" si="0"/>
        <v>18</v>
      </c>
      <c r="J5" s="38">
        <f t="shared" si="1"/>
        <v>25</v>
      </c>
      <c r="K5" s="38">
        <f t="shared" si="2"/>
        <v>7</v>
      </c>
    </row>
    <row r="6" spans="1:11">
      <c r="A6" s="39" t="s">
        <v>72</v>
      </c>
      <c r="B6" s="39" t="s">
        <v>71</v>
      </c>
      <c r="C6" s="38" t="s">
        <v>180</v>
      </c>
      <c r="D6" s="38">
        <f>'Formularantworten 1'!O6</f>
        <v>5</v>
      </c>
      <c r="E6" s="38">
        <f>'Formularantworten 1'!P6</f>
        <v>5</v>
      </c>
      <c r="F6" s="38">
        <f>'Formularantworten 1'!Q6</f>
        <v>4</v>
      </c>
      <c r="G6" s="38">
        <f>'Formularantworten 1'!R6</f>
        <v>4</v>
      </c>
      <c r="H6" s="38">
        <f>'Formularantworten 1'!S6</f>
        <v>5</v>
      </c>
      <c r="I6" s="38">
        <f t="shared" si="0"/>
        <v>23</v>
      </c>
      <c r="J6" s="38">
        <f t="shared" si="1"/>
        <v>25</v>
      </c>
      <c r="K6" s="38">
        <f t="shared" si="2"/>
        <v>2</v>
      </c>
    </row>
    <row r="7" spans="1:11">
      <c r="A7" s="39" t="s">
        <v>81</v>
      </c>
      <c r="B7" s="39" t="s">
        <v>80</v>
      </c>
      <c r="C7" s="38" t="s">
        <v>180</v>
      </c>
      <c r="D7" s="38">
        <f>'Formularantworten 1'!O7</f>
        <v>4</v>
      </c>
      <c r="E7" s="38">
        <f>'Formularantworten 1'!P7</f>
        <v>5</v>
      </c>
      <c r="F7" s="38">
        <f>'Formularantworten 1'!Q7</f>
        <v>5</v>
      </c>
      <c r="G7" s="38">
        <f>'Formularantworten 1'!R7</f>
        <v>3</v>
      </c>
      <c r="H7" s="38">
        <f>'Formularantworten 1'!S7</f>
        <v>5</v>
      </c>
      <c r="I7" s="38">
        <f t="shared" si="0"/>
        <v>22</v>
      </c>
      <c r="J7" s="38">
        <f t="shared" si="1"/>
        <v>25</v>
      </c>
      <c r="K7" s="38">
        <f t="shared" si="2"/>
        <v>3</v>
      </c>
    </row>
    <row r="8" spans="1:11">
      <c r="A8" s="39" t="s">
        <v>82</v>
      </c>
      <c r="B8" s="39" t="s">
        <v>89</v>
      </c>
      <c r="C8" s="38" t="s">
        <v>180</v>
      </c>
      <c r="D8" s="38">
        <f>'Formularantworten 1'!O8</f>
        <v>4</v>
      </c>
      <c r="E8" s="38">
        <f>'Formularantworten 1'!P8</f>
        <v>5</v>
      </c>
      <c r="F8" s="38">
        <f>'Formularantworten 1'!Q8</f>
        <v>4</v>
      </c>
      <c r="G8" s="38">
        <f>'Formularantworten 1'!R8</f>
        <v>5</v>
      </c>
      <c r="H8" s="38">
        <f>'Formularantworten 1'!S8</f>
        <v>4</v>
      </c>
      <c r="I8" s="38">
        <f t="shared" si="0"/>
        <v>22</v>
      </c>
      <c r="J8" s="38">
        <f t="shared" si="1"/>
        <v>25</v>
      </c>
      <c r="K8" s="38">
        <f t="shared" si="2"/>
        <v>3</v>
      </c>
    </row>
    <row r="9" spans="1:11">
      <c r="A9" s="39" t="s">
        <v>85</v>
      </c>
      <c r="B9" s="39" t="s">
        <v>96</v>
      </c>
      <c r="C9" s="38" t="s">
        <v>180</v>
      </c>
      <c r="D9" s="38">
        <f>'Formularantworten 1'!O9</f>
        <v>5</v>
      </c>
      <c r="E9" s="38">
        <f>'Formularantworten 1'!P9</f>
        <v>5</v>
      </c>
      <c r="F9" s="38">
        <f>'Formularantworten 1'!Q9</f>
        <v>5</v>
      </c>
      <c r="G9" s="38">
        <f>'Formularantworten 1'!R9</f>
        <v>4</v>
      </c>
      <c r="H9" s="38">
        <f>'Formularantworten 1'!S9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180</v>
      </c>
      <c r="D10" s="38">
        <f>'Formularantworten 1'!O10</f>
        <v>5</v>
      </c>
      <c r="E10" s="38">
        <f>'Formularantworten 1'!P10</f>
        <v>5</v>
      </c>
      <c r="F10" s="38">
        <f>'Formularantworten 1'!Q10</f>
        <v>5</v>
      </c>
      <c r="G10" s="38">
        <f>'Formularantworten 1'!R10</f>
        <v>4</v>
      </c>
      <c r="H10" s="38">
        <f>'Formularantworten 1'!S10</f>
        <v>5</v>
      </c>
      <c r="I10" s="38">
        <f t="shared" si="0"/>
        <v>24</v>
      </c>
      <c r="J10" s="38">
        <f t="shared" si="1"/>
        <v>25</v>
      </c>
      <c r="K10" s="38">
        <f t="shared" si="2"/>
        <v>1</v>
      </c>
    </row>
    <row r="11" spans="1:11">
      <c r="A11" s="39" t="s">
        <v>90</v>
      </c>
      <c r="B11" s="39" t="s">
        <v>103</v>
      </c>
      <c r="C11" s="38" t="s">
        <v>179</v>
      </c>
      <c r="D11" s="38">
        <f>'Formularantworten 1'!O11</f>
        <v>4</v>
      </c>
      <c r="E11" s="38">
        <f>'Formularantworten 1'!P11</f>
        <v>4</v>
      </c>
      <c r="F11" s="38">
        <f>'Formularantworten 1'!Q11</f>
        <v>5</v>
      </c>
      <c r="G11" s="38">
        <f>'Formularantworten 1'!R11</f>
        <v>3</v>
      </c>
      <c r="H11" s="38">
        <f>'Formularantworten 1'!S11</f>
        <v>5</v>
      </c>
      <c r="I11" s="38">
        <f t="shared" si="0"/>
        <v>21</v>
      </c>
      <c r="J11" s="38">
        <f t="shared" si="1"/>
        <v>25</v>
      </c>
      <c r="K11" s="38">
        <f t="shared" si="2"/>
        <v>4</v>
      </c>
    </row>
    <row r="12" spans="1:11">
      <c r="A12" s="14" t="s">
        <v>91</v>
      </c>
      <c r="B12" s="14" t="s">
        <v>106</v>
      </c>
      <c r="C12" s="38" t="s">
        <v>179</v>
      </c>
      <c r="D12" s="38">
        <f>'Formularantworten 1'!O12</f>
        <v>4</v>
      </c>
      <c r="E12" s="38">
        <f>'Formularantworten 1'!P12</f>
        <v>5</v>
      </c>
      <c r="F12" s="38">
        <f>'Formularantworten 1'!Q12</f>
        <v>5</v>
      </c>
      <c r="G12" s="38">
        <f>'Formularantworten 1'!R12</f>
        <v>4</v>
      </c>
      <c r="H12" s="38">
        <f>'Formularantworten 1'!S12</f>
        <v>5</v>
      </c>
      <c r="I12" s="38">
        <f t="shared" si="0"/>
        <v>23</v>
      </c>
      <c r="J12" s="38">
        <f t="shared" si="1"/>
        <v>25</v>
      </c>
      <c r="K12" s="38">
        <f t="shared" si="2"/>
        <v>2</v>
      </c>
    </row>
    <row r="13" spans="1:11">
      <c r="D13" s="38"/>
      <c r="E13" s="38"/>
      <c r="F13" s="38"/>
      <c r="G13" s="38"/>
      <c r="H13" s="38"/>
    </row>
    <row r="14" spans="1:11">
      <c r="A14" s="14"/>
      <c r="D14" s="38"/>
      <c r="E14" s="38"/>
      <c r="F14" s="38"/>
      <c r="G14" s="38"/>
      <c r="H14" s="38"/>
    </row>
    <row r="15" spans="1:11">
      <c r="D15" s="38"/>
      <c r="E15" s="38"/>
      <c r="F15" s="38"/>
      <c r="G15" s="38"/>
      <c r="H15" s="38"/>
    </row>
    <row r="18" spans="1:8">
      <c r="B18" s="38" t="s">
        <v>188</v>
      </c>
      <c r="C18" s="38" t="s">
        <v>184</v>
      </c>
      <c r="D18" t="s">
        <v>185</v>
      </c>
      <c r="E18" t="s">
        <v>186</v>
      </c>
      <c r="F18" s="14"/>
      <c r="G18" s="41"/>
      <c r="H18" s="40"/>
    </row>
    <row r="19" spans="1:8">
      <c r="A19" s="31" t="s">
        <v>189</v>
      </c>
      <c r="B19" s="38">
        <f>MIN(I2:I12)</f>
        <v>18</v>
      </c>
      <c r="C19" s="38">
        <f>_xlfn.MINIFS($I$2:$I$12,$C$2:$C$12,"group1")</f>
        <v>22</v>
      </c>
      <c r="D19" s="38">
        <f>_xlfn.MINIFS($I$2:$I$12,$C$2:$C$12,"group2")</f>
        <v>19</v>
      </c>
      <c r="E19" s="38">
        <f>_xlfn.MINIFS($I$2:$I$12,$C$2:$C$12,"group3")</f>
        <v>18</v>
      </c>
      <c r="F19" s="14"/>
      <c r="G19" s="14"/>
      <c r="H19" s="40"/>
    </row>
    <row r="20" spans="1:8">
      <c r="A20" s="31" t="s">
        <v>190</v>
      </c>
      <c r="B20" s="38">
        <f>MAX(I2:I12)</f>
        <v>24</v>
      </c>
      <c r="C20" s="38">
        <f>_xlfn.MAXIFS($I$2:$I$12,$C$2:$C$12,"group1")</f>
        <v>24</v>
      </c>
      <c r="D20" s="38">
        <f>_xlfn.MAXIFS($I$2:$I$12,$C$2:$C$12,"group2")</f>
        <v>23</v>
      </c>
      <c r="E20" s="38">
        <f>_xlfn.MAXIFS($I$2:$I$12,$C$2:$C$12,"group3")</f>
        <v>20</v>
      </c>
      <c r="F20" s="14"/>
      <c r="G20" s="14"/>
      <c r="H20" s="40"/>
    </row>
    <row r="21" spans="1:8">
      <c r="A21" s="31" t="s">
        <v>191</v>
      </c>
      <c r="B21" s="38">
        <f>AVERAGE(I2:I12)</f>
        <v>21.818181818181817</v>
      </c>
      <c r="C21" s="38">
        <f>AVERAGEIFS($I$2:$I$12,$C$2:$C$12,"group1")</f>
        <v>23.166666666666668</v>
      </c>
      <c r="D21" s="38">
        <f>AVERAGEIFS($I$2:$I$12,$C$2:$C$12,"group2")</f>
        <v>21</v>
      </c>
      <c r="E21" s="38">
        <f>AVERAGEIFS($I$2:$I$12,$C$2:$C$12,"group3")</f>
        <v>19</v>
      </c>
      <c r="F21" s="14"/>
      <c r="G21" s="14"/>
      <c r="H21" s="40"/>
    </row>
    <row r="22" spans="1:8">
      <c r="A22" s="33" t="s">
        <v>192</v>
      </c>
      <c r="B22" s="14">
        <f>COUNT($D$2:$H$2)</f>
        <v>5</v>
      </c>
      <c r="C22" s="14">
        <f t="shared" ref="C22:E22" si="3">COUNT($D$2:$H$2)</f>
        <v>5</v>
      </c>
      <c r="D22" s="14">
        <f t="shared" si="3"/>
        <v>5</v>
      </c>
      <c r="E22" s="14">
        <f t="shared" si="3"/>
        <v>5</v>
      </c>
      <c r="F22" s="14"/>
      <c r="G22" s="14"/>
    </row>
    <row r="23" spans="1:8">
      <c r="A23" s="41" t="s">
        <v>187</v>
      </c>
      <c r="B23" s="14">
        <f>(B24-B22)/2+B22</f>
        <v>15</v>
      </c>
      <c r="C23" s="14">
        <f t="shared" ref="C23:E23" si="4">(C24-C22)/2+C22</f>
        <v>15</v>
      </c>
      <c r="D23" s="14">
        <f t="shared" si="4"/>
        <v>15</v>
      </c>
      <c r="E23" s="14">
        <f t="shared" si="4"/>
        <v>15</v>
      </c>
      <c r="F23" s="14"/>
      <c r="G23" s="14"/>
    </row>
    <row r="24" spans="1:8">
      <c r="A24" s="31" t="s">
        <v>193</v>
      </c>
      <c r="B24" s="38">
        <f>COUNTA($D$1:$H$1)*5</f>
        <v>25</v>
      </c>
      <c r="C24" s="40">
        <f t="shared" ref="C24:E24" si="5">COUNTA($D$1:$H$1)*5</f>
        <v>25</v>
      </c>
      <c r="D24" s="40">
        <f t="shared" si="5"/>
        <v>25</v>
      </c>
      <c r="E24" s="40">
        <f t="shared" si="5"/>
        <v>25</v>
      </c>
      <c r="F24" s="14"/>
      <c r="G24" s="14"/>
    </row>
    <row r="25" spans="1:8">
      <c r="A25" s="43"/>
      <c r="C25" s="43"/>
      <c r="D25" s="43"/>
      <c r="E25" s="43"/>
    </row>
    <row r="30" spans="1:8">
      <c r="B30" s="46"/>
    </row>
    <row r="31" spans="1:8">
      <c r="B31" s="46"/>
    </row>
  </sheetData>
  <autoFilter ref="A1:K12"/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44318E-6693-480A-BC91-CA6878C954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Formularantworten 1</vt:lpstr>
      <vt:lpstr>Eyetracking</vt:lpstr>
      <vt:lpstr>Timeline</vt:lpstr>
      <vt:lpstr>Milestones</vt:lpstr>
      <vt:lpstr>Trips</vt:lpstr>
      <vt:lpstr>Darstellungsformen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cp:lastPrinted>2016-10-26T14:48:30Z</cp:lastPrinted>
  <dcterms:created xsi:type="dcterms:W3CDTF">2016-10-23T17:21:46Z</dcterms:created>
  <dcterms:modified xsi:type="dcterms:W3CDTF">2016-10-28T19:54:03Z</dcterms:modified>
</cp:coreProperties>
</file>