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\Desktop\"/>
    </mc:Choice>
  </mc:AlternateContent>
  <bookViews>
    <workbookView xWindow="0" yWindow="0" windowWidth="16380" windowHeight="8190" tabRatio="500"/>
  </bookViews>
  <sheets>
    <sheet name="DatosSimInvBTC" sheetId="1" r:id="rId1"/>
    <sheet name="Ultimas Cotizaciones Cripto " sheetId="2" r:id="rId2"/>
    <sheet name="DolarHoy" sheetId="3" r:id="rId3"/>
    <sheet name="Estado de la Cartera 2" sheetId="4" state="hidden" r:id="rId4"/>
    <sheet name="Comisiones Operacion Cripto" sheetId="5" state="hidden" r:id="rId5"/>
    <sheet name="RegistroDeCompras" sheetId="6" state="hidden" r:id="rId6"/>
    <sheet name="PosicionesActuales" sheetId="7" state="hidden" r:id="rId7"/>
    <sheet name=" PosicionesCerradas" sheetId="8" state="hidden" r:id="rId8"/>
    <sheet name="PosicionesCriptoDividendos" sheetId="9" state="hidden" r:id="rId9"/>
    <sheet name="Anotador_RegistroDeOperaciones" sheetId="10" state="hidden" r:id="rId10"/>
    <sheet name="PrimerCompra" sheetId="11" state="hidden" r:id="rId11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13" i="1"/>
  <c r="L14" i="1"/>
  <c r="L15" i="1"/>
  <c r="L16" i="1"/>
  <c r="L17" i="1"/>
  <c r="L5" i="1"/>
  <c r="E18" i="11"/>
  <c r="E19" i="11" s="1"/>
  <c r="B17" i="11"/>
  <c r="B19" i="11" s="1"/>
  <c r="C19" i="11" s="1"/>
  <c r="B8" i="11"/>
  <c r="F12" i="11" s="1"/>
  <c r="B5" i="11"/>
  <c r="D21" i="10"/>
  <c r="B7" i="10"/>
  <c r="F6" i="10"/>
  <c r="H9" i="8"/>
  <c r="G9" i="8"/>
  <c r="H8" i="8"/>
  <c r="G8" i="8"/>
  <c r="H7" i="8"/>
  <c r="G7" i="8"/>
  <c r="H6" i="8"/>
  <c r="G6" i="8"/>
  <c r="H5" i="8"/>
  <c r="G5" i="8"/>
  <c r="H4" i="8"/>
  <c r="G4" i="8"/>
  <c r="J8" i="7"/>
  <c r="I8" i="7"/>
  <c r="J7" i="7"/>
  <c r="I7" i="7"/>
  <c r="J6" i="7"/>
  <c r="I6" i="7"/>
  <c r="J5" i="7"/>
  <c r="I5" i="7"/>
  <c r="J4" i="7"/>
  <c r="I4" i="7"/>
  <c r="Y6" i="6"/>
  <c r="O6" i="6"/>
  <c r="E6" i="6"/>
  <c r="E5" i="6"/>
  <c r="L21" i="4"/>
  <c r="K21" i="4"/>
  <c r="M20" i="4"/>
  <c r="L20" i="4"/>
  <c r="K20" i="4"/>
  <c r="J19" i="4"/>
  <c r="K19" i="4" s="1"/>
  <c r="L19" i="4" s="1"/>
  <c r="M19" i="4" s="1"/>
  <c r="J18" i="4"/>
  <c r="K18" i="4" s="1"/>
  <c r="L18" i="4" s="1"/>
  <c r="M18" i="4" s="1"/>
  <c r="J17" i="4"/>
  <c r="K17" i="4" s="1"/>
  <c r="L17" i="4" s="1"/>
  <c r="M17" i="4" s="1"/>
  <c r="J16" i="4"/>
  <c r="K16" i="4" s="1"/>
  <c r="L16" i="4" s="1"/>
  <c r="M16" i="4" s="1"/>
  <c r="G16" i="4"/>
  <c r="K15" i="4"/>
  <c r="L15" i="4" s="1"/>
  <c r="M15" i="4" s="1"/>
  <c r="J15" i="4"/>
  <c r="K14" i="4"/>
  <c r="L14" i="4" s="1"/>
  <c r="M14" i="4" s="1"/>
  <c r="J14" i="4"/>
  <c r="G14" i="4"/>
  <c r="J13" i="4"/>
  <c r="K13" i="4" s="1"/>
  <c r="L13" i="4" s="1"/>
  <c r="M13" i="4" s="1"/>
  <c r="G13" i="4"/>
  <c r="K12" i="4"/>
  <c r="L12" i="4" s="1"/>
  <c r="J12" i="4"/>
  <c r="G12" i="4"/>
  <c r="E9" i="4"/>
  <c r="E5" i="4"/>
  <c r="B1" i="4"/>
  <c r="C19" i="2"/>
  <c r="C18" i="2"/>
  <c r="C17" i="2"/>
  <c r="C16" i="2"/>
  <c r="C15" i="2"/>
  <c r="C14" i="2"/>
  <c r="C13" i="2"/>
  <c r="C12" i="2"/>
  <c r="C11" i="2"/>
  <c r="C10" i="2"/>
  <c r="C9" i="2"/>
  <c r="B1" i="2"/>
  <c r="K2" i="3"/>
  <c r="G2" i="3"/>
  <c r="C2" i="3"/>
  <c r="C4" i="2"/>
  <c r="J2" i="3"/>
  <c r="F2" i="3"/>
  <c r="B2" i="3"/>
  <c r="D18" i="2"/>
  <c r="D16" i="2"/>
  <c r="D14" i="2"/>
  <c r="D12" i="2"/>
  <c r="D10" i="2"/>
  <c r="M2" i="3"/>
  <c r="I2" i="3"/>
  <c r="E2" i="3"/>
  <c r="A3" i="3" s="1"/>
  <c r="A2" i="3"/>
  <c r="L2" i="3"/>
  <c r="H2" i="3"/>
  <c r="D2" i="3"/>
  <c r="D19" i="2"/>
  <c r="D17" i="2"/>
  <c r="D15" i="2"/>
  <c r="D13" i="2"/>
  <c r="D11" i="2"/>
  <c r="D9" i="2"/>
  <c r="D4" i="2" l="1"/>
  <c r="B1" i="1"/>
  <c r="L9" i="4"/>
  <c r="M12" i="4"/>
  <c r="E12" i="11"/>
  <c r="B9" i="11"/>
  <c r="C18" i="11"/>
  <c r="M8" i="4" l="1"/>
  <c r="L8" i="4"/>
  <c r="E4" i="2"/>
  <c r="B4" i="2"/>
  <c r="F4" i="2" l="1"/>
  <c r="E2" i="4"/>
  <c r="L4" i="4" l="1"/>
  <c r="Q17" i="4"/>
  <c r="E4" i="4"/>
  <c r="F5" i="4" l="1"/>
  <c r="F3" i="4"/>
</calcChain>
</file>

<file path=xl/sharedStrings.xml><?xml version="1.0" encoding="utf-8"?>
<sst xmlns="http://schemas.openxmlformats.org/spreadsheetml/2006/main" count="425" uniqueCount="224">
  <si>
    <t>Dolar Hoy:</t>
  </si>
  <si>
    <t xml:space="preserve">Datos para la carga </t>
  </si>
  <si>
    <t>compraAño</t>
  </si>
  <si>
    <t>compraDia</t>
  </si>
  <si>
    <t>precioEntradaUsd</t>
  </si>
  <si>
    <t>importeInicialUsd</t>
  </si>
  <si>
    <t>compraCotizacionUsd</t>
  </si>
  <si>
    <t>importeCriptoComprado</t>
  </si>
  <si>
    <t>importeArsInvertido</t>
  </si>
  <si>
    <t>inversorEmail</t>
  </si>
  <si>
    <t>InversorComentario</t>
  </si>
  <si>
    <t xml:space="preserve"> </t>
  </si>
  <si>
    <t xml:space="preserve">Parametro Lista de valores </t>
  </si>
  <si>
    <t>inversor1@correo.com</t>
  </si>
  <si>
    <t>Prueba inversor 1</t>
  </si>
  <si>
    <t xml:space="preserve">    </t>
  </si>
  <si>
    <t>Fecha:</t>
  </si>
  <si>
    <t>Pagina de referencia:</t>
  </si>
  <si>
    <t xml:space="preserve">https://coinmarketcap.com/converter/usd/btc/ </t>
  </si>
  <si>
    <t>Dolar (x peso)</t>
  </si>
  <si>
    <t>Referencia</t>
  </si>
  <si>
    <t>Oficial</t>
  </si>
  <si>
    <t>Blue</t>
  </si>
  <si>
    <t>Brecha</t>
  </si>
  <si>
    <t>Cotizacion Actual Binance</t>
  </si>
  <si>
    <t>Activo</t>
  </si>
  <si>
    <t>Ticker</t>
  </si>
  <si>
    <t>PAR</t>
  </si>
  <si>
    <t>USDT</t>
  </si>
  <si>
    <t>BitCoin</t>
  </si>
  <si>
    <t>BTC</t>
  </si>
  <si>
    <t>Ethereum</t>
  </si>
  <si>
    <t>ETH</t>
  </si>
  <si>
    <t>Cardano</t>
  </si>
  <si>
    <t>ADA</t>
  </si>
  <si>
    <t>Cosmos</t>
  </si>
  <si>
    <t>ATOM</t>
  </si>
  <si>
    <t>Zilliqa</t>
  </si>
  <si>
    <t>ZIL</t>
  </si>
  <si>
    <t>NEO</t>
  </si>
  <si>
    <t>ChainLink</t>
  </si>
  <si>
    <t>LINK</t>
  </si>
  <si>
    <t>ICON</t>
  </si>
  <si>
    <t>ICX</t>
  </si>
  <si>
    <t>Tezos</t>
  </si>
  <si>
    <t>XTZ</t>
  </si>
  <si>
    <t>DAI</t>
  </si>
  <si>
    <t>USD</t>
  </si>
  <si>
    <t xml:space="preserve">Valor del Dolar </t>
  </si>
  <si>
    <t>Dolar x peso</t>
  </si>
  <si>
    <t>Rendimiento</t>
  </si>
  <si>
    <t>Resultado</t>
  </si>
  <si>
    <t>Comprado</t>
  </si>
  <si>
    <t>Pesos a fecha actual</t>
  </si>
  <si>
    <t>Pesos a fecha compra</t>
  </si>
  <si>
    <t>Dolar</t>
  </si>
  <si>
    <t>%</t>
  </si>
  <si>
    <t>Ganancias de la cartera</t>
  </si>
  <si>
    <t>Inversion Inicial U$S</t>
  </si>
  <si>
    <t>Saldo de la Cartera</t>
  </si>
  <si>
    <t>Fecha de compra</t>
  </si>
  <si>
    <t>Precio de entrada en USD</t>
  </si>
  <si>
    <t>Importe Inicial en USS</t>
  </si>
  <si>
    <t>Cotizacion U$S a la compra</t>
  </si>
  <si>
    <t>Importe inicial en ARS</t>
  </si>
  <si>
    <t>importe en cripto</t>
  </si>
  <si>
    <t>Dividendos</t>
  </si>
  <si>
    <t>Precio actual USD</t>
  </si>
  <si>
    <t>Retorno %</t>
  </si>
  <si>
    <t xml:space="preserve">Importe Actual  en USD </t>
  </si>
  <si>
    <t>Rendimiento en U$S</t>
  </si>
  <si>
    <t>Tasa dividendos</t>
  </si>
  <si>
    <t>Estado</t>
  </si>
  <si>
    <t>Notas</t>
  </si>
  <si>
    <t>Monto invertido: ARS 18.042,35
Cotización: ARS/BTC 7.205.700,00</t>
  </si>
  <si>
    <t>Monto invertido: ARS 5.190,17
Cotización: ARS/BTC 7.931.200,00</t>
  </si>
  <si>
    <t>Monto invertido: ARS 14.739,84
Cotización: ARS/BTC 8.034.800,00</t>
  </si>
  <si>
    <t>Monto invertido: ARS 10.977,57
Cotización: ARS/BTC 11.786.100,00</t>
  </si>
  <si>
    <t>Dai</t>
  </si>
  <si>
    <t>Monto invertido: ARS 24.976,73
Cotización: ARS/DAI 214,70</t>
  </si>
  <si>
    <t>Monto invertido: ARS 10.118,12
Cotización: ARS/DAI 216,20</t>
  </si>
  <si>
    <t>Monto invertido: ARS 21.999,99
Cotización: ARS/DAI 215,30</t>
  </si>
  <si>
    <t>211.70</t>
  </si>
  <si>
    <t>Monto invertido: ARS 21.999,99
Cotización: ARS/DAI 211,70</t>
  </si>
  <si>
    <t>Comisiones de red al 14/03/2021</t>
  </si>
  <si>
    <t>Comisiones de red al 14/03/2021 U$S</t>
  </si>
  <si>
    <t>Periodo de Bloqueo Inicial</t>
  </si>
  <si>
    <t>Periodo de bloqueo para el cierre</t>
  </si>
  <si>
    <t>Periodo ciclo de staking  (Informacion)</t>
  </si>
  <si>
    <t>% Staking</t>
  </si>
  <si>
    <t>Enlaces Utiles</t>
  </si>
  <si>
    <t>Zil</t>
  </si>
  <si>
    <t>14 dias</t>
  </si>
  <si>
    <t>Paso 1: 25 días
Paso 2:  14 a 25 días</t>
  </si>
  <si>
    <t>Comprar</t>
  </si>
  <si>
    <t>Genera regalías constantemente. / Recomendación: no reclamarlas y dejarlas acumulándose. / La red tiene un proceso de bloqueo de 14 días (las criptos dejan de figurar en la wallet pero aparecen "Staked").</t>
  </si>
  <si>
    <t xml:space="preserve">Stacking,    </t>
  </si>
  <si>
    <t>EtH</t>
  </si>
  <si>
    <t>-</t>
  </si>
  <si>
    <t>Atomic Wallet todavía no realiza staking en Chainlink (LINK)</t>
  </si>
  <si>
    <t>Genera regalías constantemente / Recomendación: no reclamarlas y dejarlas acumulándose.</t>
  </si>
  <si>
    <t xml:space="preserve">Stacking,  "Cuando recibo regalias"    </t>
  </si>
  <si>
    <t>GAS</t>
  </si>
  <si>
    <t>Genera regalías en GAS de forma automática y constante / Recomendación: no reclamarlas y dejarlas acumulándose.</t>
  </si>
  <si>
    <t xml:space="preserve">stacking,      </t>
  </si>
  <si>
    <t>21 dias</t>
  </si>
  <si>
    <t>Genera regalías constantemente. / Recomendación: no reclamarlas y dejarlas acumulándose. / La red tiene un bloqueo de 21 días (las criptos desaparecen de la wallet pero aparecen "Staked").</t>
  </si>
  <si>
    <t xml:space="preserve">Staking, CosmosExplorer   </t>
  </si>
  <si>
    <t>23 a 37</t>
  </si>
  <si>
    <t>Cerrada</t>
  </si>
  <si>
    <t>Genera regalías cada 2 meses/ Recomendación: no reclamarlas y dejarlas acumulándose.</t>
  </si>
  <si>
    <t xml:space="preserve">Stacking,      </t>
  </si>
  <si>
    <t>Tener</t>
  </si>
  <si>
    <t xml:space="preserve">
Ethereum</t>
  </si>
  <si>
    <t>ETC</t>
  </si>
  <si>
    <t>Genera regalías constantemente. / Recomendación: no reclamarlas y dejarlas acumulándose. / La red tiene un bloqueo de 8 días (las criptos desaparecen de la wallet pero aparecen "Staked").</t>
  </si>
  <si>
    <t>Origen del Fondo $ Arg</t>
  </si>
  <si>
    <t>Compra en Rampade entrada y tranferencia</t>
  </si>
  <si>
    <t>Exchange</t>
  </si>
  <si>
    <t>Wallet</t>
  </si>
  <si>
    <t>Fecha</t>
  </si>
  <si>
    <t>Banco</t>
  </si>
  <si>
    <t>Importe $</t>
  </si>
  <si>
    <t>Cotizacion U$S Blue</t>
  </si>
  <si>
    <t>Importe U$S</t>
  </si>
  <si>
    <t>Comision x Tranferencia</t>
  </si>
  <si>
    <t>OnRamp</t>
  </si>
  <si>
    <t>Cotizacion BTC en $ Arg</t>
  </si>
  <si>
    <t>Cotizacion BTC en U$S</t>
  </si>
  <si>
    <t>Comision por comprar Btc</t>
  </si>
  <si>
    <t>Importe BTC</t>
  </si>
  <si>
    <t>Comision x Tranferir BTC</t>
  </si>
  <si>
    <t>Importe BTC acreditado</t>
  </si>
  <si>
    <t>Cripto por la cambiamos los BTC</t>
  </si>
  <si>
    <t>Cotizacion de la Cripto en BTC</t>
  </si>
  <si>
    <t>Comision por cambio (Trade) del exchange</t>
  </si>
  <si>
    <t>Importe de la cripto adquiruda con los btc</t>
  </si>
  <si>
    <t>Comicion de la cripto adquirida por la transferencia a la Wallet</t>
  </si>
  <si>
    <t>Cripto</t>
  </si>
  <si>
    <t>Importe Cripto Recibida</t>
  </si>
  <si>
    <t>Importe cripto Stakeada</t>
  </si>
  <si>
    <t>Importe cripto restante en wallet</t>
  </si>
  <si>
    <t>Comision por replanteo de regalias</t>
  </si>
  <si>
    <t>% Regalias</t>
  </si>
  <si>
    <t>Periodo de regalias</t>
  </si>
  <si>
    <t>Tiempo de Blokeo de la cripto stakeada</t>
  </si>
  <si>
    <t>Banco BBVA</t>
  </si>
  <si>
    <t>Bitso</t>
  </si>
  <si>
    <t>Atomik Wallet</t>
  </si>
  <si>
    <t>Atom</t>
  </si>
  <si>
    <t>Buen Bit</t>
  </si>
  <si>
    <t>Binance</t>
  </si>
  <si>
    <t>? 2 meses</t>
  </si>
  <si>
    <t>Constante</t>
  </si>
  <si>
    <t>Precio de entrada USD</t>
  </si>
  <si>
    <t>Rendimiento de USD 100</t>
  </si>
  <si>
    <t>74.62%</t>
  </si>
  <si>
    <t>USD 174,62</t>
  </si>
  <si>
    <t>188.18%</t>
  </si>
  <si>
    <t>USD 288,18</t>
  </si>
  <si>
    <t>713.40%</t>
  </si>
  <si>
    <t>USD 813,40</t>
  </si>
  <si>
    <t>159.03%</t>
  </si>
  <si>
    <t>USD 259,03</t>
  </si>
  <si>
    <t>81.63%</t>
  </si>
  <si>
    <t>USD 181,63</t>
  </si>
  <si>
    <t>782.74%</t>
  </si>
  <si>
    <t>USD 882,74</t>
  </si>
  <si>
    <t>------------------------------------------------------------------------------------------------------------------------------------------------------------------------------------------</t>
  </si>
  <si>
    <t>Buenbit - Fecha14/3/2021</t>
  </si>
  <si>
    <t>Se cobrará una comisión de BTC 0,0001600</t>
  </si>
  <si>
    <t>Comision red BTC</t>
  </si>
  <si>
    <t>Comision real Buenbit</t>
  </si>
  <si>
    <t xml:space="preserve">Comision </t>
  </si>
  <si>
    <t>9,62 United States Dollar "$" (USD)</t>
  </si>
  <si>
    <t>Tranferido</t>
  </si>
  <si>
    <t>2,83 United States Dollar "$" (USD)</t>
  </si>
  <si>
    <t>6,80 United States Dollar "$" (USD)</t>
  </si>
  <si>
    <t>Tu transferencia está siendo procesada!</t>
  </si>
  <si>
    <t>Te recordamos que la velocidad de esta transferencia depende de la congestión de la blockchain.</t>
  </si>
  <si>
    <t>Comprobante de transferencia</t>
  </si>
  <si>
    <t>BTC0,0020562</t>
  </si>
  <si>
    <t>Dirección</t>
  </si>
  <si>
    <t>1GXrYyBg42MkBKCW9f7Cf6i17t9qF2abpC</t>
  </si>
  <si>
    <t>ComisiónBTC 0,0001600</t>
  </si>
  <si>
    <t>Fecha14/3/2021</t>
  </si>
  <si>
    <t>Binance - 14/03/2021</t>
  </si>
  <si>
    <t>659.33 ZIL - $112.7</t>
  </si>
  <si>
    <t>Transactions1</t>
  </si>
  <si>
    <t>Enter the lottery by staking with ViewBlock!</t>
  </si>
  <si>
    <t>Transactions</t>
  </si>
  <si>
    <t>All</t>
  </si>
  <si>
    <t>Tokens</t>
  </si>
  <si>
    <t>Internals</t>
  </si>
  <si>
    <t>Other filters</t>
  </si>
  <si>
    <t>HASH</t>
  </si>
  <si>
    <t>AGE</t>
  </si>
  <si>
    <t>FROM</t>
  </si>
  <si>
    <t>TO</t>
  </si>
  <si>
    <t>VALUE</t>
  </si>
  <si>
    <t>FEE</t>
  </si>
  <si>
    <t>0xf8cad8dc7f7f6ca2f89ff793402d6c0706d7aabde7476e86de4875c202b5369e</t>
  </si>
  <si>
    <t>about 1 hour ago</t>
  </si>
  <si>
    <t>Binance Wallet 9</t>
  </si>
  <si>
    <t>in</t>
  </si>
  <si>
    <t>zil19u4vz8uvu6l5hn6sxgrcmpefedmeldx9d75dzt</t>
  </si>
  <si>
    <t>659.33 ZIL</t>
  </si>
  <si>
    <t>0.004 ZIL</t>
  </si>
  <si>
    <t xml:space="preserve"> BTC </t>
  </si>
  <si>
    <t>Acreditado</t>
  </si>
  <si>
    <t>Diferencia</t>
  </si>
  <si>
    <t>Tranferir ATOM</t>
  </si>
  <si>
    <t>Restan</t>
  </si>
  <si>
    <t>Minimo a tranferir desde Binance</t>
  </si>
  <si>
    <t>Amount to withdraw must be at least 0.00100000</t>
  </si>
  <si>
    <t>36,26 U$s</t>
  </si>
  <si>
    <t>Concepto</t>
  </si>
  <si>
    <t>U$s</t>
  </si>
  <si>
    <t>% U$S</t>
  </si>
  <si>
    <t>Cotizacion U$s</t>
  </si>
  <si>
    <t>$</t>
  </si>
  <si>
    <t>Valor estimado</t>
  </si>
  <si>
    <t>Gastos</t>
  </si>
  <si>
    <t>compraMes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</si>
</sst>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#,##0.000000000"/>
    <numFmt numFmtId="165" formatCode="d/m/yyyy\ h:mm:ss"/>
    <numFmt numFmtId="166" formatCode="0.00\ %"/>
    <numFmt numFmtId="167" formatCode="0.0000000"/>
    <numFmt numFmtId="168" formatCode="[$$]#,##0.00"/>
    <numFmt numFmtId="169" formatCode="0.000000"/>
    <numFmt numFmtId="170" formatCode="d/m/yyyy"/>
    <numFmt numFmtId="171" formatCode="0.00000000"/>
    <numFmt numFmtId="172" formatCode="0\ %"/>
    <numFmt numFmtId="173" formatCode="0.0000"/>
    <numFmt numFmtId="174" formatCode="#,##0.0000"/>
    <numFmt numFmtId="175" formatCode="d\.m"/>
    <numFmt numFmtId="176" formatCode="#,##0.00000000"/>
    <numFmt numFmtId="177" formatCode="#,##0.0000000"/>
    <numFmt numFmtId="178" formatCode="#,##0.00000"/>
  </numFmts>
  <fonts count="17">
    <font>
      <sz val="10"/>
      <color rgb="FF000000"/>
      <name val="Arial"/>
      <charset val="1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mbria"/>
      <charset val="1"/>
    </font>
    <font>
      <i/>
      <sz val="11"/>
      <color rgb="FF000000"/>
      <name val="Arial"/>
      <charset val="1"/>
    </font>
    <font>
      <u/>
      <sz val="11"/>
      <color rgb="FF1155CC"/>
      <name val="Arial"/>
      <charset val="1"/>
    </font>
    <font>
      <b/>
      <sz val="11"/>
      <color rgb="FF980000"/>
      <name val="Arial"/>
      <charset val="1"/>
    </font>
    <font>
      <b/>
      <sz val="11"/>
      <color rgb="FF0000FF"/>
      <name val="Arial"/>
      <charset val="1"/>
    </font>
    <font>
      <sz val="11"/>
      <color rgb="FF0000FF"/>
      <name val="Arial"/>
      <charset val="1"/>
    </font>
    <font>
      <sz val="11"/>
      <color rgb="FF000000"/>
      <name val="&quot;Arial&quot;"/>
      <charset val="1"/>
    </font>
    <font>
      <b/>
      <sz val="11"/>
      <color rgb="FF38761D"/>
      <name val="Arial"/>
      <charset val="1"/>
    </font>
    <font>
      <b/>
      <u/>
      <sz val="11"/>
      <color rgb="FF0000FF"/>
      <name val="Cambria"/>
      <charset val="1"/>
    </font>
    <font>
      <sz val="11"/>
      <color rgb="FF4A86E8"/>
      <name val="Arial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EFEFEF"/>
        <bgColor rgb="FFF3F3F3"/>
      </patternFill>
    </fill>
    <fill>
      <patternFill patternType="solid">
        <fgColor rgb="FFF3F3F3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FF2CC"/>
      </patternFill>
    </fill>
    <fill>
      <patternFill patternType="solid">
        <fgColor rgb="FFC9DAF8"/>
        <bgColor rgb="FFCFE2F3"/>
      </patternFill>
    </fill>
    <fill>
      <patternFill patternType="solid">
        <fgColor rgb="FFFFE599"/>
        <bgColor rgb="FFFCE5CD"/>
      </patternFill>
    </fill>
    <fill>
      <patternFill patternType="solid">
        <fgColor rgb="FFFFF2CC"/>
        <bgColor rgb="FFFCE5CD"/>
      </patternFill>
    </fill>
    <fill>
      <patternFill patternType="solid">
        <fgColor rgb="FFA2C4C9"/>
        <bgColor rgb="FFA4C2F4"/>
      </patternFill>
    </fill>
    <fill>
      <patternFill patternType="solid">
        <fgColor rgb="FFF9CB9C"/>
        <bgColor rgb="FFFFE599"/>
      </patternFill>
    </fill>
    <fill>
      <patternFill patternType="solid">
        <fgColor rgb="FFA4C2F4"/>
        <bgColor rgb="FFA2C4C9"/>
      </patternFill>
    </fill>
    <fill>
      <patternFill patternType="solid">
        <fgColor rgb="FFCFE2F3"/>
        <bgColor rgb="FFC9DAF8"/>
      </patternFill>
    </fill>
    <fill>
      <patternFill patternType="solid">
        <fgColor rgb="FFD9D2E9"/>
        <bgColor rgb="FFD9D9D9"/>
      </patternFill>
    </fill>
    <fill>
      <patternFill patternType="solid">
        <fgColor rgb="FFD9D9D9"/>
        <bgColor rgb="FFD9D2E9"/>
      </patternFill>
    </fill>
    <fill>
      <patternFill patternType="solid">
        <fgColor rgb="FFB6D7A8"/>
        <bgColor rgb="FFA2C4C9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2" fontId="0" fillId="0" borderId="0" xfId="0" applyNumberFormat="1"/>
    <xf numFmtId="4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 applyAlignment="1"/>
    <xf numFmtId="2" fontId="4" fillId="0" borderId="0" xfId="0" applyNumberFormat="1" applyFont="1"/>
    <xf numFmtId="2" fontId="3" fillId="0" borderId="0" xfId="0" applyNumberFormat="1" applyFont="1"/>
    <xf numFmtId="0" fontId="5" fillId="0" borderId="0" xfId="0" applyFont="1" applyAlignment="1"/>
    <xf numFmtId="2" fontId="4" fillId="0" borderId="1" xfId="0" applyNumberFormat="1" applyFont="1" applyBorder="1" applyAlignment="1">
      <alignment horizontal="center"/>
    </xf>
    <xf numFmtId="0" fontId="4" fillId="0" borderId="0" xfId="0" applyFont="1" applyAlignment="1"/>
    <xf numFmtId="2" fontId="4" fillId="0" borderId="0" xfId="0" applyNumberFormat="1" applyFont="1" applyAlignment="1"/>
    <xf numFmtId="2" fontId="3" fillId="0" borderId="1" xfId="0" applyNumberFormat="1" applyFont="1" applyBorder="1" applyAlignment="1"/>
    <xf numFmtId="2" fontId="3" fillId="0" borderId="1" xfId="0" applyNumberFormat="1" applyFont="1" applyBorder="1"/>
    <xf numFmtId="2" fontId="4" fillId="0" borderId="1" xfId="0" applyNumberFormat="1" applyFont="1" applyBorder="1"/>
    <xf numFmtId="2" fontId="6" fillId="0" borderId="1" xfId="0" applyNumberFormat="1" applyFont="1" applyBorder="1"/>
    <xf numFmtId="166" fontId="6" fillId="0" borderId="1" xfId="0" applyNumberFormat="1" applyFont="1" applyBorder="1"/>
    <xf numFmtId="2" fontId="3" fillId="0" borderId="0" xfId="0" applyNumberFormat="1" applyFont="1" applyAlignment="1"/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/>
    <xf numFmtId="0" fontId="7" fillId="3" borderId="1" xfId="0" applyFont="1" applyFill="1" applyBorder="1" applyAlignment="1"/>
    <xf numFmtId="0" fontId="3" fillId="0" borderId="1" xfId="0" applyFont="1" applyBorder="1" applyAlignment="1"/>
    <xf numFmtId="0" fontId="3" fillId="3" borderId="1" xfId="0" applyFont="1" applyFill="1" applyBorder="1" applyAlignment="1"/>
    <xf numFmtId="0" fontId="5" fillId="3" borderId="1" xfId="0" applyFont="1" applyFill="1" applyBorder="1" applyAlignment="1"/>
    <xf numFmtId="0" fontId="3" fillId="4" borderId="1" xfId="0" applyFont="1" applyFill="1" applyBorder="1" applyAlignment="1"/>
    <xf numFmtId="0" fontId="5" fillId="4" borderId="1" xfId="0" applyFont="1" applyFill="1" applyBorder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7" fillId="5" borderId="1" xfId="0" applyFont="1" applyFill="1" applyBorder="1" applyAlignment="1"/>
    <xf numFmtId="0" fontId="3" fillId="0" borderId="0" xfId="0" applyFont="1"/>
    <xf numFmtId="167" fontId="3" fillId="0" borderId="0" xfId="0" applyNumberFormat="1" applyFont="1"/>
    <xf numFmtId="0" fontId="4" fillId="3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/>
    </xf>
    <xf numFmtId="4" fontId="4" fillId="0" borderId="0" xfId="0" applyNumberFormat="1" applyFont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68" fontId="8" fillId="0" borderId="1" xfId="0" applyNumberFormat="1" applyFont="1" applyBorder="1"/>
    <xf numFmtId="168" fontId="9" fillId="0" borderId="1" xfId="0" applyNumberFormat="1" applyFont="1" applyBorder="1"/>
    <xf numFmtId="4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2" fontId="4" fillId="6" borderId="1" xfId="0" applyNumberFormat="1" applyFont="1" applyFill="1" applyBorder="1" applyAlignment="1">
      <alignment horizontal="center" vertical="center" wrapText="1"/>
    </xf>
    <xf numFmtId="169" fontId="4" fillId="6" borderId="1" xfId="0" applyNumberFormat="1" applyFont="1" applyFill="1" applyBorder="1" applyAlignment="1">
      <alignment horizontal="center" vertical="center" wrapText="1"/>
    </xf>
    <xf numFmtId="166" fontId="4" fillId="7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166" fontId="4" fillId="9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3" borderId="1" xfId="0" applyFont="1" applyFill="1" applyBorder="1" applyAlignment="1"/>
    <xf numFmtId="170" fontId="3" fillId="9" borderId="1" xfId="0" applyNumberFormat="1" applyFont="1" applyFill="1" applyBorder="1" applyAlignment="1"/>
    <xf numFmtId="2" fontId="3" fillId="9" borderId="1" xfId="0" applyNumberFormat="1" applyFont="1" applyFill="1" applyBorder="1" applyAlignment="1"/>
    <xf numFmtId="2" fontId="4" fillId="9" borderId="1" xfId="0" applyNumberFormat="1" applyFont="1" applyFill="1" applyBorder="1" applyAlignment="1"/>
    <xf numFmtId="169" fontId="3" fillId="9" borderId="1" xfId="0" applyNumberFormat="1" applyFont="1" applyFill="1" applyBorder="1" applyAlignment="1"/>
    <xf numFmtId="0" fontId="3" fillId="9" borderId="1" xfId="0" applyFont="1" applyFill="1" applyBorder="1" applyAlignment="1"/>
    <xf numFmtId="2" fontId="10" fillId="9" borderId="1" xfId="0" applyNumberFormat="1" applyFont="1" applyFill="1" applyBorder="1" applyAlignment="1"/>
    <xf numFmtId="166" fontId="3" fillId="10" borderId="1" xfId="0" applyNumberFormat="1" applyFont="1" applyFill="1" applyBorder="1" applyAlignment="1"/>
    <xf numFmtId="4" fontId="4" fillId="10" borderId="1" xfId="0" applyNumberFormat="1" applyFont="1" applyFill="1" applyBorder="1" applyAlignment="1"/>
    <xf numFmtId="166" fontId="3" fillId="9" borderId="1" xfId="0" applyNumberFormat="1" applyFont="1" applyFill="1" applyBorder="1" applyAlignment="1"/>
    <xf numFmtId="0" fontId="3" fillId="8" borderId="1" xfId="0" applyFont="1" applyFill="1" applyBorder="1" applyAlignment="1">
      <alignment horizontal="center" vertical="center" wrapText="1"/>
    </xf>
    <xf numFmtId="14" fontId="11" fillId="9" borderId="1" xfId="0" applyNumberFormat="1" applyFont="1" applyFill="1" applyBorder="1" applyAlignment="1"/>
    <xf numFmtId="2" fontId="4" fillId="9" borderId="1" xfId="0" applyNumberFormat="1" applyFont="1" applyFill="1" applyBorder="1"/>
    <xf numFmtId="0" fontId="12" fillId="3" borderId="1" xfId="0" applyFont="1" applyFill="1" applyBorder="1" applyAlignment="1"/>
    <xf numFmtId="0" fontId="10" fillId="9" borderId="1" xfId="0" applyFont="1" applyFill="1" applyBorder="1" applyAlignment="1"/>
    <xf numFmtId="0" fontId="13" fillId="2" borderId="1" xfId="0" applyFont="1" applyFill="1" applyBorder="1" applyAlignment="1">
      <alignment horizontal="center" vertical="center" wrapText="1"/>
    </xf>
    <xf numFmtId="171" fontId="11" fillId="9" borderId="1" xfId="0" applyNumberFormat="1" applyFont="1" applyFill="1" applyBorder="1" applyAlignment="1"/>
    <xf numFmtId="172" fontId="3" fillId="8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173" fontId="3" fillId="9" borderId="1" xfId="0" applyNumberFormat="1" applyFont="1" applyFill="1" applyBorder="1" applyAlignment="1"/>
    <xf numFmtId="174" fontId="3" fillId="9" borderId="1" xfId="0" applyNumberFormat="1" applyFont="1" applyFill="1" applyBorder="1" applyAlignment="1"/>
    <xf numFmtId="175" fontId="3" fillId="8" borderId="1" xfId="0" applyNumberFormat="1" applyFont="1" applyFill="1" applyBorder="1" applyAlignment="1">
      <alignment horizontal="center" vertical="center" wrapText="1"/>
    </xf>
    <xf numFmtId="173" fontId="11" fillId="9" borderId="1" xfId="0" applyNumberFormat="1" applyFont="1" applyFill="1" applyBorder="1" applyAlignment="1"/>
    <xf numFmtId="0" fontId="11" fillId="9" borderId="1" xfId="0" applyFont="1" applyFill="1" applyBorder="1" applyAlignment="1"/>
    <xf numFmtId="0" fontId="3" fillId="3" borderId="0" xfId="0" applyFont="1" applyFill="1" applyAlignment="1">
      <alignment wrapText="1"/>
    </xf>
    <xf numFmtId="4" fontId="3" fillId="0" borderId="0" xfId="0" applyNumberFormat="1" applyFont="1"/>
    <xf numFmtId="166" fontId="3" fillId="0" borderId="0" xfId="0" applyNumberFormat="1" applyFont="1"/>
    <xf numFmtId="4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14" fontId="3" fillId="0" borderId="0" xfId="0" applyNumberFormat="1" applyFont="1" applyAlignment="1"/>
    <xf numFmtId="4" fontId="3" fillId="0" borderId="0" xfId="0" applyNumberFormat="1" applyFont="1" applyAlignment="1"/>
    <xf numFmtId="166" fontId="3" fillId="0" borderId="0" xfId="0" applyNumberFormat="1" applyFont="1" applyAlignment="1"/>
    <xf numFmtId="0" fontId="11" fillId="0" borderId="0" xfId="0" applyFont="1" applyAlignment="1"/>
    <xf numFmtId="172" fontId="3" fillId="0" borderId="0" xfId="0" applyNumberFormat="1" applyFont="1" applyAlignment="1"/>
    <xf numFmtId="176" fontId="3" fillId="0" borderId="0" xfId="0" applyNumberFormat="1" applyFont="1" applyAlignment="1"/>
    <xf numFmtId="171" fontId="3" fillId="0" borderId="0" xfId="0" applyNumberFormat="1" applyFont="1" applyAlignment="1"/>
    <xf numFmtId="176" fontId="3" fillId="0" borderId="0" xfId="0" applyNumberFormat="1" applyFont="1"/>
    <xf numFmtId="3" fontId="3" fillId="0" borderId="0" xfId="0" applyNumberFormat="1" applyFont="1" applyAlignment="1"/>
    <xf numFmtId="177" fontId="3" fillId="0" borderId="0" xfId="0" applyNumberFormat="1" applyFont="1" applyAlignment="1"/>
    <xf numFmtId="178" fontId="3" fillId="0" borderId="0" xfId="0" applyNumberFormat="1" applyFont="1" applyAlignment="1"/>
    <xf numFmtId="174" fontId="3" fillId="0" borderId="0" xfId="0" applyNumberFormat="1" applyFont="1"/>
    <xf numFmtId="166" fontId="4" fillId="2" borderId="1" xfId="0" applyNumberFormat="1" applyFont="1" applyFill="1" applyBorder="1" applyAlignment="1">
      <alignment horizontal="center" vertical="center" wrapText="1"/>
    </xf>
    <xf numFmtId="14" fontId="3" fillId="9" borderId="1" xfId="0" applyNumberFormat="1" applyFont="1" applyFill="1" applyBorder="1" applyAlignment="1"/>
    <xf numFmtId="4" fontId="3" fillId="10" borderId="1" xfId="0" applyNumberFormat="1" applyFont="1" applyFill="1" applyBorder="1" applyAlignment="1"/>
    <xf numFmtId="0" fontId="3" fillId="0" borderId="0" xfId="0" applyFont="1" applyAlignment="1">
      <alignment horizontal="center"/>
    </xf>
    <xf numFmtId="0" fontId="4" fillId="14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4" fillId="15" borderId="1" xfId="0" applyFont="1" applyFill="1" applyBorder="1" applyAlignment="1">
      <alignment horizontal="right"/>
    </xf>
    <xf numFmtId="166" fontId="3" fillId="0" borderId="1" xfId="0" applyNumberFormat="1" applyFont="1" applyBorder="1" applyAlignment="1"/>
    <xf numFmtId="170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vertical="center" wrapText="1"/>
    </xf>
    <xf numFmtId="167" fontId="3" fillId="0" borderId="0" xfId="0" applyNumberFormat="1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/>
    <xf numFmtId="0" fontId="0" fillId="0" borderId="0" xfId="0" applyFont="1"/>
    <xf numFmtId="0" fontId="15" fillId="0" borderId="0" xfId="0" applyFont="1"/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/>
    <xf numFmtId="0" fontId="3" fillId="0" borderId="4" xfId="0" applyFont="1" applyBorder="1"/>
    <xf numFmtId="171" fontId="3" fillId="0" borderId="1" xfId="0" applyNumberFormat="1" applyFont="1" applyBorder="1"/>
    <xf numFmtId="0" fontId="3" fillId="0" borderId="3" xfId="0" applyFont="1" applyBorder="1" applyAlignment="1"/>
    <xf numFmtId="0" fontId="3" fillId="0" borderId="3" xfId="0" applyFont="1" applyBorder="1"/>
    <xf numFmtId="0" fontId="3" fillId="0" borderId="5" xfId="0" applyFont="1" applyBorder="1" applyAlignment="1">
      <alignment horizontal="center"/>
    </xf>
    <xf numFmtId="171" fontId="3" fillId="0" borderId="1" xfId="0" applyNumberFormat="1" applyFont="1" applyBorder="1" applyAlignment="1"/>
    <xf numFmtId="0" fontId="3" fillId="0" borderId="1" xfId="0" applyFont="1" applyBorder="1"/>
    <xf numFmtId="0" fontId="0" fillId="0" borderId="0" xfId="0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wrapText="1"/>
    </xf>
    <xf numFmtId="0" fontId="16" fillId="0" borderId="10" xfId="0" applyFont="1" applyBorder="1" applyAlignment="1">
      <alignment wrapText="1"/>
    </xf>
    <xf numFmtId="165" fontId="3" fillId="0" borderId="0" xfId="0" applyNumberFormat="1" applyFont="1" applyBorder="1"/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/>
    </xf>
    <xf numFmtId="2" fontId="4" fillId="2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66" fontId="8" fillId="0" borderId="3" xfId="0" applyNumberFormat="1" applyFont="1" applyBorder="1" applyAlignment="1">
      <alignment horizontal="center" vertical="center"/>
    </xf>
    <xf numFmtId="168" fontId="8" fillId="0" borderId="1" xfId="0" applyNumberFormat="1" applyFont="1" applyBorder="1" applyAlignment="1">
      <alignment vertical="center"/>
    </xf>
    <xf numFmtId="166" fontId="9" fillId="0" borderId="3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980000"/>
      <rgbColor rgb="FF38761D"/>
      <rgbColor rgb="FF000080"/>
      <rgbColor rgb="FF808000"/>
      <rgbColor rgb="FF800080"/>
      <rgbColor rgb="FF008080"/>
      <rgbColor rgb="FFA2C4C9"/>
      <rgbColor rgb="FF808080"/>
      <rgbColor rgb="FF9999FF"/>
      <rgbColor rgb="FF993366"/>
      <rgbColor rgb="FFFFF2CC"/>
      <rgbColor rgb="FFCFE2F3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D9D9"/>
      <rgbColor rgb="FFFFE599"/>
      <rgbColor rgb="FFA4C2F4"/>
      <rgbColor rgb="FFFCE5CD"/>
      <rgbColor rgb="FFD9D2E9"/>
      <rgbColor rgb="FFF9CB9C"/>
      <rgbColor rgb="FF4A86E8"/>
      <rgbColor rgb="FF33CCCC"/>
      <rgbColor rgb="FF99CC00"/>
      <rgbColor rgb="FFFFCC00"/>
      <rgbColor rgb="FFFF9900"/>
      <rgbColor rgb="FFFF6600"/>
      <rgbColor rgb="FF666699"/>
      <rgbColor rgb="FFB6D7A8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inmarketcap.com/es/currencies/tezos" TargetMode="External"/><Relationship Id="rId3" Type="http://schemas.openxmlformats.org/officeDocument/2006/relationships/hyperlink" Target="https://coinmarketcap.com/es/currencies/cosmos" TargetMode="External"/><Relationship Id="rId7" Type="http://schemas.openxmlformats.org/officeDocument/2006/relationships/hyperlink" Target="https://coinmarketcap.com/es/currencies/icon" TargetMode="External"/><Relationship Id="rId2" Type="http://schemas.openxmlformats.org/officeDocument/2006/relationships/hyperlink" Target="https://coinmarketcap.com/es/currencies/cardano" TargetMode="External"/><Relationship Id="rId1" Type="http://schemas.openxmlformats.org/officeDocument/2006/relationships/hyperlink" Target="https://coinmarketcap.com/converter/usd/btc/" TargetMode="External"/><Relationship Id="rId6" Type="http://schemas.openxmlformats.org/officeDocument/2006/relationships/hyperlink" Target="https://coinmarketcap.com/es/currencies/chainlink" TargetMode="External"/><Relationship Id="rId5" Type="http://schemas.openxmlformats.org/officeDocument/2006/relationships/hyperlink" Target="https://coinmarketcap.com/es/currencies/neo" TargetMode="External"/><Relationship Id="rId4" Type="http://schemas.openxmlformats.org/officeDocument/2006/relationships/hyperlink" Target="https://coinmarketcap.com/es/currencies/zilliq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atomicwallet.io/article/72-how-to-claim-neo-gas" TargetMode="External"/><Relationship Id="rId13" Type="http://schemas.openxmlformats.org/officeDocument/2006/relationships/hyperlink" Target="https://coinmarketcap.com/es/currencies/icon" TargetMode="External"/><Relationship Id="rId3" Type="http://schemas.openxmlformats.org/officeDocument/2006/relationships/hyperlink" Target="https://support.atomicwallet.io/article/155-how-to-stake-zil" TargetMode="External"/><Relationship Id="rId7" Type="http://schemas.openxmlformats.org/officeDocument/2006/relationships/hyperlink" Target="https://coinmarketcap.com/es/currencies/neo" TargetMode="External"/><Relationship Id="rId12" Type="http://schemas.openxmlformats.org/officeDocument/2006/relationships/hyperlink" Target="https://support.atomicwallet.io/article/128-how-to-stake-xtz" TargetMode="External"/><Relationship Id="rId2" Type="http://schemas.openxmlformats.org/officeDocument/2006/relationships/hyperlink" Target="https://coinmarketcap.com/es/currencies/zilliqa" TargetMode="External"/><Relationship Id="rId1" Type="http://schemas.openxmlformats.org/officeDocument/2006/relationships/hyperlink" Target="https://support.atomicwallet.io/article/140-staking-options-in-atomic-wallet?bsft_eid=d1b635e9-37b6-c80a-e8d4-5c1d78e8cd4f&amp;bsft_aaid=c47e9f45-8c3f-4c19-a5e4-0a1309a62ea0&amp;utm_campaign=fu-arg-cryptodividendos-06-11-20&amp;utm_source=blueshift&amp;utm_medium=email&amp;u" TargetMode="External"/><Relationship Id="rId6" Type="http://schemas.openxmlformats.org/officeDocument/2006/relationships/hyperlink" Target="https://support.atomicwallet.io/article/157-how-to-stake-ada" TargetMode="External"/><Relationship Id="rId11" Type="http://schemas.openxmlformats.org/officeDocument/2006/relationships/hyperlink" Target="https://coinmarketcap.com/es/currencies/tezos" TargetMode="External"/><Relationship Id="rId5" Type="http://schemas.openxmlformats.org/officeDocument/2006/relationships/hyperlink" Target="https://coinmarketcap.com/es/currencies/cardano" TargetMode="External"/><Relationship Id="rId10" Type="http://schemas.openxmlformats.org/officeDocument/2006/relationships/hyperlink" Target="https://support.atomicwallet.io/article/122-how-to-stake-atom" TargetMode="External"/><Relationship Id="rId4" Type="http://schemas.openxmlformats.org/officeDocument/2006/relationships/hyperlink" Target="https://coinmarketcap.com/es/currencies/chainlink" TargetMode="External"/><Relationship Id="rId9" Type="http://schemas.openxmlformats.org/officeDocument/2006/relationships/hyperlink" Target="https://coinmarketcap.com/es/currencies/cosmo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oinmarketcap.com/es/currencies/cardano" TargetMode="External"/><Relationship Id="rId2" Type="http://schemas.openxmlformats.org/officeDocument/2006/relationships/hyperlink" Target="https://coinmarketcap.com/es/currencies/chainlink" TargetMode="External"/><Relationship Id="rId1" Type="http://schemas.openxmlformats.org/officeDocument/2006/relationships/hyperlink" Target="https://coinmarketcap.com/es/currencies/zilliqa" TargetMode="External"/><Relationship Id="rId5" Type="http://schemas.openxmlformats.org/officeDocument/2006/relationships/hyperlink" Target="https://coinmarketcap.com/es/currencies/cosmos" TargetMode="External"/><Relationship Id="rId4" Type="http://schemas.openxmlformats.org/officeDocument/2006/relationships/hyperlink" Target="https://coinmarketcap.com/es/currencies/neo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coinmarketcap.com/es/currencies/cardano" TargetMode="External"/><Relationship Id="rId2" Type="http://schemas.openxmlformats.org/officeDocument/2006/relationships/hyperlink" Target="https://coinmarketcap.com/es/currencies/chainlink" TargetMode="External"/><Relationship Id="rId1" Type="http://schemas.openxmlformats.org/officeDocument/2006/relationships/hyperlink" Target="https://coinmarketcap.com/es/currencies/zilliqa" TargetMode="External"/><Relationship Id="rId6" Type="http://schemas.openxmlformats.org/officeDocument/2006/relationships/hyperlink" Target="https://coinmarketcap.com/es/currencies/cosmos" TargetMode="External"/><Relationship Id="rId5" Type="http://schemas.openxmlformats.org/officeDocument/2006/relationships/hyperlink" Target="https://coinmarketcap.com/es/currencies/tezos" TargetMode="External"/><Relationship Id="rId4" Type="http://schemas.openxmlformats.org/officeDocument/2006/relationships/hyperlink" Target="https://coinmarketcap.com/es/currencies/neo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oinmarketcap.com/es/currencies/cardano" TargetMode="External"/><Relationship Id="rId2" Type="http://schemas.openxmlformats.org/officeDocument/2006/relationships/hyperlink" Target="https://coinmarketcap.com/es/currencies/chainlink" TargetMode="External"/><Relationship Id="rId1" Type="http://schemas.openxmlformats.org/officeDocument/2006/relationships/hyperlink" Target="https://coinmarketcap.com/es/currencies/zilliqa" TargetMode="External"/><Relationship Id="rId6" Type="http://schemas.openxmlformats.org/officeDocument/2006/relationships/hyperlink" Target="https://coinmarketcap.com/es/currencies/cosmos" TargetMode="External"/><Relationship Id="rId5" Type="http://schemas.openxmlformats.org/officeDocument/2006/relationships/hyperlink" Target="https://coinmarketcap.com/es/currencies/tezos" TargetMode="External"/><Relationship Id="rId4" Type="http://schemas.openxmlformats.org/officeDocument/2006/relationships/hyperlink" Target="https://coinmarketcap.com/es/currencies/neo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viewblock.io/zilliqa/address/zil1z3zky3kv20f37z3wkq86qfy00t4a875fxxw7sw" TargetMode="External"/><Relationship Id="rId1" Type="http://schemas.openxmlformats.org/officeDocument/2006/relationships/hyperlink" Target="https://viewblock.io/zilliqa/tx/0xf8cad8dc7f7f6ca2f89ff793402d6c0706d7aabde7476e86de4875c202b536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112" zoomScaleNormal="112" workbookViewId="0">
      <selection activeCell="A3" sqref="A3"/>
    </sheetView>
  </sheetViews>
  <sheetFormatPr baseColWidth="10" defaultColWidth="9.140625" defaultRowHeight="12.75"/>
  <cols>
    <col min="1" max="1" width="12.140625" customWidth="1"/>
    <col min="2" max="2" width="12.5703125" customWidth="1"/>
    <col min="3" max="3" width="11.28515625" customWidth="1"/>
    <col min="4" max="4" width="18" customWidth="1"/>
    <col min="5" max="5" width="17.42578125" customWidth="1"/>
    <col min="6" max="6" width="21.7109375" customWidth="1"/>
    <col min="7" max="7" width="23.5703125" customWidth="1"/>
    <col min="8" max="8" width="19.5703125" customWidth="1"/>
    <col min="9" max="9" width="20.85546875" customWidth="1"/>
    <col min="10" max="10" width="19.5703125" customWidth="1"/>
    <col min="11" max="11" width="3.140625" customWidth="1"/>
    <col min="12" max="12" width="152.28515625" style="121" customWidth="1"/>
    <col min="13" max="1025" width="11.5703125"/>
  </cols>
  <sheetData>
    <row r="1" spans="1:12">
      <c r="A1" t="s">
        <v>0</v>
      </c>
      <c r="B1" s="1" t="e">
        <f ca="1">DolarHoy!A3</f>
        <v>#VALUE!</v>
      </c>
    </row>
    <row r="2" spans="1:12" ht="13.5" thickBot="1"/>
    <row r="3" spans="1:12" ht="13.5" thickBot="1">
      <c r="L3" s="125" t="s">
        <v>1</v>
      </c>
    </row>
    <row r="4" spans="1:12" ht="13.5" thickBot="1">
      <c r="A4" s="122" t="s">
        <v>2</v>
      </c>
      <c r="B4" s="123" t="s">
        <v>223</v>
      </c>
      <c r="C4" s="123" t="s">
        <v>3</v>
      </c>
      <c r="D4" s="123" t="s">
        <v>4</v>
      </c>
      <c r="E4" s="123" t="s">
        <v>5</v>
      </c>
      <c r="F4" s="123" t="s">
        <v>6</v>
      </c>
      <c r="G4" s="123" t="s">
        <v>7</v>
      </c>
      <c r="H4" s="123" t="s">
        <v>8</v>
      </c>
      <c r="I4" s="123" t="s">
        <v>9</v>
      </c>
      <c r="J4" s="124" t="s">
        <v>10</v>
      </c>
      <c r="K4" t="s">
        <v>11</v>
      </c>
      <c r="L4" s="126" t="s">
        <v>12</v>
      </c>
    </row>
    <row r="5" spans="1:12" ht="38.25">
      <c r="A5">
        <v>2021</v>
      </c>
      <c r="B5">
        <v>4</v>
      </c>
      <c r="C5">
        <v>30</v>
      </c>
      <c r="D5" s="2">
        <v>150</v>
      </c>
      <c r="E5">
        <v>50</v>
      </c>
      <c r="F5" s="2">
        <v>57750.18</v>
      </c>
      <c r="G5" s="3">
        <v>8.6579816720917596E-4</v>
      </c>
      <c r="H5" s="2">
        <v>7500</v>
      </c>
      <c r="I5" t="s">
        <v>13</v>
      </c>
      <c r="J5" t="s">
        <v>14</v>
      </c>
      <c r="L5" s="121" t="str">
        <f>"http://localhost:4001/api/simInvBtc/resultado/CREAR_POR_BODY/" &amp; "{ "&amp;""""&amp;$A$4 &amp; """" &amp; ": " &amp;A5&amp; ", "&amp;""""&amp;$B$4 &amp; """" &amp; ": " &amp;B5&amp; ", "&amp;""""&amp;$C$4 &amp; """" &amp; ": " &amp;C5&amp; ", "&amp;""""&amp;$D$4 &amp; """" &amp; ": " &amp;D5&amp; ", "&amp;""""&amp;$E$4 &amp; """" &amp; ": " &amp;E5&amp; ", "&amp;""""&amp;$F$4 &amp; """" &amp; ": " &amp;F5&amp; ", "&amp;""""&amp;$G$4 &amp; """" &amp; ": " &amp;G5&amp; ", "&amp;""""&amp;$H$4 &amp; """" &amp; ": " &amp;H5&amp; ", "&amp;""""&amp;$I$4 &amp; """" &amp; ": " &amp; """" &amp; I5 &amp; """"&amp; ", "&amp;""""&amp;$J$4 &amp; """" &amp; ": "&amp; """"  &amp;J5 &amp; """"&amp; "} "</f>
        <v xml:space="preserve">http://localhost:4001/api/simInvBtc/resultado/CREAR_POR_BODY/{ "compraAño": 2021, "compraMes": 4, "compraDia": 30, "precioEntradaUsd": 150, "importeInicialUsd": 50, "compraCotizacionUsd": 57750.18, "importeCriptoComprado": 0.000865798167209176, "importeArsInvertido": 7500, "inversorEmail": "inversor1@correo.com", "InversorComentario": "Prueba inversor 1"} </v>
      </c>
    </row>
    <row r="6" spans="1:12" ht="38.25">
      <c r="A6">
        <v>2021</v>
      </c>
      <c r="B6">
        <v>5</v>
      </c>
      <c r="C6">
        <v>28</v>
      </c>
      <c r="D6" s="2">
        <v>157</v>
      </c>
      <c r="E6">
        <v>50</v>
      </c>
      <c r="F6" s="2">
        <v>35697.61</v>
      </c>
      <c r="G6" s="3">
        <v>1.4006539933625801E-3</v>
      </c>
      <c r="H6" s="2">
        <v>7850</v>
      </c>
      <c r="I6" s="4" t="s">
        <v>13</v>
      </c>
      <c r="J6" s="4" t="s">
        <v>14</v>
      </c>
      <c r="L6" s="121" t="str">
        <f t="shared" ref="L6:L17" si="0">"http://localhost:4001/api/simInvBtc/resultado/CREAR_POR_BODY/" &amp; "{ "&amp;""""&amp;$A$4 &amp; """" &amp; ": " &amp;A6&amp; ", "&amp;""""&amp;$B$4 &amp; """" &amp; ": " &amp;B6&amp; ", "&amp;""""&amp;$C$4 &amp; """" &amp; ": " &amp;C6&amp; ", "&amp;""""&amp;$D$4 &amp; """" &amp; ": " &amp;D6&amp; ", "&amp;""""&amp;$E$4 &amp; """" &amp; ": " &amp;E6&amp; ", "&amp;""""&amp;$F$4 &amp; """" &amp; ": " &amp;F6&amp; ", "&amp;""""&amp;$G$4 &amp; """" &amp; ": " &amp;G6&amp; ", "&amp;""""&amp;$H$4 &amp; """" &amp; ": " &amp;H6&amp; ", "&amp;""""&amp;$I$4 &amp; """" &amp; ": " &amp; """" &amp; I6 &amp; """"&amp; ", "&amp;""""&amp;$J$4 &amp; """" &amp; ": "&amp; """"  &amp;J6 &amp; """"&amp; "} "</f>
        <v xml:space="preserve">http://localhost:4001/api/simInvBtc/resultado/CREAR_POR_BODY/{ "compraAño": 2021, "compraMes": 5, "compraDia": 28, "precioEntradaUsd": 157, "importeInicialUsd": 50, "compraCotizacionUsd": 35697.61, "importeCriptoComprado": 0.00140065399336258, "importeArsInvertido": 7850, "inversorEmail": "inversor1@correo.com", "InversorComentario": "Prueba inversor 1"} </v>
      </c>
    </row>
    <row r="7" spans="1:12" ht="38.25">
      <c r="A7">
        <v>2021</v>
      </c>
      <c r="B7">
        <v>6</v>
      </c>
      <c r="C7">
        <v>25</v>
      </c>
      <c r="D7" s="2">
        <v>174</v>
      </c>
      <c r="E7">
        <v>50</v>
      </c>
      <c r="F7" s="2">
        <v>31637.78</v>
      </c>
      <c r="G7" s="3">
        <v>1.58038901591705E-3</v>
      </c>
      <c r="H7" s="2">
        <v>8700</v>
      </c>
      <c r="I7" t="s">
        <v>13</v>
      </c>
      <c r="J7" t="s">
        <v>14</v>
      </c>
      <c r="L7" s="121" t="str">
        <f t="shared" si="0"/>
        <v xml:space="preserve">http://localhost:4001/api/simInvBtc/resultado/CREAR_POR_BODY/{ "compraAño": 2021, "compraMes": 6, "compraDia": 25, "precioEntradaUsd": 174, "importeInicialUsd": 50, "compraCotizacionUsd": 31637.78, "importeCriptoComprado": 0.00158038901591705, "importeArsInvertido": 8700, "inversorEmail": "inversor1@correo.com", "InversorComentario": "Prueba inversor 1"} </v>
      </c>
    </row>
    <row r="8" spans="1:12" ht="38.25">
      <c r="A8">
        <v>2021</v>
      </c>
      <c r="B8">
        <v>7</v>
      </c>
      <c r="C8">
        <v>30</v>
      </c>
      <c r="D8" s="2">
        <v>180.5</v>
      </c>
      <c r="E8">
        <v>50</v>
      </c>
      <c r="F8" s="2">
        <v>42235.55</v>
      </c>
      <c r="G8" s="3">
        <v>1.18383683887152E-3</v>
      </c>
      <c r="H8" s="2">
        <v>9025</v>
      </c>
      <c r="I8" s="4" t="s">
        <v>13</v>
      </c>
      <c r="J8" s="4" t="s">
        <v>14</v>
      </c>
      <c r="L8" s="121" t="str">
        <f t="shared" si="0"/>
        <v xml:space="preserve">http://localhost:4001/api/simInvBtc/resultado/CREAR_POR_BODY/{ "compraAño": 2021, "compraMes": 7, "compraDia": 30, "precioEntradaUsd": 180.5, "importeInicialUsd": 50, "compraCotizacionUsd": 42235.55, "importeCriptoComprado": 0.00118383683887152, "importeArsInvertido": 9025, "inversorEmail": "inversor1@correo.com", "InversorComentario": "Prueba inversor 1"} </v>
      </c>
    </row>
    <row r="9" spans="1:12" ht="38.25">
      <c r="A9">
        <v>2021</v>
      </c>
      <c r="B9">
        <v>8</v>
      </c>
      <c r="C9">
        <v>27</v>
      </c>
      <c r="D9" s="2">
        <v>181.5</v>
      </c>
      <c r="E9">
        <v>50</v>
      </c>
      <c r="F9" s="2">
        <v>49058.67</v>
      </c>
      <c r="G9" s="3">
        <v>1.0191878418228601E-3</v>
      </c>
      <c r="H9" s="2">
        <v>9075</v>
      </c>
      <c r="I9" t="s">
        <v>13</v>
      </c>
      <c r="J9" t="s">
        <v>14</v>
      </c>
      <c r="L9" s="121" t="str">
        <f t="shared" si="0"/>
        <v xml:space="preserve">http://localhost:4001/api/simInvBtc/resultado/CREAR_POR_BODY/{ "compraAño": 2021, "compraMes": 8, "compraDia": 27, "precioEntradaUsd": 181.5, "importeInicialUsd": 50, "compraCotizacionUsd": 49058.67, "importeCriptoComprado": 0.00101918784182286, "importeArsInvertido": 9075, "inversorEmail": "inversor1@correo.com", "InversorComentario": "Prueba inversor 1"} </v>
      </c>
    </row>
    <row r="10" spans="1:12" ht="38.25">
      <c r="A10">
        <v>2021</v>
      </c>
      <c r="B10">
        <v>9</v>
      </c>
      <c r="C10">
        <v>24</v>
      </c>
      <c r="D10" s="2">
        <v>185</v>
      </c>
      <c r="E10">
        <v>50</v>
      </c>
      <c r="F10" s="2">
        <v>42839.75</v>
      </c>
      <c r="G10" s="3">
        <v>1.16714033111771E-3</v>
      </c>
      <c r="H10" s="2">
        <v>9250</v>
      </c>
      <c r="I10" s="4" t="s">
        <v>13</v>
      </c>
      <c r="J10" s="4" t="s">
        <v>14</v>
      </c>
      <c r="L10" s="121" t="str">
        <f t="shared" si="0"/>
        <v xml:space="preserve">http://localhost:4001/api/simInvBtc/resultado/CREAR_POR_BODY/{ "compraAño": 2021, "compraMes": 9, "compraDia": 24, "precioEntradaUsd": 185, "importeInicialUsd": 50, "compraCotizacionUsd": 42839.75, "importeCriptoComprado": 0.00116714033111771, "importeArsInvertido": 9250, "inversorEmail": "inversor1@correo.com", "InversorComentario": "Prueba inversor 1"} </v>
      </c>
    </row>
    <row r="11" spans="1:12" ht="38.25">
      <c r="A11">
        <v>2021</v>
      </c>
      <c r="B11">
        <v>10</v>
      </c>
      <c r="C11">
        <v>29</v>
      </c>
      <c r="D11" s="2">
        <v>198</v>
      </c>
      <c r="E11">
        <v>50</v>
      </c>
      <c r="F11" s="2">
        <v>62227.96</v>
      </c>
      <c r="G11" s="3">
        <v>8.0349733463864201E-4</v>
      </c>
      <c r="H11" s="2">
        <v>9900</v>
      </c>
      <c r="I11" t="s">
        <v>13</v>
      </c>
      <c r="J11" t="s">
        <v>14</v>
      </c>
      <c r="L11" s="121" t="str">
        <f t="shared" si="0"/>
        <v xml:space="preserve">http://localhost:4001/api/simInvBtc/resultado/CREAR_POR_BODY/{ "compraAño": 2021, "compraMes": 10, "compraDia": 29, "precioEntradaUsd": 198, "importeInicialUsd": 50, "compraCotizacionUsd": 62227.96, "importeCriptoComprado": 0.000803497334638642, "importeArsInvertido": 9900, "inversorEmail": "inversor1@correo.com", "InversorComentario": "Prueba inversor 1"} </v>
      </c>
    </row>
    <row r="12" spans="1:12" ht="38.25">
      <c r="A12">
        <v>2021</v>
      </c>
      <c r="B12">
        <v>11</v>
      </c>
      <c r="C12">
        <v>26</v>
      </c>
      <c r="D12" s="2">
        <v>201.5</v>
      </c>
      <c r="E12">
        <v>50</v>
      </c>
      <c r="F12" s="2">
        <v>53569.77</v>
      </c>
      <c r="G12" s="3">
        <v>9.3336223022798097E-4</v>
      </c>
      <c r="H12" s="2">
        <v>10075</v>
      </c>
      <c r="I12" s="4" t="s">
        <v>13</v>
      </c>
      <c r="J12" s="4" t="s">
        <v>14</v>
      </c>
      <c r="L12" s="121" t="str">
        <f t="shared" si="0"/>
        <v xml:space="preserve">http://localhost:4001/api/simInvBtc/resultado/CREAR_POR_BODY/{ "compraAño": 2021, "compraMes": 11, "compraDia": 26, "precioEntradaUsd": 201.5, "importeInicialUsd": 50, "compraCotizacionUsd": 53569.77, "importeCriptoComprado": 0.000933362230227981, "importeArsInvertido": 10075, "inversorEmail": "inversor1@correo.com", "InversorComentario": "Prueba inversor 1"} </v>
      </c>
    </row>
    <row r="13" spans="1:12" ht="38.25">
      <c r="A13">
        <v>2021</v>
      </c>
      <c r="B13">
        <v>12</v>
      </c>
      <c r="C13">
        <v>24</v>
      </c>
      <c r="D13" s="2">
        <v>208.5</v>
      </c>
      <c r="E13">
        <v>50</v>
      </c>
      <c r="F13" s="2">
        <v>50822.2</v>
      </c>
      <c r="G13" s="3">
        <v>9.8382203052996492E-4</v>
      </c>
      <c r="H13" s="2">
        <v>10425</v>
      </c>
      <c r="I13" t="s">
        <v>13</v>
      </c>
      <c r="J13" t="s">
        <v>14</v>
      </c>
      <c r="L13" s="121" t="str">
        <f t="shared" si="0"/>
        <v xml:space="preserve">http://localhost:4001/api/simInvBtc/resultado/CREAR_POR_BODY/{ "compraAño": 2021, "compraMes": 12, "compraDia": 24, "precioEntradaUsd": 208.5, "importeInicialUsd": 50, "compraCotizacionUsd": 50822.2, "importeCriptoComprado": 0.000983822030529965, "importeArsInvertido": 10425, "inversorEmail": "inversor1@correo.com", "InversorComentario": "Prueba inversor 1"} </v>
      </c>
    </row>
    <row r="14" spans="1:12" ht="38.25">
      <c r="A14">
        <v>2022</v>
      </c>
      <c r="B14">
        <v>1</v>
      </c>
      <c r="C14">
        <v>28</v>
      </c>
      <c r="D14" s="2">
        <v>213</v>
      </c>
      <c r="E14">
        <v>50</v>
      </c>
      <c r="F14" s="2">
        <v>37784.33</v>
      </c>
      <c r="G14" s="3">
        <v>1.32329989707373E-3</v>
      </c>
      <c r="H14" s="2">
        <v>10650</v>
      </c>
      <c r="I14" s="4" t="s">
        <v>13</v>
      </c>
      <c r="J14" s="4" t="s">
        <v>14</v>
      </c>
      <c r="L14" s="121" t="str">
        <f t="shared" si="0"/>
        <v xml:space="preserve">http://localhost:4001/api/simInvBtc/resultado/CREAR_POR_BODY/{ "compraAño": 2022, "compraMes": 1, "compraDia": 28, "precioEntradaUsd": 213, "importeInicialUsd": 50, "compraCotizacionUsd": 37784.33, "importeCriptoComprado": 0.00132329989707373, "importeArsInvertido": 10650, "inversorEmail": "inversor1@correo.com", "InversorComentario": "Prueba inversor 1"} </v>
      </c>
    </row>
    <row r="15" spans="1:12" ht="38.25">
      <c r="A15">
        <v>2022</v>
      </c>
      <c r="B15">
        <v>2</v>
      </c>
      <c r="C15">
        <v>25</v>
      </c>
      <c r="D15" s="2">
        <v>210.5</v>
      </c>
      <c r="E15">
        <v>50</v>
      </c>
      <c r="F15" s="2">
        <v>39214.22</v>
      </c>
      <c r="G15" s="3">
        <v>1.2750476740325299E-3</v>
      </c>
      <c r="H15" s="2">
        <v>10525</v>
      </c>
      <c r="I15" t="s">
        <v>13</v>
      </c>
      <c r="J15" t="s">
        <v>14</v>
      </c>
      <c r="L15" s="121" t="str">
        <f t="shared" si="0"/>
        <v xml:space="preserve">http://localhost:4001/api/simInvBtc/resultado/CREAR_POR_BODY/{ "compraAño": 2022, "compraMes": 2, "compraDia": 25, "precioEntradaUsd": 210.5, "importeInicialUsd": 50, "compraCotizacionUsd": 39214.22, "importeCriptoComprado": 0.00127504767403253, "importeArsInvertido": 10525, "inversorEmail": "inversor1@correo.com", "InversorComentario": "Prueba inversor 1"} </v>
      </c>
    </row>
    <row r="16" spans="1:12" ht="38.25">
      <c r="A16">
        <v>2022</v>
      </c>
      <c r="B16">
        <v>3</v>
      </c>
      <c r="C16">
        <v>25</v>
      </c>
      <c r="D16" s="2">
        <v>202</v>
      </c>
      <c r="E16">
        <v>50</v>
      </c>
      <c r="F16" s="2">
        <v>44348.73</v>
      </c>
      <c r="G16" s="3">
        <v>1.1274280007567299E-3</v>
      </c>
      <c r="H16" s="2">
        <v>10100</v>
      </c>
      <c r="I16" s="4" t="s">
        <v>13</v>
      </c>
      <c r="J16" s="4" t="s">
        <v>14</v>
      </c>
      <c r="L16" s="121" t="str">
        <f t="shared" si="0"/>
        <v xml:space="preserve">http://localhost:4001/api/simInvBtc/resultado/CREAR_POR_BODY/{ "compraAño": 2022, "compraMes": 3, "compraDia": 25, "precioEntradaUsd": 202, "importeInicialUsd": 50, "compraCotizacionUsd": 44348.73, "importeCriptoComprado": 0.00112742800075673, "importeArsInvertido": 10100, "inversorEmail": "inversor1@correo.com", "InversorComentario": "Prueba inversor 1"} </v>
      </c>
    </row>
    <row r="17" spans="1:12" ht="38.25">
      <c r="A17">
        <v>2022</v>
      </c>
      <c r="B17">
        <v>4</v>
      </c>
      <c r="C17">
        <v>29</v>
      </c>
      <c r="D17" s="2">
        <v>199</v>
      </c>
      <c r="E17">
        <v>50</v>
      </c>
      <c r="F17" s="2">
        <v>38609.82</v>
      </c>
      <c r="G17" s="3">
        <v>1.2950073323315201E-3</v>
      </c>
      <c r="H17" s="2">
        <v>9950</v>
      </c>
      <c r="I17" t="s">
        <v>13</v>
      </c>
      <c r="J17" t="s">
        <v>14</v>
      </c>
      <c r="L17" s="121" t="str">
        <f t="shared" si="0"/>
        <v xml:space="preserve">http://localhost:4001/api/simInvBtc/resultado/CREAR_POR_BODY/{ "compraAño": 2022, "compraMes": 4, "compraDia": 29, "precioEntradaUsd": 199, "importeInicialUsd": 50, "compraCotizacionUsd": 38609.82, "importeCriptoComprado": 0.00129500733233152, "importeArsInvertido": 9950, "inversorEmail": "inversor1@correo.com", "InversorComentario": "Prueba inversor 1"} </v>
      </c>
    </row>
    <row r="21" spans="1:12">
      <c r="B21" t="s">
        <v>15</v>
      </c>
    </row>
    <row r="23" spans="1:12">
      <c r="B23" t="s">
        <v>15</v>
      </c>
    </row>
    <row r="25" spans="1:12">
      <c r="B25" t="s">
        <v>15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D14" sqref="D14"/>
    </sheetView>
  </sheetViews>
  <sheetFormatPr baseColWidth="10" defaultColWidth="9.140625" defaultRowHeight="12.75"/>
  <cols>
    <col min="1" max="1" width="18.5703125" customWidth="1"/>
    <col min="2" max="2" width="46" bestFit="1" customWidth="1"/>
    <col min="3" max="3" width="14.140625" customWidth="1"/>
    <col min="4" max="4" width="12.5703125" customWidth="1"/>
    <col min="5" max="5" width="11.28515625" bestFit="1" customWidth="1"/>
    <col min="6" max="6" width="12.5703125" customWidth="1"/>
    <col min="7" max="7" width="10.7109375" customWidth="1"/>
    <col min="8" max="1022" width="12.5703125" customWidth="1"/>
    <col min="1023" max="1025" width="11.5703125"/>
  </cols>
  <sheetData>
    <row r="1" spans="1:8" ht="15">
      <c r="A1" s="5" t="s">
        <v>16</v>
      </c>
      <c r="B1" s="127">
        <f ca="1">NOW()</f>
        <v>44693.230661458336</v>
      </c>
      <c r="C1" s="127"/>
      <c r="D1" s="127"/>
      <c r="E1" s="6"/>
      <c r="F1" s="6"/>
      <c r="H1" s="7"/>
    </row>
    <row r="2" spans="1:8" ht="15">
      <c r="A2" s="5" t="s">
        <v>17</v>
      </c>
      <c r="B2" s="8" t="s">
        <v>18</v>
      </c>
      <c r="C2" s="6"/>
      <c r="D2" s="6"/>
      <c r="E2" s="6"/>
      <c r="F2" s="6"/>
      <c r="H2" s="7"/>
    </row>
    <row r="3" spans="1:8" ht="15">
      <c r="A3" s="128" t="s">
        <v>19</v>
      </c>
      <c r="B3" s="9" t="s">
        <v>20</v>
      </c>
      <c r="C3" s="9" t="s">
        <v>21</v>
      </c>
      <c r="D3" s="9" t="s">
        <v>22</v>
      </c>
      <c r="E3" s="129" t="s">
        <v>23</v>
      </c>
      <c r="F3" s="129"/>
      <c r="G3" s="10"/>
      <c r="H3" s="11"/>
    </row>
    <row r="4" spans="1:8" ht="15">
      <c r="A4" s="128"/>
      <c r="B4" s="12" t="e">
        <f ca="1">D4</f>
        <v>#VALUE!</v>
      </c>
      <c r="C4" s="13">
        <f ca="1">IFERROR(__xludf.dummyfunction("GOOGLEFINANCE(""CURRENCY:USDARS"")"),117.0911)</f>
        <v>117.0911</v>
      </c>
      <c r="D4" s="14" t="e">
        <f ca="1">DolarHoy!A3</f>
        <v>#VALUE!</v>
      </c>
      <c r="E4" s="15" t="e">
        <f ca="1">D4-C4</f>
        <v>#VALUE!</v>
      </c>
      <c r="F4" s="16" t="e">
        <f ca="1">(1-(B4/C4))*-1</f>
        <v>#VALUE!</v>
      </c>
      <c r="G4" s="11"/>
      <c r="H4" s="11"/>
    </row>
    <row r="5" spans="1:8" ht="15">
      <c r="C5" s="6"/>
      <c r="D5" s="6"/>
      <c r="E5" s="6"/>
      <c r="F5" s="6"/>
      <c r="G5" s="10"/>
      <c r="H5" s="11"/>
    </row>
    <row r="6" spans="1:8" ht="15">
      <c r="C6" s="6"/>
      <c r="D6" s="6"/>
      <c r="E6" s="6"/>
      <c r="F6" s="6"/>
      <c r="G6" s="5"/>
      <c r="H6" s="17"/>
    </row>
    <row r="7" spans="1:8" ht="44.25" customHeight="1">
      <c r="C7" s="130" t="s">
        <v>24</v>
      </c>
      <c r="D7" s="130"/>
    </row>
    <row r="8" spans="1:8" ht="15">
      <c r="A8" s="19" t="s">
        <v>25</v>
      </c>
      <c r="B8" s="19" t="s">
        <v>26</v>
      </c>
      <c r="C8" s="18" t="s">
        <v>27</v>
      </c>
      <c r="D8" s="18" t="s">
        <v>28</v>
      </c>
    </row>
    <row r="9" spans="1:8" ht="14.25">
      <c r="A9" s="20" t="s">
        <v>29</v>
      </c>
      <c r="B9" s="21" t="s">
        <v>30</v>
      </c>
      <c r="C9" s="22" t="str">
        <f t="shared" ref="C9:C19" si="0">B9&amp;$D$8</f>
        <v>BTCUSDT</v>
      </c>
      <c r="D9" s="13">
        <f ca="1">IFERROR(__xludf.dummyfunction("VALUE(SUBSTITUTE(REGEXEXTRACT(INDEX(IMPORTDATA(""https://api.binance.com/api/v3/ticker/price?symbol=""&amp;G9),1,2),""[\d.]+""),""."","",""))"),29432.19)</f>
        <v>29432.19</v>
      </c>
    </row>
    <row r="10" spans="1:8" ht="14.25">
      <c r="A10" s="20" t="s">
        <v>31</v>
      </c>
      <c r="B10" s="21" t="s">
        <v>32</v>
      </c>
      <c r="C10" s="22" t="str">
        <f t="shared" si="0"/>
        <v>ETHUSDT</v>
      </c>
      <c r="D10" s="13">
        <f ca="1">IFERROR(__xludf.dummyfunction("VALUE(SUBSTITUTE(REGEXEXTRACT(INDEX(IMPORTDATA(""https://api.binance.com/api/v3/ticker/price?symbol=""&amp;G10),1,2),""[\d.]+""),""."","",""))"),2138.06)</f>
        <v>2138.06</v>
      </c>
    </row>
    <row r="11" spans="1:8" ht="14.25">
      <c r="A11" s="23" t="s">
        <v>33</v>
      </c>
      <c r="B11" s="24" t="s">
        <v>34</v>
      </c>
      <c r="C11" s="22" t="str">
        <f t="shared" si="0"/>
        <v>ADAUSDT</v>
      </c>
      <c r="D11" s="13">
        <f ca="1">IFERROR(__xludf.dummyfunction("VALUE(SUBSTITUTE(REGEXEXTRACT(INDEX(IMPORTDATA(""https://api.binance.com/api/v3/ticker/price?symbol=""&amp;G11),1,2),""[\d.]+""),""."","",""))"),0.5323)</f>
        <v>0.5323</v>
      </c>
    </row>
    <row r="12" spans="1:8" ht="14.25">
      <c r="A12" s="23" t="s">
        <v>35</v>
      </c>
      <c r="B12" s="24" t="s">
        <v>36</v>
      </c>
      <c r="C12" s="22" t="str">
        <f t="shared" si="0"/>
        <v>ATOMUSDT</v>
      </c>
      <c r="D12" s="13">
        <f ca="1">IFERROR(__xludf.dummyfunction("VALUE(SUBSTITUTE(REGEXEXTRACT(INDEX(IMPORTDATA(""https://api.binance.com/api/v3/ticker/price?symbol=""&amp;G12),1,2),""[\d.]+""),""."","",""))"),10.83)</f>
        <v>10.83</v>
      </c>
    </row>
    <row r="13" spans="1:8" ht="14.25">
      <c r="A13" s="23" t="s">
        <v>37</v>
      </c>
      <c r="B13" s="24" t="s">
        <v>38</v>
      </c>
      <c r="C13" s="22" t="str">
        <f t="shared" si="0"/>
        <v>ZILUSDT</v>
      </c>
      <c r="D13" s="13">
        <f ca="1">IFERROR(__xludf.dummyfunction("VALUE(SUBSTITUTE(REGEXEXTRACT(INDEX(IMPORTDATA(""https://api.binance.com/api/v3/ticker/price?symbol=""&amp;G13),1,2),""[\d.]+""),""."","",""))"),0.05289)</f>
        <v>5.289E-2</v>
      </c>
    </row>
    <row r="14" spans="1:8" ht="14.25">
      <c r="A14" s="23" t="s">
        <v>39</v>
      </c>
      <c r="B14" s="24" t="s">
        <v>39</v>
      </c>
      <c r="C14" s="22" t="str">
        <f t="shared" si="0"/>
        <v>NEOUSDT</v>
      </c>
      <c r="D14" s="13">
        <f ca="1">IFERROR(__xludf.dummyfunction("VALUE(SUBSTITUTE(REGEXEXTRACT(INDEX(IMPORTDATA(""https://api.binance.com/api/v3/ticker/price?symbol=""&amp;G14),1,2),""[\d.]+""),""."","",""))"),10.78)</f>
        <v>10.78</v>
      </c>
    </row>
    <row r="15" spans="1:8" ht="14.25">
      <c r="A15" s="25" t="s">
        <v>40</v>
      </c>
      <c r="B15" s="26" t="s">
        <v>41</v>
      </c>
      <c r="C15" s="22" t="str">
        <f t="shared" si="0"/>
        <v>LINKUSDT</v>
      </c>
      <c r="D15" s="13">
        <f ca="1">IFERROR(__xludf.dummyfunction("VALUE(SUBSTITUTE(REGEXEXTRACT(INDEX(IMPORTDATA(""https://api.binance.com/api/v3/ticker/price?symbol=""&amp;G15),1,2),""[\d.]+""),""."","",""))"),7.05)</f>
        <v>7.05</v>
      </c>
    </row>
    <row r="16" spans="1:8" ht="14.25">
      <c r="A16" s="27" t="s">
        <v>42</v>
      </c>
      <c r="B16" s="26" t="s">
        <v>43</v>
      </c>
      <c r="C16" s="22" t="str">
        <f t="shared" si="0"/>
        <v>ICXUSDT</v>
      </c>
      <c r="D16" s="13">
        <f ca="1">IFERROR(__xludf.dummyfunction("VALUE(SUBSTITUTE(REGEXEXTRACT(INDEX(IMPORTDATA(""https://api.binance.com/api/v3/ticker/price?symbol=""&amp;G16),1,2),""[\d.]+""),""."","",""))"),0.4)</f>
        <v>0.4</v>
      </c>
    </row>
    <row r="17" spans="1:4" ht="14.25">
      <c r="A17" s="28" t="s">
        <v>44</v>
      </c>
      <c r="B17" s="29" t="s">
        <v>45</v>
      </c>
      <c r="C17" s="22" t="str">
        <f t="shared" si="0"/>
        <v>XTZUSDT</v>
      </c>
      <c r="D17" s="13">
        <f ca="1">IFERROR(__xludf.dummyfunction("VALUE(SUBSTITUTE(REGEXEXTRACT(INDEX(IMPORTDATA(""https://api.binance.com/api/v3/ticker/price?symbol=""&amp;G17),1,2),""[\d.]+""),""."","",""))"),1.784)</f>
        <v>1.784</v>
      </c>
    </row>
    <row r="18" spans="1:4" ht="14.25">
      <c r="A18" s="5" t="s">
        <v>46</v>
      </c>
      <c r="B18" s="5" t="s">
        <v>46</v>
      </c>
      <c r="C18" s="22" t="str">
        <f t="shared" si="0"/>
        <v>DAIUSDT</v>
      </c>
      <c r="D18" s="13">
        <f ca="1">IFERROR(__xludf.dummyfunction("VALUE(SUBSTITUTE(REGEXEXTRACT(INDEX(IMPORTDATA(""https://api.binance.com/api/v3/ticker/price?symbol=""&amp;G18),1,2),""[\d.]+""),""."","",""))"),1.0189)</f>
        <v>1.0188999999999999</v>
      </c>
    </row>
    <row r="19" spans="1:4" ht="14.25">
      <c r="A19" s="5" t="s">
        <v>47</v>
      </c>
      <c r="B19" s="5" t="s">
        <v>47</v>
      </c>
      <c r="C19" s="22" t="str">
        <f t="shared" si="0"/>
        <v>USDUSDT</v>
      </c>
      <c r="D19" s="13" t="str">
        <f ca="1">IFERROR(__xludf.dummyfunction("VALUE(SUBSTITUTE(REGEXEXTRACT(INDEX(IMPORTDATA(""https://api.binance.com/api/v3/ticker/price?symbol=""&amp;G19),1,2),""[\d.]+""),""."","",""))"),"#N/A")</f>
        <v>#N/A</v>
      </c>
    </row>
  </sheetData>
  <mergeCells count="4">
    <mergeCell ref="B1:D1"/>
    <mergeCell ref="A3:A4"/>
    <mergeCell ref="E3:F3"/>
    <mergeCell ref="C7:D7"/>
  </mergeCells>
  <hyperlinks>
    <hyperlink ref="B2" r:id="rId1"/>
    <hyperlink ref="B11" r:id="rId2"/>
    <hyperlink ref="B12" r:id="rId3"/>
    <hyperlink ref="B13" r:id="rId4"/>
    <hyperlink ref="B14" r:id="rId5"/>
    <hyperlink ref="B15" r:id="rId6"/>
    <hyperlink ref="B16" r:id="rId7"/>
    <hyperlink ref="B17" r:id="rId8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zoomScaleNormal="100" workbookViewId="0">
      <selection activeCell="A3" sqref="A3"/>
    </sheetView>
  </sheetViews>
  <sheetFormatPr baseColWidth="10" defaultColWidth="9.140625" defaultRowHeight="12.75"/>
  <cols>
    <col min="1" max="8" width="12.5703125" customWidth="1"/>
    <col min="9" max="9" width="13.85546875" customWidth="1"/>
    <col min="10" max="1025" width="12.5703125" customWidth="1"/>
  </cols>
  <sheetData>
    <row r="1" spans="1:13" ht="14.25">
      <c r="A1" s="5" t="s">
        <v>48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</row>
    <row r="2" spans="1:13" ht="14.25">
      <c r="A2" s="30" t="str">
        <f ca="1">IFERROR(__xludf.dummyfunction("importdata(""https://api.bluelytics.com.ar/v2/latest"")"),"{""oficial"":{""value_avg"":119.50")</f>
        <v>{"oficial":{"value_avg":119.50</v>
      </c>
      <c r="B2" s="30" t="str">
        <f ca="1">IFERROR(__xludf.dummyfunction("""COMPUTED_VALUE"""),"value_sell:122.50")</f>
        <v>value_sell:122.50</v>
      </c>
      <c r="C2" s="30" t="str">
        <f ca="1">IFERROR(__xludf.dummyfunction("""COMPUTED_VALUE"""),"value_buy:116.50}")</f>
        <v>value_buy:116.50}</v>
      </c>
      <c r="D2" s="30" t="str">
        <f ca="1">IFERROR(__xludf.dummyfunction("""COMPUTED_VALUE"""),"blue:{""value_avg"":203.00")</f>
        <v>blue:{"value_avg":203.00</v>
      </c>
      <c r="E2" s="30" t="str">
        <f ca="1">IFERROR(__xludf.dummyfunction("""COMPUTED_VALUE"""),"value_sell:205.00")</f>
        <v>value_sell:205.00</v>
      </c>
      <c r="F2" s="30" t="str">
        <f ca="1">IFERROR(__xludf.dummyfunction("""COMPUTED_VALUE"""),"value_buy:201.00}")</f>
        <v>value_buy:201.00}</v>
      </c>
      <c r="G2" s="30" t="str">
        <f ca="1">IFERROR(__xludf.dummyfunction("""COMPUTED_VALUE"""),"oficial_euro:{""value_avg"":128.49")</f>
        <v>oficial_euro:{"value_avg":128.49</v>
      </c>
      <c r="H2" s="30" t="str">
        <f ca="1">IFERROR(__xludf.dummyfunction("""COMPUTED_VALUE"""),"value_sell:131.72")</f>
        <v>value_sell:131.72</v>
      </c>
      <c r="I2" s="31" t="str">
        <f ca="1">IFERROR(__xludf.dummyfunction("""COMPUTED_VALUE"""),"value_buy:125.27}")</f>
        <v>value_buy:125.27}</v>
      </c>
      <c r="J2" s="30" t="str">
        <f ca="1">IFERROR(__xludf.dummyfunction("""COMPUTED_VALUE"""),"blue_euro:{""value_avg"":218.28")</f>
        <v>blue_euro:{"value_avg":218.28</v>
      </c>
      <c r="K2" s="30" t="str">
        <f ca="1">IFERROR(__xludf.dummyfunction("""COMPUTED_VALUE"""),"value_sell:220.43")</f>
        <v>value_sell:220.43</v>
      </c>
      <c r="L2" s="30" t="str">
        <f ca="1">IFERROR(__xludf.dummyfunction("""COMPUTED_VALUE"""),"value_buy:216.13}")</f>
        <v>value_buy:216.13}</v>
      </c>
      <c r="M2" s="30" t="str">
        <f ca="1">IFERROR(__xludf.dummyfunction("""COMPUTED_VALUE"""),"last_update:""2022-05-11T17:05:31.441971-03:00""}")</f>
        <v>last_update:"2022-05-11T17:05:31.441971-03:00"}</v>
      </c>
    </row>
    <row r="3" spans="1:13" ht="14.25">
      <c r="A3" s="7" t="e">
        <f ca="1">VALUE(SUBSTITUTE(MID(INDIRECT(ADDRESS(ROW()-1,COLUMN()+4)), 12,6),".",","))</f>
        <v>#VALUE!</v>
      </c>
      <c r="I3" s="31"/>
    </row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48576"/>
  <sheetViews>
    <sheetView zoomScaleNormal="100" workbookViewId="0">
      <pane ySplit="11" topLeftCell="A12" activePane="bottomLeft" state="frozen"/>
      <selection pane="bottomLeft" activeCell="B13" sqref="B13"/>
    </sheetView>
  </sheetViews>
  <sheetFormatPr baseColWidth="10" defaultColWidth="9.140625" defaultRowHeight="12.75"/>
  <cols>
    <col min="1" max="1" width="14.85546875" customWidth="1"/>
    <col min="2" max="2" width="10.7109375" customWidth="1"/>
    <col min="3" max="3" width="9.42578125" customWidth="1"/>
    <col min="4" max="4" width="11" customWidth="1"/>
    <col min="5" max="5" width="12.28515625" customWidth="1"/>
    <col min="6" max="8" width="9.5703125" customWidth="1"/>
    <col min="9" max="9" width="12.5703125" customWidth="1"/>
    <col min="10" max="10" width="11.42578125" customWidth="1"/>
    <col min="11" max="11" width="12.85546875" customWidth="1"/>
    <col min="12" max="12" width="11.140625" customWidth="1"/>
    <col min="13" max="14" width="9.7109375" customWidth="1"/>
    <col min="15" max="15" width="12.5703125" customWidth="1"/>
    <col min="16" max="16" width="44" customWidth="1"/>
    <col min="17" max="1025" width="12.5703125" customWidth="1"/>
  </cols>
  <sheetData>
    <row r="1" spans="1:31" ht="15">
      <c r="A1" s="32"/>
      <c r="B1" s="33">
        <f ca="1">TODAY()</f>
        <v>44693</v>
      </c>
      <c r="F1" s="7"/>
      <c r="G1" s="7"/>
      <c r="L1" s="34"/>
    </row>
    <row r="2" spans="1:31" ht="15.75" customHeight="1">
      <c r="D2" s="22" t="s">
        <v>49</v>
      </c>
      <c r="E2" s="35" t="e">
        <f ca="1">'Ultimas Cotizaciones Cripto '!B4</f>
        <v>#VALUE!</v>
      </c>
      <c r="F2" s="132" t="s">
        <v>50</v>
      </c>
      <c r="G2" s="132"/>
      <c r="H2" s="132"/>
      <c r="I2" s="132"/>
      <c r="J2" s="132"/>
      <c r="K2" s="132"/>
      <c r="L2" s="133" t="s">
        <v>51</v>
      </c>
    </row>
    <row r="3" spans="1:31" ht="15">
      <c r="D3" s="22"/>
      <c r="E3" s="37" t="s">
        <v>52</v>
      </c>
      <c r="F3" s="134" t="e">
        <f ca="1">(1-(L4/E4))*-1</f>
        <v>#VALUE!</v>
      </c>
      <c r="G3" s="134"/>
      <c r="H3" s="134"/>
      <c r="I3" s="134"/>
      <c r="J3" s="134"/>
      <c r="K3" s="134"/>
      <c r="L3" s="133"/>
    </row>
    <row r="4" spans="1:31" ht="42.75">
      <c r="D4" s="38" t="s">
        <v>53</v>
      </c>
      <c r="E4" s="39" t="e">
        <f ca="1">E9*E2</f>
        <v>#VALUE!</v>
      </c>
      <c r="F4" s="134"/>
      <c r="G4" s="134"/>
      <c r="H4" s="134"/>
      <c r="I4" s="134"/>
      <c r="J4" s="134"/>
      <c r="K4" s="134"/>
      <c r="L4" s="135" t="e">
        <f ca="1">E2*L9</f>
        <v>#VALUE!</v>
      </c>
    </row>
    <row r="5" spans="1:31" ht="42.75">
      <c r="D5" s="38" t="s">
        <v>54</v>
      </c>
      <c r="E5" s="40">
        <f>SUM(G12:G25)</f>
        <v>127227.72865</v>
      </c>
      <c r="F5" s="136" t="e">
        <f ca="1">(1-(L4/E5))*-1</f>
        <v>#VALUE!</v>
      </c>
      <c r="G5" s="136"/>
      <c r="H5" s="136"/>
      <c r="I5" s="136"/>
      <c r="J5" s="136"/>
      <c r="K5" s="136"/>
      <c r="L5" s="135"/>
    </row>
    <row r="6" spans="1:31" ht="14.25">
      <c r="D6" s="5"/>
      <c r="F6" s="7"/>
      <c r="G6" s="7"/>
    </row>
    <row r="7" spans="1:31" ht="15">
      <c r="D7" s="5"/>
      <c r="F7" s="7"/>
      <c r="G7" s="7"/>
      <c r="L7" s="36" t="s">
        <v>55</v>
      </c>
      <c r="M7" s="36" t="s">
        <v>56</v>
      </c>
    </row>
    <row r="8" spans="1:31" ht="45">
      <c r="F8" s="7"/>
      <c r="G8" s="7"/>
      <c r="K8" s="32" t="s">
        <v>57</v>
      </c>
      <c r="L8" s="41">
        <f>L9-E9</f>
        <v>-635.51487434782621</v>
      </c>
      <c r="M8" s="131">
        <f>(1-(L9/E9))*-1</f>
        <v>-1</v>
      </c>
    </row>
    <row r="9" spans="1:31" ht="45">
      <c r="D9" s="32" t="s">
        <v>58</v>
      </c>
      <c r="E9" s="42">
        <f>SUM(E12:E32)</f>
        <v>635.51487434782621</v>
      </c>
      <c r="F9" s="7"/>
      <c r="G9" s="7"/>
      <c r="K9" s="32" t="s">
        <v>59</v>
      </c>
      <c r="L9" s="41">
        <f>SUM(L12:L32)</f>
        <v>0</v>
      </c>
      <c r="M9" s="131"/>
    </row>
    <row r="10" spans="1:31" ht="15">
      <c r="E10" s="43"/>
      <c r="F10" s="7"/>
      <c r="G10" s="7"/>
      <c r="L10" s="43"/>
    </row>
    <row r="11" spans="1:31" ht="60">
      <c r="A11" s="19" t="s">
        <v>25</v>
      </c>
      <c r="B11" s="19" t="s">
        <v>26</v>
      </c>
      <c r="C11" s="44" t="s">
        <v>60</v>
      </c>
      <c r="D11" s="44" t="s">
        <v>61</v>
      </c>
      <c r="E11" s="44" t="s">
        <v>62</v>
      </c>
      <c r="F11" s="45" t="s">
        <v>63</v>
      </c>
      <c r="G11" s="45" t="s">
        <v>64</v>
      </c>
      <c r="H11" s="46" t="s">
        <v>65</v>
      </c>
      <c r="I11" s="47" t="s">
        <v>66</v>
      </c>
      <c r="J11" s="48" t="s">
        <v>67</v>
      </c>
      <c r="K11" s="47" t="s">
        <v>68</v>
      </c>
      <c r="L11" s="49" t="s">
        <v>69</v>
      </c>
      <c r="M11" s="49" t="s">
        <v>70</v>
      </c>
      <c r="N11" s="50" t="s">
        <v>71</v>
      </c>
      <c r="O11" s="19" t="s">
        <v>72</v>
      </c>
      <c r="P11" s="19" t="s">
        <v>73</v>
      </c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</row>
    <row r="12" spans="1:31" ht="42.75">
      <c r="A12" s="23" t="s">
        <v>30</v>
      </c>
      <c r="B12" s="52" t="s">
        <v>30</v>
      </c>
      <c r="C12" s="53">
        <v>44405</v>
      </c>
      <c r="D12" s="54">
        <v>40008.42</v>
      </c>
      <c r="E12" s="55">
        <v>100.23520000000001</v>
      </c>
      <c r="F12" s="54">
        <v>180</v>
      </c>
      <c r="G12" s="54">
        <f>E12*F12</f>
        <v>18042.335999999999</v>
      </c>
      <c r="H12" s="56">
        <v>2.5038999999999999E-3</v>
      </c>
      <c r="I12" s="57"/>
      <c r="J12" s="58">
        <f>VLOOKUP($B12,'Ultimas Cotizaciones Cripto '!$B$9:$H$101,7,0)</f>
        <v>0</v>
      </c>
      <c r="K12" s="59">
        <f t="shared" ref="K12:K21" si="0">IFERROR((((J12) -D12)/D12),"")</f>
        <v>-1</v>
      </c>
      <c r="L12" s="60">
        <f t="shared" ref="L12:L21" si="1">IF(D12&lt;&gt;"",IFERROR($E12+$E12*K12,""),"")</f>
        <v>0</v>
      </c>
      <c r="M12" s="60">
        <f t="shared" ref="M12:M20" si="2">L12-E12</f>
        <v>-100.23520000000001</v>
      </c>
      <c r="N12" s="61"/>
      <c r="O12" s="62"/>
      <c r="P12" s="62" t="s">
        <v>74</v>
      </c>
    </row>
    <row r="13" spans="1:31" ht="42.75">
      <c r="A13" s="23" t="s">
        <v>30</v>
      </c>
      <c r="B13" s="52"/>
      <c r="C13" s="53">
        <v>44461</v>
      </c>
      <c r="D13" s="54">
        <v>44895.1</v>
      </c>
      <c r="E13" s="55">
        <v>28.054970000000001</v>
      </c>
      <c r="F13" s="54">
        <v>185</v>
      </c>
      <c r="G13" s="54">
        <f>E13*F13</f>
        <v>5190.1694500000003</v>
      </c>
      <c r="H13" s="56">
        <v>6.5439999999999997E-4</v>
      </c>
      <c r="I13" s="57"/>
      <c r="J13" s="58" t="e">
        <f>VLOOKUP($B13,'Ultimas Cotizaciones Cripto '!$B$9:$H$101,7,0)</f>
        <v>#N/A</v>
      </c>
      <c r="K13" s="59" t="str">
        <f t="shared" si="0"/>
        <v/>
      </c>
      <c r="L13" s="60" t="str">
        <f t="shared" si="1"/>
        <v/>
      </c>
      <c r="M13" s="60" t="e">
        <f t="shared" si="2"/>
        <v>#VALUE!</v>
      </c>
      <c r="N13" s="61"/>
      <c r="O13" s="62"/>
      <c r="P13" s="62" t="s">
        <v>75</v>
      </c>
    </row>
    <row r="14" spans="1:31" ht="42.75">
      <c r="A14" s="23" t="s">
        <v>30</v>
      </c>
      <c r="B14" s="52" t="s">
        <v>30</v>
      </c>
      <c r="C14" s="63">
        <v>44464</v>
      </c>
      <c r="D14" s="54">
        <v>43208.54</v>
      </c>
      <c r="E14" s="55">
        <v>79.674800000000005</v>
      </c>
      <c r="F14" s="54">
        <v>185</v>
      </c>
      <c r="G14" s="54">
        <f>E14*F14</f>
        <v>14739.838000000002</v>
      </c>
      <c r="H14" s="56">
        <v>1.8345E-3</v>
      </c>
      <c r="I14" s="57"/>
      <c r="J14" s="58">
        <f>VLOOKUP($B14,'Ultimas Cotizaciones Cripto '!$B$9:$H$101,7,0)</f>
        <v>0</v>
      </c>
      <c r="K14" s="59">
        <f t="shared" si="0"/>
        <v>-1</v>
      </c>
      <c r="L14" s="60">
        <f t="shared" si="1"/>
        <v>0</v>
      </c>
      <c r="M14" s="60">
        <f t="shared" si="2"/>
        <v>-79.674800000000005</v>
      </c>
      <c r="N14" s="61"/>
      <c r="O14" s="62"/>
      <c r="P14" s="62" t="s">
        <v>76</v>
      </c>
    </row>
    <row r="15" spans="1:31" ht="42.75">
      <c r="A15" s="23" t="s">
        <v>30</v>
      </c>
      <c r="B15" s="52" t="s">
        <v>30</v>
      </c>
      <c r="C15" s="63">
        <v>44527</v>
      </c>
      <c r="D15" s="54">
        <v>54476.99</v>
      </c>
      <c r="E15" s="64">
        <v>54.546931677018598</v>
      </c>
      <c r="F15" s="54">
        <v>201.25</v>
      </c>
      <c r="G15" s="54">
        <v>10977.57</v>
      </c>
      <c r="H15" s="56">
        <v>9.3139999999999998E-4</v>
      </c>
      <c r="I15" s="57"/>
      <c r="J15" s="58">
        <f>VLOOKUP($B15,'Ultimas Cotizaciones Cripto '!$B$9:$H$101,7,0)</f>
        <v>0</v>
      </c>
      <c r="K15" s="59">
        <f t="shared" si="0"/>
        <v>-1</v>
      </c>
      <c r="L15" s="60">
        <f t="shared" si="1"/>
        <v>0</v>
      </c>
      <c r="M15" s="60">
        <f t="shared" si="2"/>
        <v>-54.546931677018598</v>
      </c>
      <c r="N15" s="61"/>
      <c r="O15" s="62"/>
      <c r="P15" s="62" t="s">
        <v>77</v>
      </c>
    </row>
    <row r="16" spans="1:31" ht="42.75">
      <c r="A16" s="23" t="s">
        <v>78</v>
      </c>
      <c r="B16" s="65" t="s">
        <v>46</v>
      </c>
      <c r="C16" s="63">
        <v>44511</v>
      </c>
      <c r="D16" s="54">
        <v>1.069</v>
      </c>
      <c r="E16" s="55">
        <v>116.7136</v>
      </c>
      <c r="F16" s="54">
        <v>207</v>
      </c>
      <c r="G16" s="54">
        <f>E16*F16</f>
        <v>24159.715199999999</v>
      </c>
      <c r="H16" s="56">
        <v>116.33317</v>
      </c>
      <c r="I16" s="57"/>
      <c r="J16" s="58">
        <f>VLOOKUP($B16,'Ultimas Cotizaciones Cripto '!$B$9:$H$101,7,0)</f>
        <v>0</v>
      </c>
      <c r="K16" s="59">
        <f t="shared" si="0"/>
        <v>-1</v>
      </c>
      <c r="L16" s="60">
        <f t="shared" si="1"/>
        <v>0</v>
      </c>
      <c r="M16" s="60">
        <f t="shared" si="2"/>
        <v>-116.7136</v>
      </c>
      <c r="N16" s="61"/>
      <c r="O16" s="62"/>
      <c r="P16" s="62" t="s">
        <v>79</v>
      </c>
    </row>
    <row r="17" spans="1:17" ht="42.75">
      <c r="A17" s="23" t="s">
        <v>78</v>
      </c>
      <c r="B17" s="65" t="s">
        <v>46</v>
      </c>
      <c r="C17" s="63">
        <v>44527</v>
      </c>
      <c r="D17" s="54">
        <v>1</v>
      </c>
      <c r="E17" s="64">
        <v>50.276372670807497</v>
      </c>
      <c r="F17" s="54">
        <v>201.25</v>
      </c>
      <c r="G17" s="54">
        <v>10118.120000000001</v>
      </c>
      <c r="H17" s="56">
        <v>46.799860000000002</v>
      </c>
      <c r="I17" s="57"/>
      <c r="J17" s="58">
        <f>VLOOKUP($B17,'Ultimas Cotizaciones Cripto '!$B$9:$H$101,7,0)</f>
        <v>0</v>
      </c>
      <c r="K17" s="59">
        <f t="shared" si="0"/>
        <v>-1</v>
      </c>
      <c r="L17" s="60">
        <f t="shared" si="1"/>
        <v>0</v>
      </c>
      <c r="M17" s="60">
        <f t="shared" si="2"/>
        <v>-50.276372670807497</v>
      </c>
      <c r="N17" s="61"/>
      <c r="O17" s="62"/>
      <c r="P17" s="62" t="s">
        <v>80</v>
      </c>
      <c r="Q17" s="30" t="e">
        <f ca="1">G17/E2</f>
        <v>#VALUE!</v>
      </c>
    </row>
    <row r="18" spans="1:17" ht="42.75">
      <c r="A18" s="23" t="s">
        <v>78</v>
      </c>
      <c r="B18" s="65" t="s">
        <v>46</v>
      </c>
      <c r="C18" s="63">
        <v>44581</v>
      </c>
      <c r="D18" s="54">
        <v>1.0188999999999999</v>
      </c>
      <c r="E18" s="55">
        <v>102.18300000000001</v>
      </c>
      <c r="F18" s="54">
        <v>215.3</v>
      </c>
      <c r="G18" s="54">
        <v>21999.99</v>
      </c>
      <c r="H18" s="56">
        <v>102.18300000000001</v>
      </c>
      <c r="I18" s="57"/>
      <c r="J18" s="58">
        <f>VLOOKUP($B18,'Ultimas Cotizaciones Cripto '!$B$9:$H$101,7,0)</f>
        <v>0</v>
      </c>
      <c r="K18" s="59">
        <f t="shared" si="0"/>
        <v>-1</v>
      </c>
      <c r="L18" s="60">
        <f t="shared" si="1"/>
        <v>0</v>
      </c>
      <c r="M18" s="60">
        <f t="shared" si="2"/>
        <v>-102.18300000000001</v>
      </c>
      <c r="N18" s="61"/>
      <c r="O18" s="62"/>
      <c r="P18" s="62" t="s">
        <v>81</v>
      </c>
    </row>
    <row r="19" spans="1:17" ht="42.75">
      <c r="A19" s="23" t="s">
        <v>78</v>
      </c>
      <c r="B19" s="65" t="s">
        <v>46</v>
      </c>
      <c r="C19" s="63">
        <v>44609</v>
      </c>
      <c r="D19" s="54">
        <v>1.0188999999999999</v>
      </c>
      <c r="E19" s="55">
        <v>103.83</v>
      </c>
      <c r="F19" s="54" t="s">
        <v>82</v>
      </c>
      <c r="G19" s="54">
        <v>21999.99</v>
      </c>
      <c r="H19" s="56">
        <v>103.92064000000001</v>
      </c>
      <c r="I19" s="57"/>
      <c r="J19" s="58">
        <f>VLOOKUP($B19,'Ultimas Cotizaciones Cripto '!$B$9:$H$101,7,0)</f>
        <v>0</v>
      </c>
      <c r="K19" s="59">
        <f t="shared" si="0"/>
        <v>-1</v>
      </c>
      <c r="L19" s="60">
        <f t="shared" si="1"/>
        <v>0</v>
      </c>
      <c r="M19" s="60">
        <f t="shared" si="2"/>
        <v>-103.83</v>
      </c>
      <c r="N19" s="61"/>
      <c r="O19" s="62"/>
      <c r="P19" s="62" t="s">
        <v>83</v>
      </c>
    </row>
    <row r="20" spans="1:17" ht="15">
      <c r="A20" s="23"/>
      <c r="B20" s="23"/>
      <c r="C20" s="63"/>
      <c r="D20" s="54"/>
      <c r="E20" s="55"/>
      <c r="F20" s="54"/>
      <c r="G20" s="54"/>
      <c r="H20" s="56"/>
      <c r="I20" s="57"/>
      <c r="J20" s="66"/>
      <c r="K20" s="59" t="str">
        <f t="shared" si="0"/>
        <v/>
      </c>
      <c r="L20" s="60" t="str">
        <f t="shared" si="1"/>
        <v/>
      </c>
      <c r="M20" s="60" t="e">
        <f t="shared" si="2"/>
        <v>#VALUE!</v>
      </c>
      <c r="N20" s="61"/>
      <c r="O20" s="62"/>
      <c r="P20" s="62"/>
    </row>
    <row r="21" spans="1:17" ht="15">
      <c r="A21" s="23"/>
      <c r="B21" s="23"/>
      <c r="C21" s="53"/>
      <c r="D21" s="54"/>
      <c r="E21" s="55"/>
      <c r="F21" s="54"/>
      <c r="G21" s="54"/>
      <c r="H21" s="56"/>
      <c r="I21" s="57"/>
      <c r="J21" s="66"/>
      <c r="K21" s="59" t="str">
        <f t="shared" si="0"/>
        <v/>
      </c>
      <c r="L21" s="60" t="str">
        <f t="shared" si="1"/>
        <v/>
      </c>
      <c r="M21" s="60">
        <v>0</v>
      </c>
      <c r="N21" s="61"/>
      <c r="O21" s="62"/>
      <c r="P21" s="62"/>
    </row>
    <row r="1048576" ht="15.75" customHeight="1"/>
  </sheetData>
  <mergeCells count="6">
    <mergeCell ref="M8:M9"/>
    <mergeCell ref="F2:K2"/>
    <mergeCell ref="L2:L3"/>
    <mergeCell ref="F3:K4"/>
    <mergeCell ref="L4:L5"/>
    <mergeCell ref="F5:K5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"/>
  <sheetViews>
    <sheetView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baseColWidth="10" defaultColWidth="9.140625" defaultRowHeight="12.75"/>
  <cols>
    <col min="1" max="1" width="14.140625" customWidth="1"/>
    <col min="2" max="3" width="12.5703125" customWidth="1"/>
    <col min="4" max="4" width="12.5703125" hidden="1" customWidth="1"/>
    <col min="5" max="6" width="12.5703125" customWidth="1"/>
    <col min="7" max="7" width="17.140625" customWidth="1"/>
    <col min="8" max="10" width="12.5703125" customWidth="1"/>
    <col min="11" max="11" width="51.28515625" customWidth="1"/>
    <col min="12" max="12" width="20.28515625" customWidth="1"/>
    <col min="13" max="1025" width="12.5703125" customWidth="1"/>
  </cols>
  <sheetData>
    <row r="3" spans="1:12" ht="71.25">
      <c r="A3" s="19" t="s">
        <v>25</v>
      </c>
      <c r="B3" s="19" t="s">
        <v>26</v>
      </c>
      <c r="C3" s="19" t="s">
        <v>84</v>
      </c>
      <c r="D3" s="19"/>
      <c r="E3" s="19" t="s">
        <v>85</v>
      </c>
      <c r="F3" s="19" t="s">
        <v>86</v>
      </c>
      <c r="G3" s="19" t="s">
        <v>87</v>
      </c>
      <c r="H3" s="67" t="s">
        <v>88</v>
      </c>
      <c r="I3" s="19" t="s">
        <v>89</v>
      </c>
      <c r="J3" s="19" t="s">
        <v>72</v>
      </c>
      <c r="K3" s="19" t="s">
        <v>73</v>
      </c>
      <c r="L3" s="19" t="s">
        <v>90</v>
      </c>
    </row>
    <row r="4" spans="1:12" ht="57">
      <c r="A4" s="23" t="s">
        <v>37</v>
      </c>
      <c r="B4" s="24" t="s">
        <v>38</v>
      </c>
      <c r="C4" s="68">
        <v>2.0999999999999999E-3</v>
      </c>
      <c r="D4" s="57" t="s">
        <v>91</v>
      </c>
      <c r="E4" s="57">
        <v>4.0000000000000002E-4</v>
      </c>
      <c r="F4" s="62" t="s">
        <v>92</v>
      </c>
      <c r="G4" s="62" t="s">
        <v>93</v>
      </c>
      <c r="H4" s="62"/>
      <c r="I4" s="69">
        <v>0.15</v>
      </c>
      <c r="J4" s="62" t="s">
        <v>94</v>
      </c>
      <c r="K4" s="62" t="s">
        <v>95</v>
      </c>
      <c r="L4" s="70" t="s">
        <v>96</v>
      </c>
    </row>
    <row r="5" spans="1:12" ht="28.5">
      <c r="A5" s="23" t="s">
        <v>40</v>
      </c>
      <c r="B5" s="24" t="s">
        <v>41</v>
      </c>
      <c r="C5" s="68">
        <v>2.7300000000000001E-2</v>
      </c>
      <c r="D5" s="71" t="s">
        <v>97</v>
      </c>
      <c r="E5" s="71">
        <v>51</v>
      </c>
      <c r="F5" s="62"/>
      <c r="G5" s="62"/>
      <c r="H5" s="62"/>
      <c r="I5" s="62" t="s">
        <v>98</v>
      </c>
      <c r="J5" s="62" t="s">
        <v>94</v>
      </c>
      <c r="K5" s="62" t="s">
        <v>99</v>
      </c>
      <c r="L5" s="62"/>
    </row>
    <row r="6" spans="1:12" ht="28.5">
      <c r="A6" s="23" t="s">
        <v>33</v>
      </c>
      <c r="B6" s="24" t="s">
        <v>34</v>
      </c>
      <c r="C6" s="68">
        <v>0.38279999999999997</v>
      </c>
      <c r="D6" s="72" t="s">
        <v>34</v>
      </c>
      <c r="E6" s="72">
        <v>0.41149999999999998</v>
      </c>
      <c r="F6" s="62"/>
      <c r="G6" s="62"/>
      <c r="H6" s="62"/>
      <c r="I6" s="69">
        <v>0.05</v>
      </c>
      <c r="J6" s="62" t="s">
        <v>94</v>
      </c>
      <c r="K6" s="62" t="s">
        <v>100</v>
      </c>
      <c r="L6" s="70" t="s">
        <v>101</v>
      </c>
    </row>
    <row r="7" spans="1:12" ht="42.75">
      <c r="A7" s="23" t="s">
        <v>39</v>
      </c>
      <c r="B7" s="24" t="s">
        <v>39</v>
      </c>
      <c r="C7" s="68">
        <v>0</v>
      </c>
      <c r="D7" s="71" t="s">
        <v>102</v>
      </c>
      <c r="E7" s="71">
        <v>0</v>
      </c>
      <c r="F7" s="62"/>
      <c r="G7" s="62"/>
      <c r="H7" s="62"/>
      <c r="I7" s="73">
        <v>44287</v>
      </c>
      <c r="J7" s="62" t="s">
        <v>94</v>
      </c>
      <c r="K7" s="62" t="s">
        <v>103</v>
      </c>
      <c r="L7" s="70" t="s">
        <v>104</v>
      </c>
    </row>
    <row r="8" spans="1:12" ht="57">
      <c r="A8" s="23" t="s">
        <v>35</v>
      </c>
      <c r="B8" s="24" t="s">
        <v>36</v>
      </c>
      <c r="C8" s="68">
        <v>2.5000000000000001E-3</v>
      </c>
      <c r="D8" s="74" t="s">
        <v>36</v>
      </c>
      <c r="E8" s="74">
        <v>4.7300000000000002E-2</v>
      </c>
      <c r="F8" s="62"/>
      <c r="G8" s="62" t="s">
        <v>105</v>
      </c>
      <c r="H8" s="62"/>
      <c r="I8" s="69">
        <v>0.1</v>
      </c>
      <c r="J8" s="62" t="s">
        <v>94</v>
      </c>
      <c r="K8" s="62" t="s">
        <v>106</v>
      </c>
      <c r="L8" s="70" t="s">
        <v>107</v>
      </c>
    </row>
    <row r="9" spans="1:12" ht="28.5">
      <c r="A9" s="20" t="s">
        <v>44</v>
      </c>
      <c r="B9" s="21" t="s">
        <v>45</v>
      </c>
      <c r="C9" s="68">
        <v>5.4999999999999997E-3</v>
      </c>
      <c r="D9" s="74" t="s">
        <v>45</v>
      </c>
      <c r="E9" s="74">
        <v>2.2100000000000002E-2</v>
      </c>
      <c r="F9" s="62"/>
      <c r="G9" s="62"/>
      <c r="H9" s="62" t="s">
        <v>108</v>
      </c>
      <c r="I9" s="69">
        <v>7.0000000000000007E-2</v>
      </c>
      <c r="J9" s="62" t="s">
        <v>109</v>
      </c>
      <c r="K9" s="62" t="s">
        <v>110</v>
      </c>
      <c r="L9" s="70" t="s">
        <v>111</v>
      </c>
    </row>
    <row r="10" spans="1:12" ht="14.25">
      <c r="A10" s="20" t="s">
        <v>29</v>
      </c>
      <c r="B10" s="21" t="s">
        <v>30</v>
      </c>
      <c r="C10" s="75">
        <v>4.7080000000000003E-5</v>
      </c>
      <c r="D10" s="74" t="s">
        <v>30</v>
      </c>
      <c r="E10" s="74">
        <v>2.83</v>
      </c>
      <c r="F10" s="62"/>
      <c r="G10" s="62"/>
      <c r="H10" s="62"/>
      <c r="I10" s="62" t="s">
        <v>98</v>
      </c>
      <c r="J10" s="62" t="s">
        <v>112</v>
      </c>
      <c r="K10" s="62"/>
      <c r="L10" s="62"/>
    </row>
    <row r="11" spans="1:12" ht="28.5">
      <c r="A11" s="76" t="s">
        <v>113</v>
      </c>
      <c r="B11" s="21" t="s">
        <v>32</v>
      </c>
      <c r="C11" s="68">
        <v>3.2759999999999998E-3</v>
      </c>
      <c r="D11" s="74" t="s">
        <v>114</v>
      </c>
      <c r="E11" s="74">
        <v>6.09</v>
      </c>
      <c r="F11" s="62"/>
      <c r="G11" s="62"/>
      <c r="H11" s="62"/>
      <c r="I11" s="62" t="s">
        <v>98</v>
      </c>
      <c r="J11" s="62" t="s">
        <v>112</v>
      </c>
      <c r="K11" s="62"/>
      <c r="L11" s="62"/>
    </row>
    <row r="12" spans="1:12" ht="57">
      <c r="A12" s="20" t="s">
        <v>42</v>
      </c>
      <c r="B12" s="24" t="s">
        <v>43</v>
      </c>
      <c r="C12" s="68"/>
      <c r="D12" s="74"/>
      <c r="E12" s="74"/>
      <c r="F12" s="62"/>
      <c r="G12" s="62"/>
      <c r="H12" s="62"/>
      <c r="I12" s="62"/>
      <c r="J12" s="62" t="s">
        <v>94</v>
      </c>
      <c r="K12" s="62" t="s">
        <v>115</v>
      </c>
      <c r="L12" s="62"/>
    </row>
  </sheetData>
  <hyperlinks>
    <hyperlink ref="H3" r:id="rId1"/>
    <hyperlink ref="B4" r:id="rId2"/>
    <hyperlink ref="L4" r:id="rId3"/>
    <hyperlink ref="B5" r:id="rId4"/>
    <hyperlink ref="B6" r:id="rId5"/>
    <hyperlink ref="L6" r:id="rId6"/>
    <hyperlink ref="B7" r:id="rId7"/>
    <hyperlink ref="L7" r:id="rId8"/>
    <hyperlink ref="B8" r:id="rId9"/>
    <hyperlink ref="L8" r:id="rId10"/>
    <hyperlink ref="B9" r:id="rId11"/>
    <hyperlink ref="L9" r:id="rId12"/>
    <hyperlink ref="B12" r:id="rId13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576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9.140625" defaultRowHeight="12.75"/>
  <cols>
    <col min="1" max="1" width="12.5703125" customWidth="1"/>
    <col min="2" max="2" width="19.42578125" customWidth="1"/>
    <col min="3" max="3" width="9.7109375" customWidth="1"/>
    <col min="4" max="4" width="10.5703125" customWidth="1"/>
    <col min="5" max="5" width="10" customWidth="1"/>
    <col min="6" max="6" width="10.7109375" customWidth="1"/>
    <col min="7" max="1025" width="12.5703125" customWidth="1"/>
  </cols>
  <sheetData>
    <row r="1" spans="1:35" ht="14.25">
      <c r="C1" s="77"/>
      <c r="D1" s="77"/>
      <c r="E1" s="77"/>
      <c r="F1" s="78"/>
    </row>
    <row r="2" spans="1:35" ht="15.75" customHeight="1">
      <c r="A2" s="137"/>
      <c r="B2" s="138" t="s">
        <v>116</v>
      </c>
      <c r="C2" s="138"/>
      <c r="D2" s="138"/>
      <c r="E2" s="138"/>
      <c r="F2" s="138"/>
      <c r="G2" s="139" t="s">
        <v>117</v>
      </c>
      <c r="H2" s="139"/>
      <c r="I2" s="139"/>
      <c r="J2" s="139"/>
      <c r="K2" s="139"/>
      <c r="L2" s="139"/>
      <c r="M2" s="139"/>
      <c r="N2" s="140" t="s">
        <v>118</v>
      </c>
      <c r="O2" s="140"/>
      <c r="P2" s="140"/>
      <c r="Q2" s="140"/>
      <c r="R2" s="140"/>
      <c r="S2" s="140"/>
      <c r="T2" s="140"/>
      <c r="U2" s="141" t="s">
        <v>119</v>
      </c>
      <c r="V2" s="141"/>
      <c r="W2" s="141"/>
      <c r="X2" s="141"/>
      <c r="Y2" s="141"/>
      <c r="Z2" s="141"/>
      <c r="AA2" s="141"/>
      <c r="AB2" s="141"/>
    </row>
    <row r="3" spans="1:35">
      <c r="A3" s="137"/>
      <c r="B3" s="137"/>
      <c r="C3" s="138"/>
      <c r="D3" s="138"/>
      <c r="E3" s="138"/>
      <c r="F3" s="138"/>
      <c r="G3" s="139"/>
      <c r="H3" s="139"/>
      <c r="I3" s="139"/>
      <c r="J3" s="139"/>
      <c r="K3" s="139"/>
      <c r="L3" s="139"/>
      <c r="M3" s="139"/>
      <c r="N3" s="140"/>
      <c r="O3" s="140"/>
      <c r="P3" s="140"/>
      <c r="Q3" s="140"/>
      <c r="R3" s="140"/>
      <c r="S3" s="140"/>
      <c r="T3" s="140"/>
      <c r="U3" s="141"/>
      <c r="V3" s="141"/>
      <c r="W3" s="141"/>
      <c r="X3" s="141"/>
      <c r="Y3" s="141"/>
      <c r="Z3" s="141"/>
      <c r="AA3" s="141"/>
      <c r="AB3" s="141"/>
    </row>
    <row r="4" spans="1:35" ht="85.5">
      <c r="A4" s="38" t="s">
        <v>120</v>
      </c>
      <c r="B4" s="38" t="s">
        <v>121</v>
      </c>
      <c r="C4" s="79" t="s">
        <v>122</v>
      </c>
      <c r="D4" s="79" t="s">
        <v>123</v>
      </c>
      <c r="E4" s="79" t="s">
        <v>124</v>
      </c>
      <c r="F4" s="80" t="s">
        <v>125</v>
      </c>
      <c r="G4" s="38" t="s">
        <v>126</v>
      </c>
      <c r="H4" s="38" t="s">
        <v>122</v>
      </c>
      <c r="I4" s="38" t="s">
        <v>127</v>
      </c>
      <c r="J4" s="38" t="s">
        <v>128</v>
      </c>
      <c r="K4" s="38" t="s">
        <v>129</v>
      </c>
      <c r="L4" s="38" t="s">
        <v>130</v>
      </c>
      <c r="M4" s="38" t="s">
        <v>131</v>
      </c>
      <c r="N4" s="38" t="s">
        <v>118</v>
      </c>
      <c r="O4" s="38" t="s">
        <v>132</v>
      </c>
      <c r="P4" s="38" t="s">
        <v>133</v>
      </c>
      <c r="Q4" s="38" t="s">
        <v>134</v>
      </c>
      <c r="R4" s="38" t="s">
        <v>135</v>
      </c>
      <c r="S4" s="38" t="s">
        <v>136</v>
      </c>
      <c r="T4" s="38" t="s">
        <v>137</v>
      </c>
      <c r="U4" s="38" t="s">
        <v>138</v>
      </c>
      <c r="V4" s="38" t="s">
        <v>139</v>
      </c>
      <c r="W4" s="81" t="s">
        <v>140</v>
      </c>
      <c r="X4" s="38" t="s">
        <v>141</v>
      </c>
      <c r="Y4" s="81" t="s">
        <v>142</v>
      </c>
      <c r="Z4" s="81" t="s">
        <v>143</v>
      </c>
      <c r="AA4" s="81" t="s">
        <v>144</v>
      </c>
      <c r="AB4" s="81" t="s">
        <v>145</v>
      </c>
      <c r="AC4" s="51"/>
      <c r="AD4" s="51"/>
      <c r="AE4" s="51"/>
      <c r="AF4" s="51"/>
      <c r="AG4" s="51"/>
      <c r="AH4" s="51"/>
      <c r="AI4" s="51"/>
    </row>
    <row r="5" spans="1:35" ht="14.25">
      <c r="A5" s="82">
        <v>44207</v>
      </c>
      <c r="B5" s="5" t="s">
        <v>146</v>
      </c>
      <c r="C5" s="83">
        <v>13500</v>
      </c>
      <c r="D5" s="83">
        <v>159</v>
      </c>
      <c r="E5" s="77">
        <f>C5/D5</f>
        <v>84.905660377358487</v>
      </c>
      <c r="F5" s="84">
        <v>0</v>
      </c>
      <c r="G5" s="5" t="s">
        <v>147</v>
      </c>
      <c r="H5" s="5">
        <v>13500</v>
      </c>
      <c r="K5" s="5"/>
      <c r="L5" s="5">
        <v>1.54035E-3</v>
      </c>
      <c r="N5" s="5" t="s">
        <v>148</v>
      </c>
      <c r="O5" s="5">
        <v>2.4981000000000001E-3</v>
      </c>
      <c r="P5" s="5" t="s">
        <v>36</v>
      </c>
      <c r="S5" s="85">
        <v>1.14953E-3</v>
      </c>
      <c r="U5" s="5" t="s">
        <v>149</v>
      </c>
      <c r="V5" s="5">
        <v>1.14953E-3</v>
      </c>
      <c r="W5" s="5">
        <v>6.6558739999999998</v>
      </c>
      <c r="X5" s="5">
        <v>2.5000000000000001E-3</v>
      </c>
      <c r="Y5" s="5">
        <v>2.5000000000000001E-3</v>
      </c>
      <c r="Z5" s="86">
        <v>0.1</v>
      </c>
      <c r="AB5" s="5" t="s">
        <v>105</v>
      </c>
    </row>
    <row r="6" spans="1:35" ht="14.25">
      <c r="A6" s="82">
        <v>44246</v>
      </c>
      <c r="B6" s="5" t="s">
        <v>146</v>
      </c>
      <c r="C6" s="83">
        <v>20000</v>
      </c>
      <c r="D6" s="83">
        <v>159.30000000000001</v>
      </c>
      <c r="E6" s="77">
        <f>C6/D6</f>
        <v>125.54927809165096</v>
      </c>
      <c r="F6" s="78"/>
      <c r="G6" s="5" t="s">
        <v>150</v>
      </c>
      <c r="H6" s="5">
        <v>20000</v>
      </c>
      <c r="L6" s="87">
        <v>2.0301E-3</v>
      </c>
      <c r="M6" s="88">
        <v>1.6000000000000001E-4</v>
      </c>
      <c r="N6" s="5" t="s">
        <v>151</v>
      </c>
      <c r="O6" s="89">
        <f>L6-M6</f>
        <v>1.8701E-3</v>
      </c>
      <c r="P6" s="5" t="s">
        <v>34</v>
      </c>
      <c r="Q6" s="5">
        <v>1.05</v>
      </c>
      <c r="S6" s="90">
        <v>97902</v>
      </c>
      <c r="U6" s="5" t="s">
        <v>34</v>
      </c>
      <c r="V6" s="91">
        <v>96.902000000000001</v>
      </c>
      <c r="W6" s="92">
        <v>94.498699999999999</v>
      </c>
      <c r="X6" s="93"/>
      <c r="Y6" s="93">
        <f>V6-W6</f>
        <v>2.4033000000000015</v>
      </c>
      <c r="Z6" s="86">
        <v>0.05</v>
      </c>
      <c r="AA6" s="5" t="s">
        <v>152</v>
      </c>
      <c r="AB6" s="5" t="s">
        <v>153</v>
      </c>
    </row>
    <row r="1048576" ht="15.75" customHeight="1"/>
  </sheetData>
  <mergeCells count="5">
    <mergeCell ref="A2:A3"/>
    <mergeCell ref="B2:F3"/>
    <mergeCell ref="G2:M3"/>
    <mergeCell ref="N2:T3"/>
    <mergeCell ref="U2:AB3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8576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9.140625" defaultRowHeight="12.75"/>
  <cols>
    <col min="1" max="1" width="14.85546875" customWidth="1"/>
    <col min="2" max="2" width="10.7109375" customWidth="1"/>
    <col min="3" max="12" width="12.5703125" customWidth="1"/>
    <col min="13" max="13" width="44" customWidth="1"/>
    <col min="14" max="1025" width="12.5703125" customWidth="1"/>
  </cols>
  <sheetData>
    <row r="1" spans="1:28" ht="14.25">
      <c r="A1" s="5"/>
      <c r="B1" s="82">
        <v>44245</v>
      </c>
    </row>
    <row r="3" spans="1:28" ht="60">
      <c r="A3" s="19" t="s">
        <v>25</v>
      </c>
      <c r="B3" s="19" t="s">
        <v>26</v>
      </c>
      <c r="C3" s="19" t="s">
        <v>84</v>
      </c>
      <c r="D3" s="19" t="s">
        <v>85</v>
      </c>
      <c r="E3" s="19" t="s">
        <v>60</v>
      </c>
      <c r="F3" s="19" t="s">
        <v>154</v>
      </c>
      <c r="G3" s="19" t="s">
        <v>66</v>
      </c>
      <c r="H3" s="19" t="s">
        <v>67</v>
      </c>
      <c r="I3" s="94" t="s">
        <v>68</v>
      </c>
      <c r="J3" s="19" t="s">
        <v>155</v>
      </c>
      <c r="K3" s="19" t="s">
        <v>71</v>
      </c>
      <c r="L3" s="19" t="s">
        <v>72</v>
      </c>
      <c r="M3" s="19" t="s">
        <v>73</v>
      </c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</row>
    <row r="4" spans="1:28" ht="71.25">
      <c r="A4" s="23" t="s">
        <v>37</v>
      </c>
      <c r="B4" s="24" t="s">
        <v>38</v>
      </c>
      <c r="C4" s="57">
        <v>2.0999999999999999E-3</v>
      </c>
      <c r="D4" s="57">
        <v>4.0000000000000002E-4</v>
      </c>
      <c r="E4" s="95">
        <v>44269</v>
      </c>
      <c r="F4" s="57"/>
      <c r="G4" s="57"/>
      <c r="H4" s="57"/>
      <c r="I4" s="59" t="str">
        <f>IFERROR((((H4) -F4)/F4),"")</f>
        <v/>
      </c>
      <c r="J4" s="96" t="str">
        <f>IF(F4&lt;&gt;"",IFERROR(100+100*I4,""),"")</f>
        <v/>
      </c>
      <c r="K4" s="61"/>
      <c r="L4" s="62" t="s">
        <v>94</v>
      </c>
      <c r="M4" s="62" t="s">
        <v>95</v>
      </c>
    </row>
    <row r="5" spans="1:28" ht="28.5">
      <c r="A5" s="23" t="s">
        <v>40</v>
      </c>
      <c r="B5" s="24" t="s">
        <v>41</v>
      </c>
      <c r="C5" s="57">
        <v>2.7300000000000001E-2</v>
      </c>
      <c r="D5" s="71">
        <v>51</v>
      </c>
      <c r="E5" s="53"/>
      <c r="F5" s="57"/>
      <c r="G5" s="57"/>
      <c r="H5" s="57"/>
      <c r="I5" s="59" t="str">
        <f>IFERROR((((H5) -F5)/F5),"")</f>
        <v/>
      </c>
      <c r="J5" s="96" t="str">
        <f>IF(F5&lt;&gt;"",IFERROR(100+100*I5,""),"")</f>
        <v/>
      </c>
      <c r="K5" s="61"/>
      <c r="L5" s="62" t="s">
        <v>94</v>
      </c>
      <c r="M5" s="62" t="s">
        <v>99</v>
      </c>
    </row>
    <row r="6" spans="1:28" ht="42.75">
      <c r="A6" s="23" t="s">
        <v>33</v>
      </c>
      <c r="B6" s="24" t="s">
        <v>34</v>
      </c>
      <c r="C6" s="72">
        <v>0.38279999999999997</v>
      </c>
      <c r="D6" s="72">
        <v>0.41149999999999998</v>
      </c>
      <c r="E6" s="53">
        <v>44249</v>
      </c>
      <c r="F6" s="57">
        <v>1.05</v>
      </c>
      <c r="G6" s="57"/>
      <c r="H6" s="57">
        <v>1.2</v>
      </c>
      <c r="I6" s="59">
        <f>IFERROR((((H6) -F6)/F6),"")</f>
        <v>0.14285714285714277</v>
      </c>
      <c r="J6" s="96">
        <f>IF(F6&lt;&gt;"",IFERROR(100+100*I6,""),"")</f>
        <v>114.28571428571428</v>
      </c>
      <c r="K6" s="61"/>
      <c r="L6" s="62" t="s">
        <v>94</v>
      </c>
      <c r="M6" s="62" t="s">
        <v>100</v>
      </c>
    </row>
    <row r="7" spans="1:28" ht="42.75">
      <c r="A7" s="23" t="s">
        <v>39</v>
      </c>
      <c r="B7" s="24" t="s">
        <v>39</v>
      </c>
      <c r="C7" s="71">
        <v>0</v>
      </c>
      <c r="D7" s="71">
        <v>0</v>
      </c>
      <c r="E7" s="53"/>
      <c r="F7" s="57"/>
      <c r="G7" s="57"/>
      <c r="H7" s="57"/>
      <c r="I7" s="59" t="str">
        <f>IFERROR((((H7) -F7)/F7),"")</f>
        <v/>
      </c>
      <c r="J7" s="96" t="str">
        <f>IF(F7&lt;&gt;"",IFERROR(100+100*I7,""),"")</f>
        <v/>
      </c>
      <c r="K7" s="61"/>
      <c r="L7" s="62" t="s">
        <v>94</v>
      </c>
      <c r="M7" s="62" t="s">
        <v>103</v>
      </c>
    </row>
    <row r="8" spans="1:28" ht="71.25">
      <c r="A8" s="23" t="s">
        <v>35</v>
      </c>
      <c r="B8" s="24" t="s">
        <v>36</v>
      </c>
      <c r="C8" s="75">
        <v>2.5000000000000001E-3</v>
      </c>
      <c r="D8" s="74">
        <v>4.7300000000000002E-2</v>
      </c>
      <c r="E8" s="63">
        <v>44207</v>
      </c>
      <c r="F8" s="57">
        <v>5.6512200000000004</v>
      </c>
      <c r="G8" s="57" t="s">
        <v>98</v>
      </c>
      <c r="H8" s="57">
        <v>22.984639999999999</v>
      </c>
      <c r="I8" s="59">
        <f>IFERROR((((H8) -F8)/F8),"")</f>
        <v>3.0671996489253641</v>
      </c>
      <c r="J8" s="96">
        <f>IF(F8&lt;&gt;"",IFERROR(100+100*I8,""),"")</f>
        <v>406.71996489253644</v>
      </c>
      <c r="K8" s="61">
        <v>0.1</v>
      </c>
      <c r="L8" s="62" t="s">
        <v>94</v>
      </c>
      <c r="M8" s="62" t="s">
        <v>106</v>
      </c>
    </row>
    <row r="1048576" ht="15.75" customHeight="1"/>
  </sheetData>
  <hyperlinks>
    <hyperlink ref="B4" r:id="rId1"/>
    <hyperlink ref="B5" r:id="rId2"/>
    <hyperlink ref="B6" r:id="rId3"/>
    <hyperlink ref="B7" r:id="rId4"/>
    <hyperlink ref="B8" r:id="rId5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9.140625" defaultRowHeight="12.75"/>
  <cols>
    <col min="1" max="1" width="14.85546875" customWidth="1"/>
    <col min="2" max="2" width="10.7109375" customWidth="1"/>
    <col min="3" max="10" width="12.5703125" customWidth="1"/>
    <col min="11" max="11" width="44" customWidth="1"/>
    <col min="12" max="1025" width="12.5703125" customWidth="1"/>
  </cols>
  <sheetData>
    <row r="1" spans="1:26" ht="14.25">
      <c r="A1" s="5"/>
    </row>
    <row r="3" spans="1:26" ht="45">
      <c r="A3" s="19" t="s">
        <v>25</v>
      </c>
      <c r="B3" s="19" t="s">
        <v>26</v>
      </c>
      <c r="C3" s="19" t="s">
        <v>60</v>
      </c>
      <c r="D3" s="19" t="s">
        <v>154</v>
      </c>
      <c r="E3" s="19" t="s">
        <v>66</v>
      </c>
      <c r="F3" s="19" t="s">
        <v>67</v>
      </c>
      <c r="G3" s="94" t="s">
        <v>68</v>
      </c>
      <c r="H3" s="19" t="s">
        <v>155</v>
      </c>
      <c r="I3" s="19" t="s">
        <v>71</v>
      </c>
      <c r="J3" s="19" t="s">
        <v>72</v>
      </c>
      <c r="K3" s="19" t="s">
        <v>73</v>
      </c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71.25">
      <c r="A4" s="23" t="s">
        <v>37</v>
      </c>
      <c r="B4" s="24" t="s">
        <v>38</v>
      </c>
      <c r="C4" s="95"/>
      <c r="D4" s="57"/>
      <c r="E4" s="57"/>
      <c r="F4" s="57"/>
      <c r="G4" s="59" t="str">
        <f t="shared" ref="G4:G9" si="0">IFERROR((((F4) -D4)/D4),"")</f>
        <v/>
      </c>
      <c r="H4" s="96" t="str">
        <f t="shared" ref="H4:H9" si="1">IF(D4&lt;&gt;"",IFERROR(100+100*G4,""),"")</f>
        <v/>
      </c>
      <c r="I4" s="61"/>
      <c r="J4" s="62" t="s">
        <v>94</v>
      </c>
      <c r="K4" s="62" t="s">
        <v>95</v>
      </c>
    </row>
    <row r="5" spans="1:26" ht="28.5">
      <c r="A5" s="23" t="s">
        <v>40</v>
      </c>
      <c r="B5" s="24" t="s">
        <v>41</v>
      </c>
      <c r="C5" s="53"/>
      <c r="D5" s="57"/>
      <c r="E5" s="57"/>
      <c r="F5" s="57"/>
      <c r="G5" s="59" t="str">
        <f t="shared" si="0"/>
        <v/>
      </c>
      <c r="H5" s="96" t="str">
        <f t="shared" si="1"/>
        <v/>
      </c>
      <c r="I5" s="61"/>
      <c r="J5" s="62" t="s">
        <v>94</v>
      </c>
      <c r="K5" s="62" t="s">
        <v>99</v>
      </c>
    </row>
    <row r="6" spans="1:26" ht="42.75">
      <c r="A6" s="23" t="s">
        <v>33</v>
      </c>
      <c r="B6" s="24" t="s">
        <v>34</v>
      </c>
      <c r="C6" s="53"/>
      <c r="D6" s="57"/>
      <c r="E6" s="57"/>
      <c r="F6" s="57"/>
      <c r="G6" s="59" t="str">
        <f t="shared" si="0"/>
        <v/>
      </c>
      <c r="H6" s="96" t="str">
        <f t="shared" si="1"/>
        <v/>
      </c>
      <c r="I6" s="61"/>
      <c r="J6" s="62" t="s">
        <v>94</v>
      </c>
      <c r="K6" s="62" t="s">
        <v>100</v>
      </c>
    </row>
    <row r="7" spans="1:26" ht="42.75">
      <c r="A7" s="23" t="s">
        <v>39</v>
      </c>
      <c r="B7" s="24" t="s">
        <v>39</v>
      </c>
      <c r="C7" s="53"/>
      <c r="D7" s="57"/>
      <c r="E7" s="57"/>
      <c r="F7" s="57"/>
      <c r="G7" s="59" t="str">
        <f t="shared" si="0"/>
        <v/>
      </c>
      <c r="H7" s="96" t="str">
        <f t="shared" si="1"/>
        <v/>
      </c>
      <c r="I7" s="61"/>
      <c r="J7" s="62" t="s">
        <v>94</v>
      </c>
      <c r="K7" s="62" t="s">
        <v>103</v>
      </c>
    </row>
    <row r="8" spans="1:26" ht="42.75">
      <c r="A8" s="23" t="s">
        <v>44</v>
      </c>
      <c r="B8" s="24" t="s">
        <v>45</v>
      </c>
      <c r="C8" s="95"/>
      <c r="D8" s="57"/>
      <c r="E8" s="57"/>
      <c r="F8" s="57"/>
      <c r="G8" s="59" t="str">
        <f t="shared" si="0"/>
        <v/>
      </c>
      <c r="H8" s="96" t="str">
        <f t="shared" si="1"/>
        <v/>
      </c>
      <c r="I8" s="61"/>
      <c r="J8" s="62" t="s">
        <v>94</v>
      </c>
      <c r="K8" s="62" t="s">
        <v>110</v>
      </c>
    </row>
    <row r="9" spans="1:26" ht="71.25">
      <c r="A9" s="23" t="s">
        <v>35</v>
      </c>
      <c r="B9" s="24" t="s">
        <v>36</v>
      </c>
      <c r="C9" s="63"/>
      <c r="D9" s="57"/>
      <c r="E9" s="57"/>
      <c r="F9" s="57"/>
      <c r="G9" s="59" t="str">
        <f t="shared" si="0"/>
        <v/>
      </c>
      <c r="H9" s="96" t="str">
        <f t="shared" si="1"/>
        <v/>
      </c>
      <c r="I9" s="61"/>
      <c r="J9" s="62" t="s">
        <v>94</v>
      </c>
      <c r="K9" s="62" t="s">
        <v>106</v>
      </c>
    </row>
    <row r="1048576" ht="15.75" customHeight="1"/>
  </sheetData>
  <hyperlinks>
    <hyperlink ref="B4" r:id="rId1"/>
    <hyperlink ref="B5" r:id="rId2"/>
    <hyperlink ref="B6" r:id="rId3"/>
    <hyperlink ref="B7" r:id="rId4"/>
    <hyperlink ref="B8" r:id="rId5"/>
    <hyperlink ref="B9" r:id="rId6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9.140625" defaultRowHeight="12.75"/>
  <cols>
    <col min="1" max="10" width="12.5703125" customWidth="1"/>
    <col min="11" max="11" width="64.42578125" customWidth="1"/>
    <col min="12" max="1025" width="12.5703125" customWidth="1"/>
  </cols>
  <sheetData>
    <row r="1" spans="1:11" ht="15">
      <c r="A1" s="43"/>
      <c r="B1" s="82">
        <v>44245</v>
      </c>
      <c r="C1" s="97"/>
    </row>
    <row r="2" spans="1:11" ht="14.25">
      <c r="C2" s="97"/>
    </row>
    <row r="3" spans="1:11" ht="45">
      <c r="A3" s="98" t="s">
        <v>25</v>
      </c>
      <c r="B3" s="98" t="s">
        <v>26</v>
      </c>
      <c r="C3" s="98" t="s">
        <v>60</v>
      </c>
      <c r="D3" s="98" t="s">
        <v>154</v>
      </c>
      <c r="E3" s="98" t="s">
        <v>66</v>
      </c>
      <c r="F3" s="98" t="s">
        <v>67</v>
      </c>
      <c r="G3" s="98" t="s">
        <v>68</v>
      </c>
      <c r="H3" s="98" t="s">
        <v>155</v>
      </c>
      <c r="I3" s="98" t="s">
        <v>71</v>
      </c>
      <c r="J3" s="98" t="s">
        <v>72</v>
      </c>
      <c r="K3" s="98" t="s">
        <v>73</v>
      </c>
    </row>
    <row r="4" spans="1:11" ht="57">
      <c r="A4" s="23" t="s">
        <v>37</v>
      </c>
      <c r="B4" s="24" t="s">
        <v>38</v>
      </c>
      <c r="C4" s="99">
        <v>44232</v>
      </c>
      <c r="D4" s="100">
        <v>7.9762E-2</v>
      </c>
      <c r="E4" s="100" t="s">
        <v>98</v>
      </c>
      <c r="F4" s="100">
        <v>0.13927899999999999</v>
      </c>
      <c r="G4" s="101" t="s">
        <v>156</v>
      </c>
      <c r="H4" s="100" t="s">
        <v>157</v>
      </c>
      <c r="I4" s="102">
        <v>0.15</v>
      </c>
      <c r="J4" s="62" t="s">
        <v>94</v>
      </c>
      <c r="K4" s="62" t="s">
        <v>95</v>
      </c>
    </row>
    <row r="5" spans="1:11" ht="15">
      <c r="A5" s="23" t="s">
        <v>40</v>
      </c>
      <c r="B5" s="24" t="s">
        <v>41</v>
      </c>
      <c r="C5" s="103">
        <v>44195</v>
      </c>
      <c r="D5" s="100">
        <v>11.26</v>
      </c>
      <c r="E5" s="100" t="s">
        <v>98</v>
      </c>
      <c r="F5" s="100">
        <v>32.450000000000003</v>
      </c>
      <c r="G5" s="101" t="s">
        <v>158</v>
      </c>
      <c r="H5" s="100" t="s">
        <v>159</v>
      </c>
      <c r="I5" s="102" t="s">
        <v>98</v>
      </c>
      <c r="J5" s="62" t="s">
        <v>94</v>
      </c>
      <c r="K5" s="62" t="s">
        <v>99</v>
      </c>
    </row>
    <row r="6" spans="1:11" ht="28.5">
      <c r="A6" s="23" t="s">
        <v>33</v>
      </c>
      <c r="B6" s="24" t="s">
        <v>34</v>
      </c>
      <c r="C6" s="103">
        <v>44155</v>
      </c>
      <c r="D6" s="100">
        <v>0.112</v>
      </c>
      <c r="E6" s="100" t="s">
        <v>98</v>
      </c>
      <c r="F6" s="100">
        <v>0.91100800000000004</v>
      </c>
      <c r="G6" s="101" t="s">
        <v>160</v>
      </c>
      <c r="H6" s="100" t="s">
        <v>161</v>
      </c>
      <c r="I6" s="102">
        <v>5.0999999999999997E-2</v>
      </c>
      <c r="J6" s="62" t="s">
        <v>94</v>
      </c>
      <c r="K6" s="62" t="s">
        <v>100</v>
      </c>
    </row>
    <row r="7" spans="1:11" ht="28.5">
      <c r="A7" s="23" t="s">
        <v>39</v>
      </c>
      <c r="B7" s="24" t="s">
        <v>39</v>
      </c>
      <c r="C7" s="103">
        <v>44120</v>
      </c>
      <c r="D7" s="100">
        <v>16.97</v>
      </c>
      <c r="E7" s="100" t="s">
        <v>98</v>
      </c>
      <c r="F7" s="100">
        <v>43.96</v>
      </c>
      <c r="G7" s="101" t="s">
        <v>162</v>
      </c>
      <c r="H7" s="100" t="s">
        <v>163</v>
      </c>
      <c r="I7" s="102">
        <v>1.4E-2</v>
      </c>
      <c r="J7" s="62" t="s">
        <v>94</v>
      </c>
      <c r="K7" s="62" t="s">
        <v>103</v>
      </c>
    </row>
    <row r="8" spans="1:11" ht="28.5">
      <c r="A8" s="23" t="s">
        <v>44</v>
      </c>
      <c r="B8" s="24" t="s">
        <v>45</v>
      </c>
      <c r="C8" s="99">
        <v>44001</v>
      </c>
      <c r="D8" s="100">
        <v>2.67</v>
      </c>
      <c r="E8" s="100" t="s">
        <v>98</v>
      </c>
      <c r="F8" s="100">
        <v>4.8499999999999996</v>
      </c>
      <c r="G8" s="101" t="s">
        <v>164</v>
      </c>
      <c r="H8" s="100" t="s">
        <v>165</v>
      </c>
      <c r="I8" s="102">
        <v>7.0000000000000007E-2</v>
      </c>
      <c r="J8" s="62" t="s">
        <v>94</v>
      </c>
      <c r="K8" s="62" t="s">
        <v>110</v>
      </c>
    </row>
    <row r="9" spans="1:11" ht="57">
      <c r="A9" s="23" t="s">
        <v>35</v>
      </c>
      <c r="B9" s="24" t="s">
        <v>36</v>
      </c>
      <c r="C9" s="99">
        <v>44001</v>
      </c>
      <c r="D9" s="100">
        <v>2.62</v>
      </c>
      <c r="E9" s="100" t="s">
        <v>98</v>
      </c>
      <c r="F9" s="100">
        <v>23.13</v>
      </c>
      <c r="G9" s="101" t="s">
        <v>166</v>
      </c>
      <c r="H9" s="100" t="s">
        <v>167</v>
      </c>
      <c r="I9" s="102">
        <v>0.1</v>
      </c>
      <c r="J9" s="62" t="s">
        <v>94</v>
      </c>
      <c r="K9" s="62" t="s">
        <v>106</v>
      </c>
    </row>
    <row r="1048576" ht="15.75" customHeight="1"/>
  </sheetData>
  <hyperlinks>
    <hyperlink ref="B4" r:id="rId1"/>
    <hyperlink ref="B5" r:id="rId2"/>
    <hyperlink ref="B6" r:id="rId3"/>
    <hyperlink ref="B7" r:id="rId4"/>
    <hyperlink ref="B8" r:id="rId5"/>
    <hyperlink ref="B9" r:id="rId6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Normal="100" workbookViewId="0"/>
  </sheetViews>
  <sheetFormatPr baseColWidth="10" defaultColWidth="9.140625" defaultRowHeight="12.75"/>
  <cols>
    <col min="1" max="1025" width="12.5703125" customWidth="1"/>
  </cols>
  <sheetData>
    <row r="2" spans="1:6" ht="14.25">
      <c r="A2" s="5" t="s">
        <v>168</v>
      </c>
    </row>
    <row r="3" spans="1:6" ht="15">
      <c r="A3" s="10" t="s">
        <v>169</v>
      </c>
    </row>
    <row r="4" spans="1:6" ht="15">
      <c r="A4" s="10" t="s">
        <v>170</v>
      </c>
    </row>
    <row r="5" spans="1:6" ht="45">
      <c r="A5" s="104" t="s">
        <v>52</v>
      </c>
      <c r="B5" s="105">
        <v>2.2162000000000002E-3</v>
      </c>
      <c r="E5" s="106" t="s">
        <v>171</v>
      </c>
      <c r="F5" s="106" t="s">
        <v>172</v>
      </c>
    </row>
    <row r="6" spans="1:6" ht="15.75" customHeight="1">
      <c r="A6" s="104" t="s">
        <v>173</v>
      </c>
      <c r="B6" s="105">
        <v>1.6000000000000001E-4</v>
      </c>
      <c r="C6" s="142" t="s">
        <v>174</v>
      </c>
      <c r="D6" s="142"/>
      <c r="E6" s="5">
        <v>4.7080000000000003E-5</v>
      </c>
      <c r="F6" s="31">
        <f>B6-E6</f>
        <v>1.1292000000000001E-4</v>
      </c>
    </row>
    <row r="7" spans="1:6" ht="57">
      <c r="A7" s="104" t="s">
        <v>175</v>
      </c>
      <c r="B7" s="105">
        <f>B5-B6</f>
        <v>2.0562000000000002E-3</v>
      </c>
      <c r="E7" s="107" t="s">
        <v>176</v>
      </c>
      <c r="F7" s="107" t="s">
        <v>177</v>
      </c>
    </row>
    <row r="9" spans="1:6">
      <c r="A9" s="108" t="s">
        <v>178</v>
      </c>
      <c r="B9" s="109"/>
      <c r="C9" s="109"/>
      <c r="D9" s="109"/>
    </row>
    <row r="10" spans="1:6">
      <c r="A10" s="108" t="s">
        <v>179</v>
      </c>
      <c r="B10" s="109"/>
      <c r="C10" s="109"/>
      <c r="D10" s="109"/>
    </row>
    <row r="11" spans="1:6">
      <c r="A11" s="108" t="s">
        <v>180</v>
      </c>
      <c r="B11" s="109"/>
      <c r="C11" s="109"/>
      <c r="D11" s="109"/>
    </row>
    <row r="12" spans="1:6">
      <c r="A12" s="110"/>
      <c r="B12" s="109"/>
      <c r="C12" s="109"/>
      <c r="D12" s="109"/>
    </row>
    <row r="13" spans="1:6">
      <c r="A13" s="108" t="s">
        <v>181</v>
      </c>
      <c r="B13" s="109"/>
      <c r="C13" s="109"/>
      <c r="D13" s="109"/>
    </row>
    <row r="14" spans="1:6">
      <c r="A14" s="108" t="s">
        <v>182</v>
      </c>
      <c r="B14" s="109"/>
      <c r="C14" s="109"/>
      <c r="D14" s="109"/>
    </row>
    <row r="15" spans="1:6">
      <c r="A15" s="108" t="s">
        <v>183</v>
      </c>
      <c r="B15" s="109"/>
      <c r="C15" s="109"/>
      <c r="D15" s="109"/>
    </row>
    <row r="16" spans="1:6" ht="14.25">
      <c r="A16" s="108" t="s">
        <v>184</v>
      </c>
      <c r="B16" s="109"/>
      <c r="C16" s="109"/>
      <c r="D16" s="82">
        <v>44259</v>
      </c>
    </row>
    <row r="17" spans="1:8">
      <c r="A17" s="108" t="s">
        <v>185</v>
      </c>
      <c r="B17" s="109"/>
      <c r="C17" s="109"/>
      <c r="D17" s="109"/>
    </row>
    <row r="19" spans="1:8" ht="14.25">
      <c r="A19" s="5" t="s">
        <v>168</v>
      </c>
    </row>
    <row r="20" spans="1:8" ht="15">
      <c r="A20" s="10" t="s">
        <v>186</v>
      </c>
    </row>
    <row r="21" spans="1:8" ht="14.25">
      <c r="A21" s="5" t="s">
        <v>187</v>
      </c>
      <c r="D21" s="30">
        <f>659.33/112.7</f>
        <v>5.8503105590062114</v>
      </c>
    </row>
    <row r="22" spans="1:8" ht="14.25">
      <c r="A22" s="5" t="s">
        <v>188</v>
      </c>
    </row>
    <row r="23" spans="1:8" ht="14.25">
      <c r="A23" s="5" t="s">
        <v>189</v>
      </c>
    </row>
    <row r="24" spans="1:8" ht="14.25">
      <c r="A24" s="5" t="s">
        <v>190</v>
      </c>
    </row>
    <row r="25" spans="1:8" ht="14.25">
      <c r="A25" s="5" t="s">
        <v>191</v>
      </c>
    </row>
    <row r="26" spans="1:8" ht="14.25">
      <c r="A26" s="5" t="s">
        <v>38</v>
      </c>
    </row>
    <row r="27" spans="1:8" ht="14.25">
      <c r="A27" s="5" t="s">
        <v>192</v>
      </c>
    </row>
    <row r="28" spans="1:8" ht="14.25">
      <c r="A28" s="5" t="s">
        <v>193</v>
      </c>
    </row>
    <row r="29" spans="1:8" ht="14.25">
      <c r="A29" s="5" t="s">
        <v>194</v>
      </c>
    </row>
    <row r="30" spans="1:8" ht="14.25">
      <c r="A30" s="5">
        <v>1</v>
      </c>
    </row>
    <row r="31" spans="1:8" ht="15">
      <c r="A31" s="43" t="s">
        <v>195</v>
      </c>
      <c r="B31" s="43" t="s">
        <v>196</v>
      </c>
      <c r="C31" s="43" t="s">
        <v>197</v>
      </c>
      <c r="D31" s="43"/>
      <c r="E31" s="43" t="s">
        <v>198</v>
      </c>
      <c r="F31" s="43" t="s">
        <v>199</v>
      </c>
      <c r="G31" s="43" t="s">
        <v>200</v>
      </c>
    </row>
    <row r="32" spans="1:8" ht="99.75">
      <c r="A32" s="111" t="s">
        <v>201</v>
      </c>
      <c r="B32" s="112" t="s">
        <v>202</v>
      </c>
      <c r="C32" s="111" t="s">
        <v>203</v>
      </c>
      <c r="D32" s="112" t="s">
        <v>204</v>
      </c>
      <c r="E32" s="112" t="s">
        <v>205</v>
      </c>
      <c r="F32" s="112" t="s">
        <v>206</v>
      </c>
      <c r="G32" s="112" t="s">
        <v>207</v>
      </c>
      <c r="H32" s="112"/>
    </row>
  </sheetData>
  <mergeCells count="1">
    <mergeCell ref="C6:D6"/>
  </mergeCells>
  <hyperlinks>
    <hyperlink ref="A32" r:id="rId1"/>
    <hyperlink ref="C32" r:id="rId2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zoomScaleNormal="100" workbookViewId="0"/>
  </sheetViews>
  <sheetFormatPr baseColWidth="10" defaultColWidth="9.140625" defaultRowHeight="12.75"/>
  <cols>
    <col min="1" max="2" width="12.5703125" customWidth="1"/>
    <col min="3" max="3" width="13.28515625" customWidth="1"/>
    <col min="4" max="1025" width="12.5703125" customWidth="1"/>
  </cols>
  <sheetData>
    <row r="2" spans="1:7" ht="14.25">
      <c r="B2" s="5" t="s">
        <v>208</v>
      </c>
      <c r="D2" s="5" t="s">
        <v>36</v>
      </c>
    </row>
    <row r="3" spans="1:7" ht="14.25">
      <c r="A3" s="5" t="s">
        <v>209</v>
      </c>
      <c r="B3" s="5">
        <v>1.54035E-3</v>
      </c>
    </row>
    <row r="4" spans="1:7" ht="14.25">
      <c r="A4" s="5" t="s">
        <v>175</v>
      </c>
      <c r="B4" s="5">
        <v>2.4981000000000001E-3</v>
      </c>
    </row>
    <row r="5" spans="1:7" ht="14.25">
      <c r="A5" s="5" t="s">
        <v>210</v>
      </c>
      <c r="B5" s="30">
        <f>B4-B3</f>
        <v>9.5775000000000005E-4</v>
      </c>
    </row>
    <row r="7" spans="1:7" ht="14.25">
      <c r="A7" s="5" t="s">
        <v>211</v>
      </c>
      <c r="B7" s="85">
        <v>1.14953E-3</v>
      </c>
    </row>
    <row r="8" spans="1:7" ht="14.25">
      <c r="A8" s="5" t="s">
        <v>212</v>
      </c>
      <c r="B8" s="30">
        <f>B3-B7</f>
        <v>3.9082000000000006E-4</v>
      </c>
    </row>
    <row r="9" spans="1:7" ht="14.25">
      <c r="A9" s="5" t="s">
        <v>210</v>
      </c>
      <c r="B9" s="30">
        <f>B7-B8</f>
        <v>7.587099999999999E-4</v>
      </c>
      <c r="G9" s="5"/>
    </row>
    <row r="10" spans="1:7" ht="14.25">
      <c r="G10" s="5"/>
    </row>
    <row r="11" spans="1:7" ht="14.25">
      <c r="A11" s="5" t="s">
        <v>213</v>
      </c>
      <c r="G11" s="5"/>
    </row>
    <row r="12" spans="1:7" ht="14.25">
      <c r="A12" s="113"/>
      <c r="B12" s="114"/>
      <c r="C12" s="114"/>
      <c r="D12" s="114"/>
      <c r="E12" s="115">
        <f>B8-E13</f>
        <v>-6.0917999999999996E-4</v>
      </c>
      <c r="F12" s="115">
        <f>E13-B8</f>
        <v>6.0917999999999996E-4</v>
      </c>
      <c r="G12" s="5"/>
    </row>
    <row r="13" spans="1:7" ht="14.25">
      <c r="A13" s="116" t="s">
        <v>214</v>
      </c>
      <c r="B13" s="117"/>
      <c r="C13" s="117"/>
      <c r="D13" s="118" t="s">
        <v>215</v>
      </c>
      <c r="E13" s="119">
        <v>1E-3</v>
      </c>
      <c r="F13" s="120"/>
    </row>
    <row r="16" spans="1:7" ht="15">
      <c r="A16" s="10" t="s">
        <v>216</v>
      </c>
      <c r="B16" s="10" t="s">
        <v>217</v>
      </c>
      <c r="C16" s="10" t="s">
        <v>218</v>
      </c>
      <c r="D16" s="10" t="s">
        <v>219</v>
      </c>
      <c r="E16" s="10" t="s">
        <v>220</v>
      </c>
    </row>
    <row r="17" spans="1:5" ht="14.25">
      <c r="A17" s="5" t="s">
        <v>221</v>
      </c>
      <c r="B17" s="7">
        <f>E17/D18</f>
        <v>84.905660377358487</v>
      </c>
      <c r="E17" s="17">
        <v>13500</v>
      </c>
    </row>
    <row r="18" spans="1:5" ht="14.25">
      <c r="A18" s="5" t="s">
        <v>52</v>
      </c>
      <c r="B18" s="5">
        <v>52.96</v>
      </c>
      <c r="C18" s="17">
        <f>B18/B17</f>
        <v>0.62375111111111115</v>
      </c>
      <c r="D18" s="5">
        <v>159</v>
      </c>
      <c r="E18" s="30">
        <f>B18*D18</f>
        <v>8420.64</v>
      </c>
    </row>
    <row r="19" spans="1:5" ht="14.25">
      <c r="A19" s="5" t="s">
        <v>222</v>
      </c>
      <c r="B19" s="7">
        <f>B17-B18</f>
        <v>31.945660377358486</v>
      </c>
      <c r="C19" s="7">
        <f>B19/B17</f>
        <v>0.37624888888888885</v>
      </c>
      <c r="E19" s="7">
        <f>E17-E18</f>
        <v>5079.3600000000006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DatosSimInvBTC</vt:lpstr>
      <vt:lpstr>Ultimas Cotizaciones Cripto </vt:lpstr>
      <vt:lpstr>DolarHoy</vt:lpstr>
      <vt:lpstr>Estado de la Cartera 2</vt:lpstr>
      <vt:lpstr>Comisiones Operacion Cripto</vt:lpstr>
      <vt:lpstr>RegistroDeCompras</vt:lpstr>
      <vt:lpstr>PosicionesActuales</vt:lpstr>
      <vt:lpstr> PosicionesCerradas</vt:lpstr>
      <vt:lpstr>PosicionesCriptoDividendos</vt:lpstr>
      <vt:lpstr>Anotador_RegistroDeOperaciones</vt:lpstr>
      <vt:lpstr>PrimerCompra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</dc:creator>
  <dc:description/>
  <cp:lastModifiedBy>Andres</cp:lastModifiedBy>
  <cp:revision>1</cp:revision>
  <dcterms:modified xsi:type="dcterms:W3CDTF">2022-05-12T08:32:38Z</dcterms:modified>
  <dc:language>es-AR</dc:language>
</cp:coreProperties>
</file>