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4540" yWindow="-21600" windowWidth="38400" windowHeight="21160" tabRatio="500"/>
  </bookViews>
  <sheets>
    <sheet name="Backlogs" sheetId="2" r:id="rId1"/>
    <sheet name="PB Burndown" sheetId="3" r:id="rId2"/>
  </sheets>
  <externalReferences>
    <externalReference r:id="rId3"/>
  </externalReference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>#REF!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RealizedSpeed">OFFSET('PB Burndown'!$D$27,1,0,'PB Burndown'!$G$3,1)</definedName>
    <definedName name="SprintCount">'PB Burndown'!$G$3</definedName>
    <definedName name="SprintsInTrend">'PB Burndown'!$G$6</definedName>
    <definedName name="TaskRows">#REF!</definedName>
    <definedName name="TotalEffort">#REF!</definedName>
    <definedName name="TrendDays">'[1]Sprint Sheet Template'!$D$13</definedName>
    <definedName name="TrendOffset">'PB Burndown'!$G$5</definedName>
    <definedName name="TrendSprintCount">'PB Burndown'!$G$4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3" l="1"/>
  <c r="G3" i="3"/>
  <c r="D11" i="3"/>
  <c r="Q32" i="3"/>
  <c r="D10" i="3"/>
  <c r="P32" i="3"/>
  <c r="D9" i="3"/>
  <c r="O32" i="3"/>
  <c r="I32" i="3"/>
  <c r="N32" i="3"/>
  <c r="F32" i="3"/>
  <c r="K32" i="3"/>
  <c r="G5" i="3"/>
  <c r="G6" i="3"/>
  <c r="L32" i="3"/>
  <c r="N31" i="3"/>
  <c r="L31" i="3"/>
  <c r="M32" i="3"/>
  <c r="H32" i="3"/>
  <c r="G32" i="3"/>
  <c r="K10" i="2"/>
  <c r="B30" i="3"/>
  <c r="I30" i="3"/>
  <c r="B31" i="3"/>
  <c r="I31" i="3"/>
  <c r="F30" i="3"/>
  <c r="K30" i="3"/>
  <c r="F31" i="3"/>
  <c r="K31" i="3"/>
  <c r="B29" i="3"/>
  <c r="D23" i="2"/>
  <c r="E29" i="3"/>
  <c r="L51" i="3"/>
  <c r="K51" i="3"/>
  <c r="B28" i="3"/>
  <c r="J51" i="3"/>
  <c r="I29" i="3"/>
  <c r="F28" i="3"/>
  <c r="K28" i="3"/>
  <c r="F29" i="3"/>
  <c r="K29" i="3"/>
  <c r="F51" i="3"/>
  <c r="L50" i="3"/>
  <c r="K50" i="3"/>
  <c r="J50" i="3"/>
  <c r="F50" i="3"/>
  <c r="L49" i="3"/>
  <c r="K49" i="3"/>
  <c r="J49" i="3"/>
  <c r="F49" i="3"/>
  <c r="L48" i="3"/>
  <c r="K48" i="3"/>
  <c r="J48" i="3"/>
  <c r="F48" i="3"/>
  <c r="L47" i="3"/>
  <c r="K47" i="3"/>
  <c r="J47" i="3"/>
  <c r="F47" i="3"/>
  <c r="L46" i="3"/>
  <c r="K46" i="3"/>
  <c r="J46" i="3"/>
  <c r="F46" i="3"/>
  <c r="L45" i="3"/>
  <c r="K45" i="3"/>
  <c r="J45" i="3"/>
  <c r="F45" i="3"/>
  <c r="L44" i="3"/>
  <c r="K44" i="3"/>
  <c r="J44" i="3"/>
  <c r="F44" i="3"/>
  <c r="L43" i="3"/>
  <c r="K43" i="3"/>
  <c r="J43" i="3"/>
  <c r="F43" i="3"/>
  <c r="L42" i="3"/>
  <c r="K42" i="3"/>
  <c r="J42" i="3"/>
  <c r="F42" i="3"/>
  <c r="L41" i="3"/>
  <c r="K41" i="3"/>
  <c r="J41" i="3"/>
  <c r="F41" i="3"/>
  <c r="L40" i="3"/>
  <c r="K40" i="3"/>
  <c r="J40" i="3"/>
  <c r="F40" i="3"/>
  <c r="L39" i="3"/>
  <c r="K39" i="3"/>
  <c r="J39" i="3"/>
  <c r="F39" i="3"/>
  <c r="L38" i="3"/>
  <c r="K38" i="3"/>
  <c r="J38" i="3"/>
  <c r="F38" i="3"/>
  <c r="L37" i="3"/>
  <c r="K37" i="3"/>
  <c r="J37" i="3"/>
  <c r="F37" i="3"/>
  <c r="L36" i="3"/>
  <c r="K36" i="3"/>
  <c r="J36" i="3"/>
  <c r="F36" i="3"/>
  <c r="L35" i="3"/>
  <c r="K35" i="3"/>
  <c r="J35" i="3"/>
  <c r="F35" i="3"/>
  <c r="L34" i="3"/>
  <c r="K34" i="3"/>
  <c r="J34" i="3"/>
  <c r="F34" i="3"/>
  <c r="L33" i="3"/>
  <c r="K33" i="3"/>
  <c r="J33" i="3"/>
  <c r="F33" i="3"/>
  <c r="Q31" i="3"/>
  <c r="P31" i="3"/>
  <c r="O31" i="3"/>
  <c r="H31" i="3"/>
  <c r="G31" i="3"/>
  <c r="E30" i="3"/>
  <c r="E31" i="3"/>
  <c r="Q30" i="3"/>
  <c r="P30" i="3"/>
  <c r="O30" i="3"/>
  <c r="H30" i="3"/>
  <c r="G30" i="3"/>
  <c r="Q29" i="3"/>
  <c r="P29" i="3"/>
  <c r="O29" i="3"/>
  <c r="H29" i="3"/>
  <c r="G29" i="3"/>
  <c r="Q28" i="3"/>
  <c r="P28" i="3"/>
  <c r="O28" i="3"/>
  <c r="H28" i="3"/>
  <c r="G28" i="3"/>
  <c r="E28" i="3"/>
  <c r="G17" i="3"/>
  <c r="D24" i="3"/>
  <c r="D23" i="3"/>
  <c r="D21" i="3"/>
  <c r="G20" i="3"/>
  <c r="D20" i="3"/>
  <c r="G19" i="3"/>
  <c r="D19" i="3"/>
  <c r="D8" i="3"/>
  <c r="D18" i="3"/>
  <c r="A18" i="3"/>
  <c r="D17" i="3"/>
  <c r="D16" i="3"/>
  <c r="D15" i="3"/>
  <c r="A8" i="3"/>
  <c r="N28" i="3"/>
  <c r="L28" i="3"/>
  <c r="M28" i="3"/>
  <c r="N29" i="3"/>
  <c r="L29" i="3"/>
  <c r="M29" i="3"/>
  <c r="N30" i="3"/>
  <c r="L30" i="3"/>
  <c r="M30" i="3"/>
  <c r="M31" i="3"/>
  <c r="G9" i="3"/>
  <c r="D12" i="3"/>
  <c r="I33" i="3"/>
  <c r="G33" i="3"/>
  <c r="H33" i="3"/>
  <c r="I34" i="3"/>
  <c r="G34" i="3"/>
  <c r="H34" i="3"/>
  <c r="I35" i="3"/>
  <c r="G35" i="3"/>
  <c r="H35" i="3"/>
  <c r="I36" i="3"/>
  <c r="G36" i="3"/>
  <c r="H36" i="3"/>
  <c r="I37" i="3"/>
  <c r="G37" i="3"/>
  <c r="H37" i="3"/>
  <c r="I38" i="3"/>
  <c r="G38" i="3"/>
  <c r="H38" i="3"/>
  <c r="I39" i="3"/>
  <c r="G39" i="3"/>
  <c r="H39" i="3"/>
  <c r="I40" i="3"/>
  <c r="G40" i="3"/>
  <c r="H40" i="3"/>
  <c r="I41" i="3"/>
  <c r="G41" i="3"/>
  <c r="H41" i="3"/>
  <c r="I42" i="3"/>
  <c r="G42" i="3"/>
  <c r="H42" i="3"/>
  <c r="I43" i="3"/>
  <c r="G43" i="3"/>
  <c r="H43" i="3"/>
  <c r="I44" i="3"/>
  <c r="G44" i="3"/>
  <c r="H44" i="3"/>
  <c r="I45" i="3"/>
  <c r="G45" i="3"/>
  <c r="H45" i="3"/>
  <c r="I46" i="3"/>
  <c r="G46" i="3"/>
  <c r="H46" i="3"/>
  <c r="I47" i="3"/>
  <c r="G47" i="3"/>
  <c r="H47" i="3"/>
  <c r="I48" i="3"/>
  <c r="G48" i="3"/>
  <c r="H48" i="3"/>
  <c r="I49" i="3"/>
  <c r="G49" i="3"/>
  <c r="H49" i="3"/>
  <c r="I50" i="3"/>
  <c r="G50" i="3"/>
  <c r="H50" i="3"/>
  <c r="I51" i="3"/>
  <c r="G51" i="3"/>
  <c r="H51" i="3"/>
</calcChain>
</file>

<file path=xl/comments1.xml><?xml version="1.0" encoding="utf-8"?>
<comments xmlns="http://schemas.openxmlformats.org/spreadsheetml/2006/main">
  <authors>
    <author>Petri Heiramo</author>
  </authors>
  <commentList>
    <comment ref="B15" authorId="0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sharedStrings.xml><?xml version="1.0" encoding="utf-8"?>
<sst xmlns="http://schemas.openxmlformats.org/spreadsheetml/2006/main" count="104" uniqueCount="78">
  <si>
    <t>Product backlog</t>
  </si>
  <si>
    <t>id</t>
  </si>
  <si>
    <t>story</t>
  </si>
  <si>
    <t>priority</t>
  </si>
  <si>
    <t>time estimate</t>
  </si>
  <si>
    <t>Sprint backlog</t>
  </si>
  <si>
    <t>responsible person</t>
  </si>
  <si>
    <t>completed (%)</t>
  </si>
  <si>
    <t>Not started</t>
  </si>
  <si>
    <t>Users will be able to shoot other users</t>
  </si>
  <si>
    <t>Bullets will be effected by the environment objects</t>
  </si>
  <si>
    <t>User movements will be shown with animations</t>
  </si>
  <si>
    <t>Killing users will be shown with animations</t>
  </si>
  <si>
    <t>Other users' moves will be able to seen</t>
  </si>
  <si>
    <t>Other users will have different colors</t>
  </si>
  <si>
    <t>Users will start the game by navigating through a menu</t>
  </si>
  <si>
    <t>Who killed whom info will be shown on the screen</t>
  </si>
  <si>
    <t>Users will hear gun shots</t>
  </si>
  <si>
    <t>Users will hear when another user is wounded</t>
  </si>
  <si>
    <t>Users will see their rank on a score-board</t>
  </si>
  <si>
    <t>Users will see environmental objects (e.g. walls)</t>
  </si>
  <si>
    <t>Users will be able to move in the environment</t>
  </si>
  <si>
    <t>Users will be able to point their gun</t>
  </si>
  <si>
    <t>User will be able to shoot their gun</t>
  </si>
  <si>
    <t>Erdi</t>
  </si>
  <si>
    <t>Deniz</t>
  </si>
  <si>
    <t>Users can interact with the environment with realistic physics</t>
  </si>
  <si>
    <t>Eren</t>
  </si>
  <si>
    <t>Users can interact with other players</t>
  </si>
  <si>
    <t>Emre</t>
  </si>
  <si>
    <t>Completed work (man*hour)</t>
  </si>
  <si>
    <t>Product Backlog Burndown Chart</t>
  </si>
  <si>
    <t>Original planned size</t>
  </si>
  <si>
    <t>Sprint count</t>
  </si>
  <si>
    <t>Count trend from last</t>
  </si>
  <si>
    <t>sprints</t>
  </si>
  <si>
    <t>Trend sprint count</t>
  </si>
  <si>
    <t>Trend offset</t>
  </si>
  <si>
    <t>Velocity (points per sprint)</t>
  </si>
  <si>
    <t>Sprints in Trend</t>
  </si>
  <si>
    <t>Original estimate</t>
  </si>
  <si>
    <t>Realized total average</t>
  </si>
  <si>
    <t>Trend count</t>
  </si>
  <si>
    <t>Average last 8</t>
  </si>
  <si>
    <t>Avg. worst 3 in last 8</t>
  </si>
  <si>
    <t>Trend</t>
  </si>
  <si>
    <t>These hidden cells are used to draw the graph on this page. DO NOT DELETE!</t>
  </si>
  <si>
    <t>Predictions - Completion at the end of sprint…</t>
  </si>
  <si>
    <t>Original estimate - Min</t>
  </si>
  <si>
    <t>Original estimate - Avg</t>
  </si>
  <si>
    <t>Original estimate - Max</t>
  </si>
  <si>
    <t>Standard Dev.</t>
  </si>
  <si>
    <t>Realized average</t>
  </si>
  <si>
    <t>LastPlanned</t>
  </si>
  <si>
    <t>LastRealized</t>
  </si>
  <si>
    <t>Realized + St. Dev</t>
  </si>
  <si>
    <t>Realized - St. Dev</t>
  </si>
  <si>
    <t>Average Speeds</t>
  </si>
  <si>
    <t>Sprint</t>
  </si>
  <si>
    <t>Remain.Work</t>
  </si>
  <si>
    <t>Planned Work</t>
  </si>
  <si>
    <t>Realized Work</t>
  </si>
  <si>
    <t>Current Total Size</t>
  </si>
  <si>
    <t>Col top</t>
  </si>
  <si>
    <t>Do not delete…</t>
  </si>
  <si>
    <t>Col bottom</t>
  </si>
  <si>
    <t>Trend Help</t>
  </si>
  <si>
    <t>Raw Trend</t>
  </si>
  <si>
    <t>Real Trend</t>
  </si>
  <si>
    <t>Current Bottom</t>
  </si>
  <si>
    <t>Realized</t>
  </si>
  <si>
    <t>Last 8</t>
  </si>
  <si>
    <t>Worst 3 in Last 8</t>
  </si>
  <si>
    <t>Users can play the game as a multiplayer online game</t>
  </si>
  <si>
    <t>Total work</t>
  </si>
  <si>
    <t>completed</t>
  </si>
  <si>
    <t>completed before (%)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</si>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</sst>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Last &quot;###&quot; sprints&quot;"/>
    <numFmt numFmtId="165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4"/>
      <name val="Arial"/>
    </font>
    <font>
      <i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6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5" fillId="0" borderId="0" xfId="105" applyFont="1" applyAlignment="1">
      <alignment vertical="top"/>
    </xf>
    <xf numFmtId="0" fontId="4" fillId="0" borderId="0" xfId="105"/>
    <xf numFmtId="0" fontId="4" fillId="2" borderId="0" xfId="105" applyFill="1"/>
    <xf numFmtId="0" fontId="6" fillId="0" borderId="0" xfId="105" applyFont="1"/>
    <xf numFmtId="0" fontId="7" fillId="0" borderId="0" xfId="105" applyFont="1"/>
    <xf numFmtId="165" fontId="4" fillId="2" borderId="0" xfId="105" applyNumberFormat="1" applyFill="1"/>
    <xf numFmtId="0" fontId="8" fillId="0" borderId="0" xfId="105" applyFont="1"/>
    <xf numFmtId="1" fontId="4" fillId="2" borderId="0" xfId="105" applyNumberFormat="1" applyFill="1"/>
    <xf numFmtId="0" fontId="7" fillId="3" borderId="1" xfId="105" applyFont="1" applyFill="1" applyBorder="1" applyAlignment="1">
      <alignment horizontal="center"/>
    </xf>
    <xf numFmtId="0" fontId="7" fillId="3" borderId="1" xfId="105" applyFont="1" applyFill="1" applyBorder="1" applyAlignment="1">
      <alignment wrapText="1"/>
    </xf>
    <xf numFmtId="0" fontId="7" fillId="3" borderId="1" xfId="105" applyFont="1" applyFill="1" applyBorder="1" applyAlignment="1">
      <alignment horizontal="center" wrapText="1"/>
    </xf>
    <xf numFmtId="0" fontId="7" fillId="3" borderId="0" xfId="105" applyFont="1" applyFill="1" applyBorder="1" applyAlignment="1">
      <alignment horizontal="center" wrapText="1"/>
    </xf>
    <xf numFmtId="0" fontId="4" fillId="0" borderId="0" xfId="105" applyAlignment="1">
      <alignment wrapText="1"/>
    </xf>
    <xf numFmtId="0" fontId="7" fillId="3" borderId="0" xfId="105" applyFont="1" applyFill="1" applyBorder="1" applyAlignment="1">
      <alignment horizontal="left" wrapText="1"/>
    </xf>
    <xf numFmtId="0" fontId="4" fillId="0" borderId="0" xfId="105" applyAlignment="1"/>
    <xf numFmtId="0" fontId="4" fillId="2" borderId="0" xfId="105" applyFill="1" applyAlignment="1">
      <alignment horizontal="center"/>
    </xf>
    <xf numFmtId="0" fontId="4" fillId="0" borderId="0" xfId="105" applyAlignment="1">
      <alignment horizontal="center"/>
    </xf>
    <xf numFmtId="165" fontId="4" fillId="0" borderId="0" xfId="105" applyNumberFormat="1"/>
    <xf numFmtId="0" fontId="1" fillId="0" borderId="0" xfId="0" applyFont="1" applyAlignment="1">
      <alignment horizontal="center"/>
    </xf>
    <xf numFmtId="164" fontId="4" fillId="0" borderId="0" xfId="105" applyNumberFormat="1" applyAlignment="1">
      <alignment horizontal="left"/>
    </xf>
    <xf numFmtId="0" fontId="7" fillId="3" borderId="0" xfId="105" applyFont="1" applyFill="1" applyBorder="1" applyAlignment="1">
      <alignment horizontal="center" wrapText="1"/>
    </xf>
    <xf numFmtId="0" fontId="9" fillId="3" borderId="0" xfId="105" applyFont="1" applyFill="1" applyBorder="1" applyAlignment="1">
      <alignment horizontal="center" wrapText="1"/>
    </xf>
  </cellXfs>
  <cellStyles count="16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Normal" xfId="0" builtinId="0"/>
    <cellStyle name="Normal 2" xfId="105"/>
  </cellStyles>
  <dxfs count="3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Velocity and Remaining Work</a:t>
            </a:r>
          </a:p>
        </c:rich>
      </c:tx>
      <c:layout>
        <c:manualLayout>
          <c:xMode val="edge"/>
          <c:yMode val="edge"/>
          <c:x val="0.243176031342064"/>
          <c:y val="0.017937200093276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3671945472466"/>
          <c:y val="0.121076100629619"/>
          <c:w val="0.890818318895928"/>
          <c:h val="0.775783904034228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'PB Burndown'!$F$28:$F$32</c:f>
              <c:numCache>
                <c:formatCode>General</c:formatCode>
                <c:ptCount val="5"/>
                <c:pt idx="0">
                  <c:v>88.0</c:v>
                </c:pt>
                <c:pt idx="1">
                  <c:v>68.8</c:v>
                </c:pt>
                <c:pt idx="2">
                  <c:v>48.2</c:v>
                </c:pt>
                <c:pt idx="3">
                  <c:v>26.7</c:v>
                </c:pt>
                <c:pt idx="4">
                  <c:v>11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'PB Burndown'!$F$28:$F$32</c:f>
              <c:numCache>
                <c:formatCode>General</c:formatCode>
                <c:ptCount val="5"/>
                <c:pt idx="0">
                  <c:v>88.0</c:v>
                </c:pt>
                <c:pt idx="1">
                  <c:v>68.8</c:v>
                </c:pt>
                <c:pt idx="2">
                  <c:v>48.2</c:v>
                </c:pt>
                <c:pt idx="3">
                  <c:v>26.7</c:v>
                </c:pt>
                <c:pt idx="4">
                  <c:v>11</c:v>
                </c:pt>
              </c:numCache>
            </c:numRef>
          </c:val>
          <c:smooth val="0"/>
        </c:ser>
        <c:ser>
          <c:idx val="5"/>
          <c:order val="2"/>
          <c:tx>
            <c:v>Current bottom</c:v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'PB Burndown'!$N$28:$N$33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'PB Burndown'!$I$28:$I$32</c:f>
              <c:numCache>
                <c:formatCode>General</c:formatCode>
                <c:ptCount val="5"/>
                <c:pt idx="0">
                  <c:v>0.0</c:v>
                </c:pt>
                <c:pt idx="1">
                  <c:v>3.5527136788005E-15</c:v>
                </c:pt>
                <c:pt idx="2">
                  <c:v>7.105427357601E-15</c:v>
                </c:pt>
                <c:pt idx="3">
                  <c:v>7.105427357601E-15</c:v>
                </c:pt>
                <c:pt idx="4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4600A5"/>
              </a:solidFill>
              <a:ln>
                <a:solidFill>
                  <a:srgbClr val="4600A5"/>
                </a:solidFill>
                <a:prstDash val="solid"/>
              </a:ln>
            </c:spPr>
          </c:marker>
          <c:val>
            <c:numRef>
              <c:f>'PB Burndown'!$M$28:$M$33</c:f>
              <c:numCache>
                <c:formatCode>General</c:formatCode>
                <c:ptCount val="6"/>
                <c:pt idx="0">
                  <c:v>87.4</c:v>
                </c:pt>
                <c:pt idx="1">
                  <c:v>67.91</c:v>
                </c:pt>
                <c:pt idx="2">
                  <c:v>48.42</c:v>
                </c:pt>
                <c:pt idx="3">
                  <c:v>28.92999999999999</c:v>
                </c:pt>
                <c:pt idx="4">
                  <c:v>9.439999999999983</c:v>
                </c:pt>
              </c:numCache>
            </c:numRef>
          </c:val>
          <c:smooth val="0"/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'PB Burndown'!$I$28:$I$31</c:f>
              <c:numCache>
                <c:formatCode>General</c:formatCode>
                <c:ptCount val="4"/>
                <c:pt idx="0">
                  <c:v>0.0</c:v>
                </c:pt>
                <c:pt idx="1">
                  <c:v>3.5527136788005E-15</c:v>
                </c:pt>
                <c:pt idx="2">
                  <c:v>7.105427357601E-15</c:v>
                </c:pt>
                <c:pt idx="3">
                  <c:v>7.105427357601E-15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28964744"/>
        <c:axId val="2141131848"/>
      </c:lineChart>
      <c:catAx>
        <c:axId val="212896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131848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2141131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964744"/>
        <c:crossesAt val="1.0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Development Velocity</a:t>
            </a:r>
          </a:p>
        </c:rich>
      </c:tx>
      <c:layout>
        <c:manualLayout>
          <c:xMode val="edge"/>
          <c:yMode val="edge"/>
          <c:x val="0.305210733215039"/>
          <c:y val="0.036585347699248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3671945472466"/>
          <c:y val="0.130081236263995"/>
          <c:w val="0.888336930821009"/>
          <c:h val="0.654471219953226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'PB Burndown'!$C$28:$C$31</c:f>
              <c:numCache>
                <c:formatCode>General</c:formatCode>
                <c:ptCount val="4"/>
                <c:pt idx="0">
                  <c:v>24.0</c:v>
                </c:pt>
                <c:pt idx="1">
                  <c:v>24.0</c:v>
                </c:pt>
                <c:pt idx="2">
                  <c:v>22.0</c:v>
                </c:pt>
                <c:pt idx="3">
                  <c:v>18.0</c:v>
                </c:pt>
              </c:numCache>
            </c:numRef>
          </c:val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'PB Burndown'!$D$28:$D$31</c:f>
              <c:numCache>
                <c:formatCode>General</c:formatCode>
                <c:ptCount val="4"/>
                <c:pt idx="0">
                  <c:v>19.2</c:v>
                </c:pt>
                <c:pt idx="1">
                  <c:v>20.6</c:v>
                </c:pt>
                <c:pt idx="2">
                  <c:v>21.5</c:v>
                </c:pt>
                <c:pt idx="3">
                  <c:v>15.7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40897336"/>
        <c:axId val="2140900904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'PB Burndown'!$O$28:$O$31</c:f>
              <c:numCache>
                <c:formatCode>#,#00</c:formatCode>
                <c:ptCount val="4"/>
                <c:pt idx="0">
                  <c:v>19.25</c:v>
                </c:pt>
                <c:pt idx="1">
                  <c:v>19.25</c:v>
                </c:pt>
                <c:pt idx="2">
                  <c:v>19.25</c:v>
                </c:pt>
                <c:pt idx="3">
                  <c:v>19.25</c:v>
                </c:pt>
              </c:numCache>
            </c:numRef>
          </c:val>
          <c:smooth val="0"/>
        </c:ser>
        <c:ser>
          <c:idx val="2"/>
          <c:order val="3"/>
          <c:tx>
            <c:v>Avg. Last 8</c:v>
          </c:tx>
          <c:spPr>
            <a:ln w="25400">
              <a:solidFill>
                <a:srgbClr val="006411"/>
              </a:solidFill>
              <a:prstDash val="lgDashDotDot"/>
            </a:ln>
          </c:spPr>
          <c:marker>
            <c:symbol val="none"/>
          </c:marker>
          <c:val>
            <c:numRef>
              <c:f>'PB Burndown'!$P$28:$P$31</c:f>
              <c:numCache>
                <c:formatCode>#,#00</c:formatCode>
                <c:ptCount val="4"/>
                <c:pt idx="0">
                  <c:v>19.25</c:v>
                </c:pt>
                <c:pt idx="1">
                  <c:v>19.25</c:v>
                </c:pt>
                <c:pt idx="2">
                  <c:v>19.25</c:v>
                </c:pt>
                <c:pt idx="3">
                  <c:v>19.25</c:v>
                </c:pt>
              </c:numCache>
            </c:numRef>
          </c:val>
          <c:smooth val="0"/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D4"/>
              </a:solidFill>
              <a:prstDash val="sysDash"/>
            </a:ln>
          </c:spPr>
          <c:marker>
            <c:symbol val="none"/>
          </c:marker>
          <c:val>
            <c:numRef>
              <c:f>'PB Burndown'!$Q$28:$Q$31</c:f>
              <c:numCache>
                <c:formatCode>#,#00</c:formatCode>
                <c:ptCount val="4"/>
                <c:pt idx="0">
                  <c:v>18.5</c:v>
                </c:pt>
                <c:pt idx="1">
                  <c:v>18.5</c:v>
                </c:pt>
                <c:pt idx="2">
                  <c:v>18.5</c:v>
                </c:pt>
                <c:pt idx="3">
                  <c:v>18.5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897336"/>
        <c:axId val="2140900904"/>
      </c:lineChart>
      <c:catAx>
        <c:axId val="214089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900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900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897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4143851446275"/>
          <c:y val="0.865853228882219"/>
          <c:w val="0.771711691299815"/>
          <c:h val="0.1138210817309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1</xdr:row>
      <xdr:rowOff>50800</xdr:rowOff>
    </xdr:from>
    <xdr:to>
      <xdr:col>24</xdr:col>
      <xdr:colOff>596900</xdr:colOff>
      <xdr:row>19</xdr:row>
      <xdr:rowOff>139700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279400</xdr:colOff>
      <xdr:row>22</xdr:row>
      <xdr:rowOff>114300</xdr:rowOff>
    </xdr:from>
    <xdr:to>
      <xdr:col>25</xdr:col>
      <xdr:colOff>12700</xdr:colOff>
      <xdr:row>42</xdr:row>
      <xdr:rowOff>25400</xdr:rowOff>
    </xdr:to>
    <xdr:graphicFrame macro="">
      <xdr:nvGraphicFramePr>
        <xdr:cNvPr id="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ensezener/Downloads/Burndown_Template_Petr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rint Sheet Template"/>
      <sheetName val="Task Slips"/>
    </sheetNames>
    <sheetDataSet>
      <sheetData sheetId="0"/>
      <sheetData sheetId="1"/>
      <sheetData sheetId="2"/>
      <sheetData sheetId="3"/>
      <sheetData sheetId="4">
        <row r="13">
          <cell r="D13">
            <v>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125" zoomScaleNormal="125" zoomScalePageLayoutView="125" workbookViewId="0">
      <selection activeCell="D27" sqref="D27"/>
    </sheetView>
  </sheetViews>
  <sheetFormatPr baseColWidth="10" defaultRowHeight="15" x14ac:dyDescent="0"/>
  <cols>
    <col min="1" max="1" width="3.1640625" bestFit="1" customWidth="1"/>
    <col min="2" max="2" width="53.6640625" bestFit="1" customWidth="1"/>
    <col min="3" max="3" width="10.1640625" bestFit="1" customWidth="1"/>
    <col min="4" max="4" width="12.83203125" bestFit="1" customWidth="1"/>
    <col min="5" max="5" width="10.5" bestFit="1" customWidth="1"/>
    <col min="6" max="6" width="3.1640625" bestFit="1" customWidth="1"/>
    <col min="7" max="7" width="3.6640625" customWidth="1"/>
    <col min="8" max="8" width="53.6640625" bestFit="1" customWidth="1"/>
    <col min="9" max="9" width="17" bestFit="1" customWidth="1"/>
    <col min="10" max="10" width="12.83203125" bestFit="1" customWidth="1"/>
    <col min="11" max="11" width="12.83203125" customWidth="1"/>
    <col min="12" max="12" width="19.1640625" bestFit="1" customWidth="1"/>
  </cols>
  <sheetData>
    <row r="1" spans="1:12">
      <c r="A1" s="22" t="s">
        <v>0</v>
      </c>
      <c r="B1" s="22"/>
      <c r="C1" s="1"/>
      <c r="D1" s="1"/>
      <c r="E1" s="1"/>
      <c r="F1" s="1"/>
      <c r="G1" s="1" t="s">
        <v>5</v>
      </c>
      <c r="H1" s="1"/>
      <c r="I1" s="1"/>
      <c r="J1" s="1"/>
      <c r="K1" s="1"/>
    </row>
    <row r="2" spans="1:12">
      <c r="A2" s="1" t="s">
        <v>1</v>
      </c>
      <c r="B2" s="1" t="s">
        <v>2</v>
      </c>
      <c r="C2" s="1" t="s">
        <v>3</v>
      </c>
      <c r="D2" s="1" t="s">
        <v>4</v>
      </c>
      <c r="E2" s="1" t="s">
        <v>75</v>
      </c>
      <c r="F2" s="1"/>
      <c r="G2" s="1" t="s">
        <v>1</v>
      </c>
      <c r="H2" s="1" t="s">
        <v>2</v>
      </c>
      <c r="I2" s="1" t="s">
        <v>6</v>
      </c>
      <c r="J2" s="1" t="s">
        <v>4</v>
      </c>
      <c r="K2" s="1" t="s">
        <v>7</v>
      </c>
      <c r="L2" s="1" t="s">
        <v>76</v>
      </c>
    </row>
    <row r="3" spans="1:12">
      <c r="A3" s="2">
        <v>1</v>
      </c>
      <c r="B3" s="3" t="s">
        <v>73</v>
      </c>
      <c r="C3">
        <v>5</v>
      </c>
      <c r="D3">
        <v>8</v>
      </c>
      <c r="E3" t="s">
        <v>77</v>
      </c>
      <c r="G3">
        <v>13</v>
      </c>
      <c r="H3" t="s">
        <v>17</v>
      </c>
      <c r="I3" t="s">
        <v>24</v>
      </c>
      <c r="J3">
        <v>6</v>
      </c>
      <c r="K3">
        <v>100</v>
      </c>
      <c r="L3">
        <v>0</v>
      </c>
    </row>
    <row r="4" spans="1:12">
      <c r="A4" s="2">
        <v>2</v>
      </c>
      <c r="B4" t="s">
        <v>28</v>
      </c>
      <c r="C4">
        <v>5</v>
      </c>
      <c r="D4">
        <v>6</v>
      </c>
      <c r="E4">
        <v>6</v>
      </c>
      <c r="G4" s="2">
        <v>11</v>
      </c>
      <c r="H4" t="s">
        <v>26</v>
      </c>
      <c r="I4" t="s">
        <v>29</v>
      </c>
      <c r="J4">
        <v>6</v>
      </c>
      <c r="K4">
        <v>100</v>
      </c>
      <c r="L4">
        <v>80</v>
      </c>
    </row>
    <row r="5" spans="1:12">
      <c r="A5" s="2">
        <v>3</v>
      </c>
      <c r="B5" t="s">
        <v>13</v>
      </c>
      <c r="C5">
        <v>5</v>
      </c>
      <c r="D5">
        <v>4</v>
      </c>
      <c r="E5">
        <v>3</v>
      </c>
      <c r="G5">
        <v>14</v>
      </c>
      <c r="H5" t="s">
        <v>18</v>
      </c>
      <c r="I5" t="s">
        <v>29</v>
      </c>
      <c r="J5">
        <v>6</v>
      </c>
      <c r="K5">
        <v>50</v>
      </c>
      <c r="L5">
        <v>0</v>
      </c>
    </row>
    <row r="6" spans="1:12">
      <c r="A6" s="2">
        <v>4</v>
      </c>
      <c r="B6" t="s">
        <v>9</v>
      </c>
      <c r="C6">
        <v>5</v>
      </c>
      <c r="D6">
        <v>4</v>
      </c>
      <c r="E6">
        <v>3</v>
      </c>
      <c r="G6" s="2">
        <v>4</v>
      </c>
      <c r="H6" t="s">
        <v>9</v>
      </c>
      <c r="I6" t="s">
        <v>27</v>
      </c>
      <c r="J6">
        <v>4</v>
      </c>
      <c r="K6">
        <v>100</v>
      </c>
      <c r="L6">
        <v>75</v>
      </c>
    </row>
    <row r="7" spans="1:12">
      <c r="A7" s="2">
        <v>5</v>
      </c>
      <c r="B7" t="s">
        <v>10</v>
      </c>
      <c r="C7">
        <v>2</v>
      </c>
      <c r="D7">
        <v>4</v>
      </c>
      <c r="E7">
        <v>2</v>
      </c>
      <c r="G7">
        <v>12</v>
      </c>
      <c r="H7" t="s">
        <v>23</v>
      </c>
      <c r="I7" t="s">
        <v>27</v>
      </c>
      <c r="J7">
        <v>6</v>
      </c>
      <c r="K7">
        <v>100</v>
      </c>
      <c r="L7">
        <v>75</v>
      </c>
    </row>
    <row r="8" spans="1:12">
      <c r="A8" s="2">
        <v>6</v>
      </c>
      <c r="B8" t="s">
        <v>20</v>
      </c>
      <c r="C8">
        <v>2</v>
      </c>
      <c r="D8">
        <v>10</v>
      </c>
      <c r="E8" t="s">
        <v>77</v>
      </c>
      <c r="G8" s="2">
        <v>5</v>
      </c>
      <c r="H8" t="s">
        <v>10</v>
      </c>
      <c r="I8" t="s">
        <v>25</v>
      </c>
      <c r="J8">
        <v>4</v>
      </c>
      <c r="K8">
        <v>100</v>
      </c>
      <c r="L8">
        <v>50</v>
      </c>
    </row>
    <row r="9" spans="1:12">
      <c r="A9" s="2">
        <v>7</v>
      </c>
      <c r="B9" t="s">
        <v>11</v>
      </c>
      <c r="C9">
        <v>2</v>
      </c>
      <c r="D9">
        <v>4</v>
      </c>
      <c r="E9" t="s">
        <v>77</v>
      </c>
      <c r="G9" s="2">
        <v>3</v>
      </c>
      <c r="H9" t="s">
        <v>13</v>
      </c>
      <c r="I9" t="s">
        <v>25</v>
      </c>
      <c r="J9">
        <v>4</v>
      </c>
      <c r="K9">
        <v>100</v>
      </c>
      <c r="L9">
        <v>75</v>
      </c>
    </row>
    <row r="10" spans="1:12">
      <c r="A10" s="2">
        <v>8</v>
      </c>
      <c r="B10" t="s">
        <v>12</v>
      </c>
      <c r="C10">
        <v>1</v>
      </c>
      <c r="D10">
        <v>4</v>
      </c>
      <c r="E10">
        <v>2</v>
      </c>
      <c r="I10" s="22" t="s">
        <v>30</v>
      </c>
      <c r="J10" s="22"/>
      <c r="K10">
        <f>SUMPRODUCT(J3:J9,K3:K9 - L3:L9)/100</f>
        <v>15.7</v>
      </c>
    </row>
    <row r="11" spans="1:12">
      <c r="A11" s="2">
        <v>9</v>
      </c>
      <c r="B11" t="s">
        <v>16</v>
      </c>
      <c r="C11">
        <v>3</v>
      </c>
      <c r="D11">
        <v>4</v>
      </c>
      <c r="E11" t="s">
        <v>8</v>
      </c>
    </row>
    <row r="12" spans="1:12">
      <c r="A12" s="2">
        <v>10</v>
      </c>
      <c r="B12" t="s">
        <v>15</v>
      </c>
      <c r="C12">
        <v>3</v>
      </c>
      <c r="D12">
        <v>4</v>
      </c>
      <c r="E12" t="s">
        <v>77</v>
      </c>
    </row>
    <row r="13" spans="1:12">
      <c r="A13" s="2">
        <v>11</v>
      </c>
      <c r="B13" t="s">
        <v>26</v>
      </c>
      <c r="C13">
        <v>3</v>
      </c>
      <c r="D13">
        <v>6</v>
      </c>
      <c r="E13">
        <v>4.8</v>
      </c>
    </row>
    <row r="14" spans="1:12">
      <c r="A14">
        <v>12</v>
      </c>
      <c r="B14" t="s">
        <v>23</v>
      </c>
      <c r="C14">
        <v>3</v>
      </c>
      <c r="D14">
        <v>6</v>
      </c>
      <c r="E14">
        <v>4.5</v>
      </c>
    </row>
    <row r="15" spans="1:12">
      <c r="A15">
        <v>13</v>
      </c>
      <c r="B15" t="s">
        <v>17</v>
      </c>
      <c r="C15">
        <v>3</v>
      </c>
      <c r="D15">
        <v>6</v>
      </c>
      <c r="E15" t="s">
        <v>8</v>
      </c>
    </row>
    <row r="16" spans="1:12">
      <c r="A16">
        <v>14</v>
      </c>
      <c r="B16" t="s">
        <v>18</v>
      </c>
      <c r="C16">
        <v>3</v>
      </c>
      <c r="D16">
        <v>6</v>
      </c>
      <c r="E16" t="s">
        <v>8</v>
      </c>
    </row>
    <row r="17" spans="1:5">
      <c r="A17">
        <v>15</v>
      </c>
      <c r="B17" t="s">
        <v>14</v>
      </c>
      <c r="C17">
        <v>2</v>
      </c>
      <c r="D17">
        <v>2</v>
      </c>
      <c r="E17" t="s">
        <v>77</v>
      </c>
    </row>
    <row r="18" spans="1:5">
      <c r="A18">
        <v>16</v>
      </c>
      <c r="B18" t="s">
        <v>19</v>
      </c>
      <c r="C18">
        <v>1</v>
      </c>
      <c r="D18">
        <v>4</v>
      </c>
      <c r="E18" t="s">
        <v>8</v>
      </c>
    </row>
    <row r="19" spans="1:5">
      <c r="A19">
        <v>17</v>
      </c>
      <c r="B19" t="s">
        <v>21</v>
      </c>
      <c r="C19">
        <v>4</v>
      </c>
      <c r="D19">
        <v>4</v>
      </c>
      <c r="E19" t="s">
        <v>77</v>
      </c>
    </row>
    <row r="20" spans="1:5">
      <c r="A20">
        <v>18</v>
      </c>
      <c r="B20" t="s">
        <v>22</v>
      </c>
      <c r="C20">
        <v>3</v>
      </c>
      <c r="D20">
        <v>2</v>
      </c>
      <c r="E20" t="s">
        <v>77</v>
      </c>
    </row>
    <row r="23" spans="1:5">
      <c r="C23" s="1" t="s">
        <v>74</v>
      </c>
      <c r="D23">
        <f>SUM(D3:D20)</f>
        <v>88</v>
      </c>
    </row>
  </sheetData>
  <mergeCells count="2">
    <mergeCell ref="A1:B1"/>
    <mergeCell ref="I10:J1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Z51"/>
  <sheetViews>
    <sheetView zoomScale="125" zoomScaleNormal="125" zoomScalePageLayoutView="125" workbookViewId="0">
      <selection activeCell="AA19" sqref="AA19"/>
    </sheetView>
  </sheetViews>
  <sheetFormatPr baseColWidth="10" defaultColWidth="8.83203125" defaultRowHeight="12" x14ac:dyDescent="0"/>
  <cols>
    <col min="1" max="1" width="11.83203125" style="5" customWidth="1"/>
    <col min="2" max="4" width="8.83203125" style="5"/>
    <col min="5" max="5" width="14.5" style="5" customWidth="1"/>
    <col min="6" max="6" width="15.6640625" style="5" hidden="1" customWidth="1"/>
    <col min="7" max="8" width="5.5" style="5" hidden="1" customWidth="1"/>
    <col min="9" max="9" width="7.33203125" style="5" hidden="1" customWidth="1"/>
    <col min="10" max="10" width="4.33203125" style="5" hidden="1" customWidth="1"/>
    <col min="11" max="13" width="6.83203125" style="5" hidden="1" customWidth="1"/>
    <col min="14" max="16" width="9.1640625" style="5" hidden="1" customWidth="1"/>
    <col min="17" max="17" width="10.5" style="5" hidden="1" customWidth="1"/>
    <col min="18" max="16384" width="8.83203125" style="5"/>
  </cols>
  <sheetData>
    <row r="1" spans="1:26" ht="17">
      <c r="A1" s="4" t="s">
        <v>31</v>
      </c>
    </row>
    <row r="3" spans="1:26">
      <c r="A3" s="5" t="s">
        <v>32</v>
      </c>
      <c r="D3" s="5">
        <v>88</v>
      </c>
      <c r="F3" s="5" t="s">
        <v>33</v>
      </c>
      <c r="G3" s="6">
        <f>IF(COUNT(B28:B32)=0,1,COUNT(B28:B32))</f>
        <v>5</v>
      </c>
    </row>
    <row r="4" spans="1:26">
      <c r="A4" s="5" t="s">
        <v>34</v>
      </c>
      <c r="D4" s="5">
        <v>4</v>
      </c>
      <c r="E4" s="5" t="s">
        <v>35</v>
      </c>
      <c r="F4" s="5" t="s">
        <v>36</v>
      </c>
      <c r="G4" s="6">
        <f>IF(COUNT(D28:D32)=0,1,COUNT(D28:D32)+1)</f>
        <v>5</v>
      </c>
    </row>
    <row r="5" spans="1:26">
      <c r="F5" s="5" t="s">
        <v>37</v>
      </c>
      <c r="G5" s="6">
        <f>IF(G4&gt;D4,G4-D4,0)</f>
        <v>1</v>
      </c>
      <c r="Z5" s="7"/>
    </row>
    <row r="6" spans="1:26">
      <c r="A6" s="8" t="s">
        <v>38</v>
      </c>
      <c r="F6" s="5" t="s">
        <v>39</v>
      </c>
      <c r="G6" s="6">
        <f>TrendSprintCount-TrendOffset</f>
        <v>4</v>
      </c>
      <c r="Z6" s="7"/>
    </row>
    <row r="7" spans="1:26">
      <c r="A7" s="5" t="s">
        <v>40</v>
      </c>
      <c r="D7" s="5">
        <v>30</v>
      </c>
      <c r="Z7" s="7"/>
    </row>
    <row r="8" spans="1:26">
      <c r="A8" s="23">
        <f>D$4</f>
        <v>4</v>
      </c>
      <c r="B8" s="23"/>
      <c r="D8" s="9">
        <f ca="1">IF(D28="","",AVERAGE(OFFSET(D27,TrendOffset,0,SprintsInTrend,1)))</f>
        <v>19.25</v>
      </c>
      <c r="Z8" s="7"/>
    </row>
    <row r="9" spans="1:26">
      <c r="A9" s="5" t="s">
        <v>41</v>
      </c>
      <c r="D9" s="9">
        <f ca="1">IF(D28="","",AVERAGE(OFFSET(D27,1,0,SprintCount,1)))</f>
        <v>19.25</v>
      </c>
      <c r="F9" s="5" t="s">
        <v>42</v>
      </c>
      <c r="G9" s="6">
        <f ca="1">IF(M28="",1,COUNT(M28:M110))</f>
        <v>5</v>
      </c>
      <c r="Z9" s="7"/>
    </row>
    <row r="10" spans="1:26">
      <c r="A10" s="5" t="s">
        <v>43</v>
      </c>
      <c r="D10" s="9">
        <f ca="1">IF(D28="","",AVERAGE(LastEight))</f>
        <v>19.25</v>
      </c>
      <c r="Z10" s="7"/>
    </row>
    <row r="11" spans="1:26">
      <c r="A11" s="5" t="s">
        <v>44</v>
      </c>
      <c r="D11" s="9">
        <f ca="1">IF(D28="","",IF(TrendSprintCount&lt;4,D10,AVERAGE(SMALL(LastEight,1),SMALL(LastEight,2),SMALL(LastEight,3))))</f>
        <v>18.5</v>
      </c>
      <c r="Z11" s="7"/>
    </row>
    <row r="12" spans="1:26">
      <c r="A12" s="5" t="s">
        <v>45</v>
      </c>
      <c r="D12" s="9">
        <f ca="1">IF(M29="","",M28-M29)</f>
        <v>19.490000000000009</v>
      </c>
      <c r="Z12" s="7"/>
    </row>
    <row r="13" spans="1:26">
      <c r="F13" s="10" t="s">
        <v>46</v>
      </c>
      <c r="Z13" s="7"/>
    </row>
    <row r="14" spans="1:26">
      <c r="A14" s="8" t="s">
        <v>47</v>
      </c>
    </row>
    <row r="15" spans="1:26">
      <c r="A15" s="5" t="s">
        <v>48</v>
      </c>
      <c r="D15" s="11">
        <f>IF(D7="",0,ROUNDUP(D3/D7*0.6,0))</f>
        <v>2</v>
      </c>
    </row>
    <row r="16" spans="1:26">
      <c r="A16" s="5" t="s">
        <v>49</v>
      </c>
      <c r="D16" s="11">
        <f>IF(D7="",0,ROUNDUP(D3/D7,0))</f>
        <v>3</v>
      </c>
    </row>
    <row r="17" spans="1:17">
      <c r="A17" s="5" t="s">
        <v>50</v>
      </c>
      <c r="D17" s="11">
        <f>IF(D7="",0,ROUNDUP(D3/D7*1.6,0))</f>
        <v>5</v>
      </c>
      <c r="F17" s="5" t="s">
        <v>51</v>
      </c>
      <c r="G17" s="5">
        <f>IF(OR(D28="",D29=""),1,STDEV(D28:D31))</f>
        <v>2.5488559525141214</v>
      </c>
    </row>
    <row r="18" spans="1:17">
      <c r="A18" s="23">
        <f>D$4</f>
        <v>4</v>
      </c>
      <c r="B18" s="23"/>
      <c r="D18" s="11">
        <f ca="1">IF(D8="","",IF(LastRealized="",ROUNDUP(LastPlanned/D8,0)+SprintCount-1,ROUNDUP((LastPlanned-LastRealized)/D8+SprintCount,0)))</f>
        <v>5</v>
      </c>
    </row>
    <row r="19" spans="1:17">
      <c r="A19" s="5" t="s">
        <v>52</v>
      </c>
      <c r="D19" s="11">
        <f ca="1">IF(D9="","",IF(LastRealized="",ROUNDUP(LastPlanned/D9+SprintCount-1,0),ROUNDUP((LastPlanned-LastRealized)/D9,0)+SprintCount))</f>
        <v>5</v>
      </c>
      <c r="F19" s="5" t="s">
        <v>53</v>
      </c>
      <c r="G19" s="5">
        <f ca="1">LastPlanned</f>
        <v>11</v>
      </c>
    </row>
    <row r="20" spans="1:17">
      <c r="A20" s="5" t="s">
        <v>43</v>
      </c>
      <c r="D20" s="11">
        <f ca="1">IF(D10="","",IF(LastRealized="",ROUNDUP(LastPlanned/D10+SprintCount-1,0),ROUNDUP((LastPlanned-LastRealized)/D10,0)+SprintCount))</f>
        <v>5</v>
      </c>
      <c r="F20" s="5" t="s">
        <v>54</v>
      </c>
      <c r="G20" s="5">
        <f ca="1">LastRealized</f>
        <v>0</v>
      </c>
    </row>
    <row r="21" spans="1:17">
      <c r="A21" s="5" t="s">
        <v>44</v>
      </c>
      <c r="D21" s="11">
        <f ca="1">IF(D11="","",IF(LastRealized="",ROUNDUP(LastPlanned/D11+SprintCount-1,0),ROUNDUP((LastPlanned-LastRealized)/D11,0)+SprintCount))</f>
        <v>5</v>
      </c>
    </row>
    <row r="22" spans="1:17">
      <c r="A22" s="5" t="s">
        <v>45</v>
      </c>
      <c r="D22" s="11">
        <v>3</v>
      </c>
    </row>
    <row r="23" spans="1:17">
      <c r="A23" s="5" t="s">
        <v>55</v>
      </c>
      <c r="D23" s="11">
        <f ca="1">IF(D9="","",IF(LastRealized="",ROUNDUP(LastPlanned/(D9+G17)+SprintCount-1,0),ROUNDUP((LastPlanned-LastRealized)/(D9+G17)+SprintCount,0)))</f>
        <v>5</v>
      </c>
    </row>
    <row r="24" spans="1:17">
      <c r="A24" s="5" t="s">
        <v>56</v>
      </c>
      <c r="D24" s="11">
        <f ca="1">IF(D9="","",IF(LastRealized="",ROUNDUP(LastPlanned/(D9-G17)+SprintCount-1,0),ROUNDUP((LastPlanned-LastRealized)/(D9-G17)+SprintCount,0)))</f>
        <v>5</v>
      </c>
    </row>
    <row r="26" spans="1:17" ht="12.75" customHeight="1">
      <c r="F26" s="24" t="s">
        <v>45</v>
      </c>
      <c r="G26" s="24"/>
      <c r="H26" s="24"/>
      <c r="I26" s="24"/>
      <c r="J26" s="24"/>
      <c r="K26" s="24"/>
      <c r="L26" s="24"/>
      <c r="M26" s="24"/>
      <c r="N26" s="24"/>
      <c r="O26" s="24" t="s">
        <v>57</v>
      </c>
      <c r="P26" s="24"/>
      <c r="Q26" s="24"/>
    </row>
    <row r="27" spans="1:17" s="18" customFormat="1" ht="25" thickBot="1">
      <c r="A27" s="12" t="s">
        <v>58</v>
      </c>
      <c r="B27" s="13" t="s">
        <v>59</v>
      </c>
      <c r="C27" s="13" t="s">
        <v>60</v>
      </c>
      <c r="D27" s="14" t="s">
        <v>61</v>
      </c>
      <c r="E27" s="14" t="s">
        <v>62</v>
      </c>
      <c r="F27" s="15" t="s">
        <v>63</v>
      </c>
      <c r="G27" s="25" t="s">
        <v>64</v>
      </c>
      <c r="H27" s="25"/>
      <c r="I27" s="15" t="s">
        <v>65</v>
      </c>
      <c r="J27" s="16"/>
      <c r="K27" s="15" t="s">
        <v>66</v>
      </c>
      <c r="L27" s="15" t="s">
        <v>67</v>
      </c>
      <c r="M27" s="15" t="s">
        <v>68</v>
      </c>
      <c r="N27" s="17" t="s">
        <v>69</v>
      </c>
      <c r="O27" s="15" t="s">
        <v>70</v>
      </c>
      <c r="P27" s="15" t="s">
        <v>71</v>
      </c>
      <c r="Q27" s="15" t="s">
        <v>72</v>
      </c>
    </row>
    <row r="28" spans="1:17">
      <c r="A28" s="19">
        <v>1</v>
      </c>
      <c r="B28" s="20">
        <f>D3</f>
        <v>88</v>
      </c>
      <c r="C28" s="20">
        <v>24</v>
      </c>
      <c r="D28" s="20">
        <v>19.2</v>
      </c>
      <c r="E28" s="19">
        <f>B28</f>
        <v>88</v>
      </c>
      <c r="F28" s="6">
        <f>B28</f>
        <v>88</v>
      </c>
      <c r="G28" s="6">
        <f t="shared" ref="G28:G31" si="0">F28</f>
        <v>88</v>
      </c>
      <c r="H28" s="6">
        <f t="shared" ref="H28:H31" si="1">I28</f>
        <v>0</v>
      </c>
      <c r="I28" s="6">
        <v>0</v>
      </c>
      <c r="K28" s="5">
        <f t="shared" ref="F28:K51" si="2">IF(F28&lt;I28,I28,F28)</f>
        <v>88</v>
      </c>
      <c r="L28" s="6">
        <f t="shared" ref="L28:L31" ca="1" si="3">IF(TREND(OFFSET($K$27,TrendOffset+1,0,SprintsInTrend,1),OFFSET($A$27,TrendOffset+1,0,SprintsInTrend,1),A28)&lt;N28,N28,TREND(OFFSET($K$27,TrendOffset+1,0,SprintsInTrend,1),OFFSET($A$27,TrendOffset+1,0,SprintsInTrend,1),A28))</f>
        <v>87.4</v>
      </c>
      <c r="M28" s="6">
        <f ca="1">L28</f>
        <v>87.4</v>
      </c>
      <c r="N28" s="6">
        <f t="shared" ref="I28:N51" ca="1" si="4">OFFSET($I$27,TrendSprintCount,0,1,1)</f>
        <v>0</v>
      </c>
      <c r="O28" s="21">
        <f t="shared" ref="O28:O31" ca="1" si="5">D$9</f>
        <v>19.25</v>
      </c>
      <c r="P28" s="21">
        <f t="shared" ref="P28:P31" ca="1" si="6">D$10</f>
        <v>19.25</v>
      </c>
      <c r="Q28" s="21">
        <f t="shared" ref="Q28:Q31" ca="1" si="7">D$11</f>
        <v>18.5</v>
      </c>
    </row>
    <row r="29" spans="1:17">
      <c r="A29" s="19">
        <v>2</v>
      </c>
      <c r="B29" s="20">
        <f>B28-D28</f>
        <v>68.8</v>
      </c>
      <c r="C29" s="20">
        <v>24</v>
      </c>
      <c r="D29" s="20">
        <v>20.6</v>
      </c>
      <c r="E29" s="19">
        <f>IF(B29="","",IF(D28="",E28,B29+SUM(D$28:D28)))</f>
        <v>88</v>
      </c>
      <c r="F29" s="6">
        <f t="shared" ref="F29:F31" si="8">IF(B29="",IF(B28="","",IF(D28="","",I28)),IF(AND(D28="",C28=""),"",IF(AND(D28="",C28&lt;&gt;""),IF(I28&gt;F28,F28,I28),F28-D28)))</f>
        <v>68.8</v>
      </c>
      <c r="G29" s="6">
        <f t="shared" si="0"/>
        <v>68.8</v>
      </c>
      <c r="H29" s="6">
        <f t="shared" si="1"/>
        <v>3.5527136788005009E-15</v>
      </c>
      <c r="I29" s="6">
        <f>IF(B29="",IF(B28="","",IF(D28="","",F28-D28)),IF(AND(C28="",D28=""),"",IF(AND(D28="",C28&lt;&gt;""),IF(I28&gt;F28,I28-C28,F28-C28),B$28-B29-SUM(D$28:D28))))</f>
        <v>3.5527136788005009E-15</v>
      </c>
      <c r="K29" s="5">
        <f t="shared" si="2"/>
        <v>68.8</v>
      </c>
      <c r="L29" s="6">
        <f t="shared" ca="1" si="3"/>
        <v>67.91</v>
      </c>
      <c r="M29" s="6">
        <f ca="1">IF(L29=L28,"",L29)</f>
        <v>67.91</v>
      </c>
      <c r="N29" s="6">
        <f t="shared" ca="1" si="4"/>
        <v>0</v>
      </c>
      <c r="O29" s="21">
        <f t="shared" ca="1" si="5"/>
        <v>19.25</v>
      </c>
      <c r="P29" s="21">
        <f t="shared" ca="1" si="6"/>
        <v>19.25</v>
      </c>
      <c r="Q29" s="21">
        <f t="shared" ca="1" si="7"/>
        <v>18.5</v>
      </c>
    </row>
    <row r="30" spans="1:17">
      <c r="A30" s="19">
        <v>3</v>
      </c>
      <c r="B30" s="20">
        <f>B29-D29</f>
        <v>48.199999999999996</v>
      </c>
      <c r="C30" s="20">
        <v>22</v>
      </c>
      <c r="D30" s="20">
        <v>21.5</v>
      </c>
      <c r="E30" s="19">
        <f>IF(B30="","",IF(D29="",E29,B30+SUM(D$28:D29)))</f>
        <v>88</v>
      </c>
      <c r="F30" s="6">
        <f t="shared" si="8"/>
        <v>48.199999999999996</v>
      </c>
      <c r="G30" s="6">
        <f t="shared" si="0"/>
        <v>48.199999999999996</v>
      </c>
      <c r="H30" s="6">
        <f t="shared" si="1"/>
        <v>7.1054273576010019E-15</v>
      </c>
      <c r="I30" s="6">
        <f>IF(B30="",IF(B29="","",IF(D29="","",F29-D29)),IF(AND(C29="",D29=""),"",IF(AND(D29="",C29&lt;&gt;""),IF(I29&gt;F29,I29-C29,F29-C29),B$28-B30-SUM(D$28:D29))))</f>
        <v>7.1054273576010019E-15</v>
      </c>
      <c r="K30" s="5">
        <f t="shared" si="2"/>
        <v>48.199999999999996</v>
      </c>
      <c r="L30" s="6">
        <f t="shared" ca="1" si="3"/>
        <v>48.42</v>
      </c>
      <c r="M30" s="6">
        <f t="shared" ref="H30:M51" ca="1" si="9">IF(L30=L29,"",L30)</f>
        <v>48.42</v>
      </c>
      <c r="N30" s="6">
        <f t="shared" ca="1" si="4"/>
        <v>0</v>
      </c>
      <c r="O30" s="21">
        <f t="shared" ca="1" si="5"/>
        <v>19.25</v>
      </c>
      <c r="P30" s="21">
        <f t="shared" ca="1" si="6"/>
        <v>19.25</v>
      </c>
      <c r="Q30" s="21">
        <f t="shared" ca="1" si="7"/>
        <v>18.5</v>
      </c>
    </row>
    <row r="31" spans="1:17">
      <c r="A31" s="19">
        <v>4</v>
      </c>
      <c r="B31" s="20">
        <f>B30-D30</f>
        <v>26.699999999999996</v>
      </c>
      <c r="C31" s="20">
        <v>18</v>
      </c>
      <c r="D31" s="20">
        <v>15.7</v>
      </c>
      <c r="E31" s="19">
        <f>IF(B31="","",IF(D30="",E30,B31+SUM(D$28:D30)))</f>
        <v>88</v>
      </c>
      <c r="F31" s="6">
        <f t="shared" si="8"/>
        <v>26.699999999999996</v>
      </c>
      <c r="G31" s="6">
        <f t="shared" si="0"/>
        <v>26.699999999999996</v>
      </c>
      <c r="H31" s="6">
        <f t="shared" si="1"/>
        <v>7.1054273576010019E-15</v>
      </c>
      <c r="I31" s="6">
        <f>IF(B31="",IF(B30="","",IF(D30="","",F30-D30)),IF(AND(C30="",D30=""),"",IF(AND(D30="",C30&lt;&gt;""),IF(I30&gt;F30,I30-C30,F30-C30),B$28-B31-SUM(D$28:D30))))</f>
        <v>7.1054273576010019E-15</v>
      </c>
      <c r="K31" s="5">
        <f t="shared" si="2"/>
        <v>26.699999999999996</v>
      </c>
      <c r="L31" s="6">
        <f t="shared" ca="1" si="3"/>
        <v>28.929999999999993</v>
      </c>
      <c r="M31" s="6">
        <f t="shared" ca="1" si="9"/>
        <v>28.929999999999993</v>
      </c>
      <c r="N31" s="6">
        <f t="shared" ca="1" si="4"/>
        <v>0</v>
      </c>
      <c r="O31" s="21">
        <f t="shared" ca="1" si="5"/>
        <v>19.25</v>
      </c>
      <c r="P31" s="21">
        <f t="shared" ca="1" si="6"/>
        <v>19.25</v>
      </c>
      <c r="Q31" s="21">
        <f t="shared" ca="1" si="7"/>
        <v>18.5</v>
      </c>
    </row>
    <row r="32" spans="1:17">
      <c r="A32" s="19">
        <v>5</v>
      </c>
      <c r="B32" s="20">
        <v>11</v>
      </c>
      <c r="C32" s="20"/>
      <c r="D32" s="20"/>
      <c r="E32" s="19">
        <v>88</v>
      </c>
      <c r="F32" s="6">
        <f t="shared" ref="F32" si="10">IF(B32="",IF(B31="","",IF(D31="","",I31)),IF(AND(D31="",C31=""),"",IF(AND(D31="",C31&lt;&gt;""),IF(I31&gt;F31,F31,I31),F31-D31)))</f>
        <v>10.999999999999996</v>
      </c>
      <c r="G32" s="6">
        <f t="shared" ref="G32" si="11">F32</f>
        <v>10.999999999999996</v>
      </c>
      <c r="H32" s="6">
        <f t="shared" ref="H32" si="12">I32</f>
        <v>0</v>
      </c>
      <c r="I32" s="6">
        <f>IF(B32="",IF(B31="","",IF(D31="","",F31-D31)),IF(AND(C31="",D31=""),"",IF(AND(D31="",C31&lt;&gt;""),IF(I31&gt;F31,I31-C31,F31-C31),B$28-B32-SUM(D$28:D31))))</f>
        <v>0</v>
      </c>
      <c r="K32" s="5">
        <f t="shared" ref="K32" si="13">IF(F32&lt;I32,I32,F32)</f>
        <v>10.999999999999996</v>
      </c>
      <c r="L32" s="6">
        <f t="shared" ref="L32" ca="1" si="14">IF(TREND(OFFSET($K$27,TrendOffset+1,0,SprintsInTrend,1),OFFSET($A$27,TrendOffset+1,0,SprintsInTrend,1),A32)&lt;N32,N32,TREND(OFFSET($K$27,TrendOffset+1,0,SprintsInTrend,1),OFFSET($A$27,TrendOffset+1,0,SprintsInTrend,1),A32))</f>
        <v>9.4399999999999835</v>
      </c>
      <c r="M32" s="6">
        <f t="shared" ref="M32" ca="1" si="15">IF(L32=L31,"",L32)</f>
        <v>9.4399999999999835</v>
      </c>
      <c r="N32" s="6">
        <f t="shared" ca="1" si="4"/>
        <v>0</v>
      </c>
      <c r="O32" s="21">
        <f t="shared" ref="O32" ca="1" si="16">D$9</f>
        <v>19.25</v>
      </c>
      <c r="P32" s="21">
        <f t="shared" ref="P32" ca="1" si="17">D$10</f>
        <v>19.25</v>
      </c>
      <c r="Q32" s="21">
        <f t="shared" ref="Q32" ca="1" si="18">D$11</f>
        <v>18.5</v>
      </c>
    </row>
    <row r="33" spans="6:12">
      <c r="F33" s="5">
        <f t="shared" si="2"/>
        <v>0</v>
      </c>
      <c r="G33" s="6" t="e">
        <f ca="1">IF(TREND(OFFSET($K$27,TrendOffset+1,0,SprintsInTrend,1),OFFSET($A$27,TrendOffset+1,0,SprintsInTrend,1),#REF!)&lt;I33,I33,TREND(OFFSET($K$27,TrendOffset+1,0,SprintsInTrend,1),OFFSET($A$27,TrendOffset+1,0,SprintsInTrend,1),#REF!))</f>
        <v>#REF!</v>
      </c>
      <c r="H33" s="6" t="e">
        <f t="shared" ca="1" si="9"/>
        <v>#REF!</v>
      </c>
      <c r="I33" s="6">
        <f t="shared" ca="1" si="4"/>
        <v>0</v>
      </c>
      <c r="J33" s="21">
        <f t="shared" ref="J32:J51" ca="1" si="19">D$9</f>
        <v>19.25</v>
      </c>
      <c r="K33" s="21">
        <f t="shared" ref="K32:K51" ca="1" si="20">D$10</f>
        <v>19.25</v>
      </c>
      <c r="L33" s="21">
        <f t="shared" ref="L32:L51" ca="1" si="21">D$11</f>
        <v>18.5</v>
      </c>
    </row>
    <row r="34" spans="6:12">
      <c r="F34" s="5">
        <f t="shared" si="2"/>
        <v>0</v>
      </c>
      <c r="G34" s="6" t="e">
        <f ca="1">IF(TREND(OFFSET($K$27,TrendOffset+1,0,SprintsInTrend,1),OFFSET($A$27,TrendOffset+1,0,SprintsInTrend,1),#REF!)&lt;I34,I34,TREND(OFFSET($K$27,TrendOffset+1,0,SprintsInTrend,1),OFFSET($A$27,TrendOffset+1,0,SprintsInTrend,1),#REF!))</f>
        <v>#REF!</v>
      </c>
      <c r="H34" s="6" t="e">
        <f t="shared" ca="1" si="9"/>
        <v>#REF!</v>
      </c>
      <c r="I34" s="6">
        <f t="shared" ca="1" si="4"/>
        <v>0</v>
      </c>
      <c r="J34" s="21">
        <f t="shared" ca="1" si="19"/>
        <v>19.25</v>
      </c>
      <c r="K34" s="21">
        <f t="shared" ca="1" si="20"/>
        <v>19.25</v>
      </c>
      <c r="L34" s="21">
        <f t="shared" ca="1" si="21"/>
        <v>18.5</v>
      </c>
    </row>
    <row r="35" spans="6:12">
      <c r="F35" s="5">
        <f t="shared" si="2"/>
        <v>0</v>
      </c>
      <c r="G35" s="6" t="e">
        <f ca="1">IF(TREND(OFFSET($K$27,TrendOffset+1,0,SprintsInTrend,1),OFFSET($A$27,TrendOffset+1,0,SprintsInTrend,1),#REF!)&lt;I35,I35,TREND(OFFSET($K$27,TrendOffset+1,0,SprintsInTrend,1),OFFSET($A$27,TrendOffset+1,0,SprintsInTrend,1),#REF!))</f>
        <v>#REF!</v>
      </c>
      <c r="H35" s="6" t="e">
        <f t="shared" ca="1" si="9"/>
        <v>#REF!</v>
      </c>
      <c r="I35" s="6">
        <f t="shared" ca="1" si="4"/>
        <v>0</v>
      </c>
      <c r="J35" s="21">
        <f t="shared" ca="1" si="19"/>
        <v>19.25</v>
      </c>
      <c r="K35" s="21">
        <f t="shared" ca="1" si="20"/>
        <v>19.25</v>
      </c>
      <c r="L35" s="21">
        <f t="shared" ca="1" si="21"/>
        <v>18.5</v>
      </c>
    </row>
    <row r="36" spans="6:12">
      <c r="F36" s="5">
        <f t="shared" si="2"/>
        <v>0</v>
      </c>
      <c r="G36" s="6" t="e">
        <f ca="1">IF(TREND(OFFSET($K$27,TrendOffset+1,0,SprintsInTrend,1),OFFSET($A$27,TrendOffset+1,0,SprintsInTrend,1),#REF!)&lt;I36,I36,TREND(OFFSET($K$27,TrendOffset+1,0,SprintsInTrend,1),OFFSET($A$27,TrendOffset+1,0,SprintsInTrend,1),#REF!))</f>
        <v>#REF!</v>
      </c>
      <c r="H36" s="6" t="e">
        <f t="shared" ca="1" si="9"/>
        <v>#REF!</v>
      </c>
      <c r="I36" s="6">
        <f t="shared" ca="1" si="4"/>
        <v>0</v>
      </c>
      <c r="J36" s="21">
        <f t="shared" ca="1" si="19"/>
        <v>19.25</v>
      </c>
      <c r="K36" s="21">
        <f t="shared" ca="1" si="20"/>
        <v>19.25</v>
      </c>
      <c r="L36" s="21">
        <f t="shared" ca="1" si="21"/>
        <v>18.5</v>
      </c>
    </row>
    <row r="37" spans="6:12">
      <c r="F37" s="5">
        <f t="shared" si="2"/>
        <v>0</v>
      </c>
      <c r="G37" s="6" t="e">
        <f ca="1">IF(TREND(OFFSET($K$27,TrendOffset+1,0,SprintsInTrend,1),OFFSET($A$27,TrendOffset+1,0,SprintsInTrend,1),#REF!)&lt;I37,I37,TREND(OFFSET($K$27,TrendOffset+1,0,SprintsInTrend,1),OFFSET($A$27,TrendOffset+1,0,SprintsInTrend,1),#REF!))</f>
        <v>#REF!</v>
      </c>
      <c r="H37" s="6" t="e">
        <f t="shared" ca="1" si="9"/>
        <v>#REF!</v>
      </c>
      <c r="I37" s="6">
        <f t="shared" ca="1" si="4"/>
        <v>0</v>
      </c>
      <c r="J37" s="21">
        <f t="shared" ca="1" si="19"/>
        <v>19.25</v>
      </c>
      <c r="K37" s="21">
        <f t="shared" ca="1" si="20"/>
        <v>19.25</v>
      </c>
      <c r="L37" s="21">
        <f t="shared" ca="1" si="21"/>
        <v>18.5</v>
      </c>
    </row>
    <row r="38" spans="6:12">
      <c r="F38" s="5">
        <f t="shared" si="2"/>
        <v>0</v>
      </c>
      <c r="G38" s="6" t="e">
        <f ca="1">IF(TREND(OFFSET($K$27,TrendOffset+1,0,SprintsInTrend,1),OFFSET($A$27,TrendOffset+1,0,SprintsInTrend,1),#REF!)&lt;I38,I38,TREND(OFFSET($K$27,TrendOffset+1,0,SprintsInTrend,1),OFFSET($A$27,TrendOffset+1,0,SprintsInTrend,1),#REF!))</f>
        <v>#REF!</v>
      </c>
      <c r="H38" s="6" t="e">
        <f t="shared" ca="1" si="9"/>
        <v>#REF!</v>
      </c>
      <c r="I38" s="6">
        <f t="shared" ca="1" si="4"/>
        <v>0</v>
      </c>
      <c r="J38" s="21">
        <f t="shared" ca="1" si="19"/>
        <v>19.25</v>
      </c>
      <c r="K38" s="21">
        <f t="shared" ca="1" si="20"/>
        <v>19.25</v>
      </c>
      <c r="L38" s="21">
        <f t="shared" ca="1" si="21"/>
        <v>18.5</v>
      </c>
    </row>
    <row r="39" spans="6:12">
      <c r="F39" s="5">
        <f t="shared" si="2"/>
        <v>0</v>
      </c>
      <c r="G39" s="6" t="e">
        <f ca="1">IF(TREND(OFFSET($K$27,TrendOffset+1,0,SprintsInTrend,1),OFFSET($A$27,TrendOffset+1,0,SprintsInTrend,1),#REF!)&lt;I39,I39,TREND(OFFSET($K$27,TrendOffset+1,0,SprintsInTrend,1),OFFSET($A$27,TrendOffset+1,0,SprintsInTrend,1),#REF!))</f>
        <v>#REF!</v>
      </c>
      <c r="H39" s="6" t="e">
        <f t="shared" ca="1" si="9"/>
        <v>#REF!</v>
      </c>
      <c r="I39" s="6">
        <f t="shared" ca="1" si="4"/>
        <v>0</v>
      </c>
      <c r="J39" s="21">
        <f t="shared" ca="1" si="19"/>
        <v>19.25</v>
      </c>
      <c r="K39" s="21">
        <f t="shared" ca="1" si="20"/>
        <v>19.25</v>
      </c>
      <c r="L39" s="21">
        <f t="shared" ca="1" si="21"/>
        <v>18.5</v>
      </c>
    </row>
    <row r="40" spans="6:12">
      <c r="F40" s="5">
        <f t="shared" si="2"/>
        <v>0</v>
      </c>
      <c r="G40" s="6" t="e">
        <f ca="1">IF(TREND(OFFSET($K$27,TrendOffset+1,0,SprintsInTrend,1),OFFSET($A$27,TrendOffset+1,0,SprintsInTrend,1),#REF!)&lt;I40,I40,TREND(OFFSET($K$27,TrendOffset+1,0,SprintsInTrend,1),OFFSET($A$27,TrendOffset+1,0,SprintsInTrend,1),#REF!))</f>
        <v>#REF!</v>
      </c>
      <c r="H40" s="6" t="e">
        <f t="shared" ca="1" si="9"/>
        <v>#REF!</v>
      </c>
      <c r="I40" s="6">
        <f t="shared" ca="1" si="4"/>
        <v>0</v>
      </c>
      <c r="J40" s="21">
        <f t="shared" ca="1" si="19"/>
        <v>19.25</v>
      </c>
      <c r="K40" s="21">
        <f t="shared" ca="1" si="20"/>
        <v>19.25</v>
      </c>
      <c r="L40" s="21">
        <f t="shared" ca="1" si="21"/>
        <v>18.5</v>
      </c>
    </row>
    <row r="41" spans="6:12">
      <c r="F41" s="5">
        <f t="shared" si="2"/>
        <v>0</v>
      </c>
      <c r="G41" s="6" t="e">
        <f ca="1">IF(TREND(OFFSET($K$27,TrendOffset+1,0,SprintsInTrend,1),OFFSET($A$27,TrendOffset+1,0,SprintsInTrend,1),#REF!)&lt;I41,I41,TREND(OFFSET($K$27,TrendOffset+1,0,SprintsInTrend,1),OFFSET($A$27,TrendOffset+1,0,SprintsInTrend,1),#REF!))</f>
        <v>#REF!</v>
      </c>
      <c r="H41" s="6" t="e">
        <f t="shared" ca="1" si="9"/>
        <v>#REF!</v>
      </c>
      <c r="I41" s="6">
        <f t="shared" ca="1" si="4"/>
        <v>0</v>
      </c>
      <c r="J41" s="21">
        <f t="shared" ca="1" si="19"/>
        <v>19.25</v>
      </c>
      <c r="K41" s="21">
        <f t="shared" ca="1" si="20"/>
        <v>19.25</v>
      </c>
      <c r="L41" s="21">
        <f t="shared" ca="1" si="21"/>
        <v>18.5</v>
      </c>
    </row>
    <row r="42" spans="6:12">
      <c r="F42" s="5">
        <f t="shared" si="2"/>
        <v>0</v>
      </c>
      <c r="G42" s="6" t="e">
        <f ca="1">IF(TREND(OFFSET($K$27,TrendOffset+1,0,SprintsInTrend,1),OFFSET($A$27,TrendOffset+1,0,SprintsInTrend,1),#REF!)&lt;I42,I42,TREND(OFFSET($K$27,TrendOffset+1,0,SprintsInTrend,1),OFFSET($A$27,TrendOffset+1,0,SprintsInTrend,1),#REF!))</f>
        <v>#REF!</v>
      </c>
      <c r="H42" s="6" t="e">
        <f t="shared" ca="1" si="9"/>
        <v>#REF!</v>
      </c>
      <c r="I42" s="6">
        <f t="shared" ca="1" si="4"/>
        <v>0</v>
      </c>
      <c r="J42" s="21">
        <f t="shared" ca="1" si="19"/>
        <v>19.25</v>
      </c>
      <c r="K42" s="21">
        <f t="shared" ca="1" si="20"/>
        <v>19.25</v>
      </c>
      <c r="L42" s="21">
        <f t="shared" ca="1" si="21"/>
        <v>18.5</v>
      </c>
    </row>
    <row r="43" spans="6:12">
      <c r="F43" s="5">
        <f t="shared" si="2"/>
        <v>0</v>
      </c>
      <c r="G43" s="6" t="e">
        <f ca="1">IF(TREND(OFFSET($K$27,TrendOffset+1,0,SprintsInTrend,1),OFFSET($A$27,TrendOffset+1,0,SprintsInTrend,1),#REF!)&lt;I43,I43,TREND(OFFSET($K$27,TrendOffset+1,0,SprintsInTrend,1),OFFSET($A$27,TrendOffset+1,0,SprintsInTrend,1),#REF!))</f>
        <v>#REF!</v>
      </c>
      <c r="H43" s="6" t="e">
        <f t="shared" ca="1" si="9"/>
        <v>#REF!</v>
      </c>
      <c r="I43" s="6">
        <f t="shared" ca="1" si="4"/>
        <v>0</v>
      </c>
      <c r="J43" s="21">
        <f t="shared" ca="1" si="19"/>
        <v>19.25</v>
      </c>
      <c r="K43" s="21">
        <f t="shared" ca="1" si="20"/>
        <v>19.25</v>
      </c>
      <c r="L43" s="21">
        <f t="shared" ca="1" si="21"/>
        <v>18.5</v>
      </c>
    </row>
    <row r="44" spans="6:12">
      <c r="F44" s="5">
        <f t="shared" si="2"/>
        <v>0</v>
      </c>
      <c r="G44" s="6" t="e">
        <f ca="1">IF(TREND(OFFSET($K$27,TrendOffset+1,0,SprintsInTrend,1),OFFSET($A$27,TrendOffset+1,0,SprintsInTrend,1),#REF!)&lt;I44,I44,TREND(OFFSET($K$27,TrendOffset+1,0,SprintsInTrend,1),OFFSET($A$27,TrendOffset+1,0,SprintsInTrend,1),#REF!))</f>
        <v>#REF!</v>
      </c>
      <c r="H44" s="6" t="e">
        <f t="shared" ca="1" si="9"/>
        <v>#REF!</v>
      </c>
      <c r="I44" s="6">
        <f t="shared" ca="1" si="4"/>
        <v>0</v>
      </c>
      <c r="J44" s="21">
        <f t="shared" ca="1" si="19"/>
        <v>19.25</v>
      </c>
      <c r="K44" s="21">
        <f t="shared" ca="1" si="20"/>
        <v>19.25</v>
      </c>
      <c r="L44" s="21">
        <f t="shared" ca="1" si="21"/>
        <v>18.5</v>
      </c>
    </row>
    <row r="45" spans="6:12">
      <c r="F45" s="5">
        <f t="shared" si="2"/>
        <v>0</v>
      </c>
      <c r="G45" s="6" t="e">
        <f ca="1">IF(TREND(OFFSET($K$27,TrendOffset+1,0,SprintsInTrend,1),OFFSET($A$27,TrendOffset+1,0,SprintsInTrend,1),#REF!)&lt;I45,I45,TREND(OFFSET($K$27,TrendOffset+1,0,SprintsInTrend,1),OFFSET($A$27,TrendOffset+1,0,SprintsInTrend,1),#REF!))</f>
        <v>#REF!</v>
      </c>
      <c r="H45" s="6" t="e">
        <f t="shared" ca="1" si="9"/>
        <v>#REF!</v>
      </c>
      <c r="I45" s="6">
        <f t="shared" ca="1" si="4"/>
        <v>0</v>
      </c>
      <c r="J45" s="21">
        <f t="shared" ca="1" si="19"/>
        <v>19.25</v>
      </c>
      <c r="K45" s="21">
        <f t="shared" ca="1" si="20"/>
        <v>19.25</v>
      </c>
      <c r="L45" s="21">
        <f t="shared" ca="1" si="21"/>
        <v>18.5</v>
      </c>
    </row>
    <row r="46" spans="6:12">
      <c r="F46" s="5">
        <f t="shared" si="2"/>
        <v>0</v>
      </c>
      <c r="G46" s="6" t="e">
        <f ca="1">IF(TREND(OFFSET($K$27,TrendOffset+1,0,SprintsInTrend,1),OFFSET($A$27,TrendOffset+1,0,SprintsInTrend,1),#REF!)&lt;I46,I46,TREND(OFFSET($K$27,TrendOffset+1,0,SprintsInTrend,1),OFFSET($A$27,TrendOffset+1,0,SprintsInTrend,1),#REF!))</f>
        <v>#REF!</v>
      </c>
      <c r="H46" s="6" t="e">
        <f t="shared" ca="1" si="9"/>
        <v>#REF!</v>
      </c>
      <c r="I46" s="6">
        <f t="shared" ca="1" si="4"/>
        <v>0</v>
      </c>
      <c r="J46" s="21">
        <f t="shared" ca="1" si="19"/>
        <v>19.25</v>
      </c>
      <c r="K46" s="21">
        <f t="shared" ca="1" si="20"/>
        <v>19.25</v>
      </c>
      <c r="L46" s="21">
        <f t="shared" ca="1" si="21"/>
        <v>18.5</v>
      </c>
    </row>
    <row r="47" spans="6:12">
      <c r="F47" s="5">
        <f t="shared" si="2"/>
        <v>0</v>
      </c>
      <c r="G47" s="6" t="e">
        <f ca="1">IF(TREND(OFFSET($K$27,TrendOffset+1,0,SprintsInTrend,1),OFFSET($A$27,TrendOffset+1,0,SprintsInTrend,1),#REF!)&lt;I47,I47,TREND(OFFSET($K$27,TrendOffset+1,0,SprintsInTrend,1),OFFSET($A$27,TrendOffset+1,0,SprintsInTrend,1),#REF!))</f>
        <v>#REF!</v>
      </c>
      <c r="H47" s="6" t="e">
        <f t="shared" ca="1" si="9"/>
        <v>#REF!</v>
      </c>
      <c r="I47" s="6">
        <f t="shared" ca="1" si="4"/>
        <v>0</v>
      </c>
      <c r="J47" s="21">
        <f t="shared" ca="1" si="19"/>
        <v>19.25</v>
      </c>
      <c r="K47" s="21">
        <f t="shared" ca="1" si="20"/>
        <v>19.25</v>
      </c>
      <c r="L47" s="21">
        <f t="shared" ca="1" si="21"/>
        <v>18.5</v>
      </c>
    </row>
    <row r="48" spans="6:12">
      <c r="F48" s="5">
        <f t="shared" si="2"/>
        <v>0</v>
      </c>
      <c r="G48" s="6" t="e">
        <f ca="1">IF(TREND(OFFSET($K$27,TrendOffset+1,0,SprintsInTrend,1),OFFSET($A$27,TrendOffset+1,0,SprintsInTrend,1),#REF!)&lt;I48,I48,TREND(OFFSET($K$27,TrendOffset+1,0,SprintsInTrend,1),OFFSET($A$27,TrendOffset+1,0,SprintsInTrend,1),#REF!))</f>
        <v>#REF!</v>
      </c>
      <c r="H48" s="6" t="e">
        <f t="shared" ca="1" si="9"/>
        <v>#REF!</v>
      </c>
      <c r="I48" s="6">
        <f t="shared" ca="1" si="4"/>
        <v>0</v>
      </c>
      <c r="J48" s="21">
        <f t="shared" ca="1" si="19"/>
        <v>19.25</v>
      </c>
      <c r="K48" s="21">
        <f t="shared" ca="1" si="20"/>
        <v>19.25</v>
      </c>
      <c r="L48" s="21">
        <f t="shared" ca="1" si="21"/>
        <v>18.5</v>
      </c>
    </row>
    <row r="49" spans="6:12">
      <c r="F49" s="5">
        <f t="shared" si="2"/>
        <v>0</v>
      </c>
      <c r="G49" s="6" t="e">
        <f ca="1">IF(TREND(OFFSET($K$27,TrendOffset+1,0,SprintsInTrend,1),OFFSET($A$27,TrendOffset+1,0,SprintsInTrend,1),#REF!)&lt;I49,I49,TREND(OFFSET($K$27,TrendOffset+1,0,SprintsInTrend,1),OFFSET($A$27,TrendOffset+1,0,SprintsInTrend,1),#REF!))</f>
        <v>#REF!</v>
      </c>
      <c r="H49" s="6" t="e">
        <f t="shared" ca="1" si="9"/>
        <v>#REF!</v>
      </c>
      <c r="I49" s="6">
        <f t="shared" ca="1" si="4"/>
        <v>0</v>
      </c>
      <c r="J49" s="21">
        <f t="shared" ca="1" si="19"/>
        <v>19.25</v>
      </c>
      <c r="K49" s="21">
        <f t="shared" ca="1" si="20"/>
        <v>19.25</v>
      </c>
      <c r="L49" s="21">
        <f t="shared" ca="1" si="21"/>
        <v>18.5</v>
      </c>
    </row>
    <row r="50" spans="6:12">
      <c r="F50" s="5">
        <f t="shared" si="2"/>
        <v>0</v>
      </c>
      <c r="G50" s="6" t="e">
        <f ca="1">IF(TREND(OFFSET($K$27,TrendOffset+1,0,SprintsInTrend,1),OFFSET($A$27,TrendOffset+1,0,SprintsInTrend,1),#REF!)&lt;I50,I50,TREND(OFFSET($K$27,TrendOffset+1,0,SprintsInTrend,1),OFFSET($A$27,TrendOffset+1,0,SprintsInTrend,1),#REF!))</f>
        <v>#REF!</v>
      </c>
      <c r="H50" s="6" t="e">
        <f t="shared" ca="1" si="9"/>
        <v>#REF!</v>
      </c>
      <c r="I50" s="6">
        <f t="shared" ca="1" si="4"/>
        <v>0</v>
      </c>
      <c r="J50" s="21">
        <f t="shared" ca="1" si="19"/>
        <v>19.25</v>
      </c>
      <c r="K50" s="21">
        <f t="shared" ca="1" si="20"/>
        <v>19.25</v>
      </c>
      <c r="L50" s="21">
        <f t="shared" ca="1" si="21"/>
        <v>18.5</v>
      </c>
    </row>
    <row r="51" spans="6:12">
      <c r="F51" s="5">
        <f t="shared" si="2"/>
        <v>0</v>
      </c>
      <c r="G51" s="6" t="e">
        <f ca="1">IF(TREND(OFFSET($K$27,TrendOffset+1,0,SprintsInTrend,1),OFFSET($A$27,TrendOffset+1,0,SprintsInTrend,1),#REF!)&lt;I51,I51,TREND(OFFSET($K$27,TrendOffset+1,0,SprintsInTrend,1),OFFSET($A$27,TrendOffset+1,0,SprintsInTrend,1),#REF!))</f>
        <v>#REF!</v>
      </c>
      <c r="H51" s="6" t="e">
        <f t="shared" ca="1" si="9"/>
        <v>#REF!</v>
      </c>
      <c r="I51" s="6">
        <f t="shared" ca="1" si="4"/>
        <v>0</v>
      </c>
      <c r="J51" s="21">
        <f t="shared" ca="1" si="19"/>
        <v>19.25</v>
      </c>
      <c r="K51" s="21">
        <f t="shared" ca="1" si="20"/>
        <v>19.25</v>
      </c>
      <c r="L51" s="21">
        <f t="shared" ca="1" si="21"/>
        <v>18.5</v>
      </c>
    </row>
  </sheetData>
  <mergeCells count="5">
    <mergeCell ref="A8:B8"/>
    <mergeCell ref="A18:B18"/>
    <mergeCell ref="F26:N26"/>
    <mergeCell ref="O26:Q26"/>
    <mergeCell ref="G27:H27"/>
  </mergeCells>
  <conditionalFormatting sqref="K27:N27 A27:G27 F26 I27 O26:O27 P27:Q27">
    <cfRule type="expression" dxfId="2" priority="1" stopIfTrue="1">
      <formula>$D26="Done"</formula>
    </cfRule>
    <cfRule type="expression" dxfId="1" priority="2" stopIfTrue="1">
      <formula>$D26="Ongoing"</formula>
    </cfRule>
    <cfRule type="expression" dxfId="0" priority="3" stopIfTrue="1">
      <formula>$D26="Removed"</formula>
    </cfRule>
  </conditionalFormatting>
  <pageMargins left="0.75" right="0.75" top="1" bottom="1" header="0.5" footer="0.5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Backlogs</vt:lpstr>
      <vt:lpstr>PB Burndown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 Sezener</dc:creator>
  <cp:lastModifiedBy>Eren Sezener</cp:lastModifiedBy>
  <dcterms:created xsi:type="dcterms:W3CDTF">2014-04-22T10:11:50Z</dcterms:created>
  <dcterms:modified xsi:type="dcterms:W3CDTF">2014-05-19T21:04:14Z</dcterms:modified>
</cp:coreProperties>
</file>