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ine List Sample" sheetId="1" r:id="rId4"/>
    <sheet state="visible" name="Table 1. Study Results" sheetId="2" r:id="rId5"/>
    <sheet state="visible" name="Table 2. Demographics" sheetId="3" r:id="rId6"/>
    <sheet state="visible" name="Figure 1. Epi Curve" sheetId="4" r:id="rId7"/>
    <sheet state="visible" name="Table 3. Characteristics, RR an" sheetId="5" r:id="rId8"/>
    <sheet state="visible" name="Table 4. Clinical Details" sheetId="6" r:id="rId9"/>
    <sheet state="visible" name="Table 5. Food ARs" sheetId="7" r:id="rId10"/>
  </sheets>
  <definedNames/>
  <calcPr/>
</workbook>
</file>

<file path=xl/sharedStrings.xml><?xml version="1.0" encoding="utf-8"?>
<sst xmlns="http://schemas.openxmlformats.org/spreadsheetml/2006/main" count="517" uniqueCount="71">
  <si>
    <t>ID</t>
  </si>
  <si>
    <t>Age</t>
  </si>
  <si>
    <t>Gender</t>
  </si>
  <si>
    <t>Eligible</t>
  </si>
  <si>
    <t>Study Outcome</t>
  </si>
  <si>
    <t>Case Tag</t>
  </si>
  <si>
    <t>Onset Date</t>
  </si>
  <si>
    <t>Symptoms</t>
  </si>
  <si>
    <t>Diarrhea</t>
  </si>
  <si>
    <t>Nausea</t>
  </si>
  <si>
    <t>Vomiting</t>
  </si>
  <si>
    <t>Fever</t>
  </si>
  <si>
    <t>Muscle Aches and Pains</t>
  </si>
  <si>
    <t>Abdominal Cramps</t>
  </si>
  <si>
    <t>Headaches</t>
  </si>
  <si>
    <t>Hospitalized</t>
  </si>
  <si>
    <t>Stool Sample Obtained</t>
  </si>
  <si>
    <t>Foods Consumed</t>
  </si>
  <si>
    <t>No</t>
  </si>
  <si>
    <t>Food 2</t>
  </si>
  <si>
    <t>Food 3</t>
  </si>
  <si>
    <t>Food 4</t>
  </si>
  <si>
    <t>Food 5</t>
  </si>
  <si>
    <t>Female</t>
  </si>
  <si>
    <t>Yes</t>
  </si>
  <si>
    <t>Interviewed</t>
  </si>
  <si>
    <t>Non-Binary</t>
  </si>
  <si>
    <t>Refused to participate</t>
  </si>
  <si>
    <t>.</t>
  </si>
  <si>
    <t>Male</t>
  </si>
  <si>
    <t>Lost to follow-up or unable to contact</t>
  </si>
  <si>
    <t>Transgender Female</t>
  </si>
  <si>
    <t>Transgender Male</t>
  </si>
  <si>
    <t>Table 1. Study characteristics of participants</t>
  </si>
  <si>
    <t>Outcome</t>
  </si>
  <si>
    <t>n</t>
  </si>
  <si>
    <t>%</t>
  </si>
  <si>
    <t>Attended event</t>
  </si>
  <si>
    <t>Response Rate</t>
  </si>
  <si>
    <t>Table 2. Demographic details of cohort</t>
  </si>
  <si>
    <t>Total Eligible</t>
  </si>
  <si>
    <t>Characteristic</t>
  </si>
  <si>
    <t>N</t>
  </si>
  <si>
    <t>Age category (year)</t>
  </si>
  <si>
    <t>0-4</t>
  </si>
  <si>
    <t>15-44</t>
  </si>
  <si>
    <t>45-64</t>
  </si>
  <si>
    <t>&gt;65</t>
  </si>
  <si>
    <t>Characteristics of cases with attack rates, relative risks (RR) and 95% confidence intervals (95% CI)</t>
  </si>
  <si>
    <t>N of cases</t>
  </si>
  <si>
    <t>N of category</t>
  </si>
  <si>
    <t>Attack Rate (%)</t>
  </si>
  <si>
    <t>Relative Risk</t>
  </si>
  <si>
    <t>Standard error</t>
  </si>
  <si>
    <t>95% CI Low</t>
  </si>
  <si>
    <t>95% CI High</t>
  </si>
  <si>
    <t>15-44 (ref)</t>
  </si>
  <si>
    <t>-</t>
  </si>
  <si>
    <t>Female (ref)</t>
  </si>
  <si>
    <t>Consumed a Meal</t>
  </si>
  <si>
    <t>Table 4. Clinical and laboratory details of cases</t>
  </si>
  <si>
    <t>Food specific attack rates (AR), relative risks (RR), 95% confidence intervals (95% CI), and percent of cases exposed.</t>
  </si>
  <si>
    <t>Food Eaten</t>
  </si>
  <si>
    <t>Food not Eaten</t>
  </si>
  <si>
    <t>Food Item</t>
  </si>
  <si>
    <t>Cases</t>
  </si>
  <si>
    <t>Total</t>
  </si>
  <si>
    <t>Attack Rate</t>
  </si>
  <si>
    <t>Standard Error</t>
  </si>
  <si>
    <t>Cases Exposed (%)</t>
  </si>
  <si>
    <t>Food 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</si>
</sst>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m/d/yyyy"/>
    <numFmt numFmtId="165" formatCode="0.0%"/>
    <numFmt numFmtId="166" formatCode="m-d"/>
    <numFmt numFmtId="167" formatCode="0.0"/>
  </numFmts>
  <fonts count="6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sz val="11.0"/>
      <color rgb="FF000000"/>
      <name val="Arial"/>
      <scheme val="minor"/>
    </font>
    <font>
      <sz val="11.0"/>
      <color rgb="FF008000"/>
      <name val="Inconsolata"/>
    </font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0" xfId="0" applyFont="1"/>
    <xf borderId="0" fillId="0" fontId="2" numFmtId="0" xfId="0" applyFont="1"/>
    <xf borderId="0" fillId="0" fontId="2" numFmtId="164" xfId="0" applyAlignment="1" applyFont="1" applyNumberFormat="1">
      <alignment readingOrder="0"/>
    </xf>
    <xf borderId="0" fillId="0" fontId="2" numFmtId="165" xfId="0" applyFont="1" applyNumberFormat="1"/>
    <xf borderId="0" fillId="0" fontId="2" numFmtId="0" xfId="0" applyAlignment="1" applyFont="1">
      <alignment horizontal="left" readingOrder="0" vertical="top"/>
    </xf>
    <xf borderId="0" fillId="0" fontId="2" numFmtId="166" xfId="0" applyAlignment="1" applyFont="1" applyNumberFormat="1">
      <alignment horizontal="left" readingOrder="0" vertical="top"/>
    </xf>
    <xf borderId="0" fillId="0" fontId="2" numFmtId="167" xfId="0" applyFont="1" applyNumberFormat="1"/>
    <xf borderId="0" fillId="0" fontId="2" numFmtId="2" xfId="0" applyFont="1" applyNumberFormat="1"/>
    <xf borderId="0" fillId="0" fontId="2" numFmtId="167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horizontal="right"/>
    </xf>
    <xf borderId="0" fillId="2" fontId="3" numFmtId="0" xfId="0" applyAlignment="1" applyFill="1" applyFont="1">
      <alignment horizontal="right"/>
    </xf>
    <xf borderId="0" fillId="2" fontId="4" numFmtId="0" xfId="0" applyFont="1"/>
    <xf borderId="0" fillId="2" fontId="5" numFmtId="0" xfId="0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.88"/>
    <col customWidth="1" min="2" max="2" width="4.0"/>
    <col customWidth="1" min="3" max="3" width="16.38"/>
    <col customWidth="1" min="4" max="4" width="6.88"/>
    <col customWidth="1" min="5" max="5" width="28.25"/>
    <col customWidth="1" min="6" max="6" width="8.0"/>
    <col customWidth="1" min="7" max="7" width="9.38"/>
    <col customWidth="1" min="8" max="8" width="8.88"/>
    <col customWidth="1" min="9" max="9" width="7.38"/>
    <col customWidth="1" min="10" max="10" width="6.75"/>
    <col customWidth="1" min="11" max="11" width="7.38"/>
    <col customWidth="1" min="12" max="12" width="5.25"/>
    <col customWidth="1" min="13" max="13" width="19.25"/>
    <col customWidth="1" min="14" max="14" width="15.13"/>
    <col customWidth="1" min="15" max="15" width="9.38"/>
    <col customWidth="1" min="16" max="16" width="10.13"/>
    <col customWidth="1" min="17" max="17" width="18.13"/>
    <col customWidth="1" min="18" max="18" width="14.13"/>
    <col customWidth="1" min="19" max="23" width="6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2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3"/>
      <c r="Y1" s="3"/>
      <c r="Z1" s="3"/>
      <c r="AA1" s="3"/>
    </row>
    <row r="2">
      <c r="A2" s="2">
        <v>1.0</v>
      </c>
      <c r="B2" s="4">
        <v>52.0</v>
      </c>
      <c r="C2" s="2" t="s">
        <v>23</v>
      </c>
      <c r="D2" s="2" t="s">
        <v>24</v>
      </c>
      <c r="E2" s="2" t="s">
        <v>25</v>
      </c>
      <c r="F2" s="2" t="s">
        <v>24</v>
      </c>
      <c r="G2" s="5">
        <v>44563.0</v>
      </c>
      <c r="H2" s="2" t="s">
        <v>24</v>
      </c>
      <c r="I2" s="2" t="s">
        <v>24</v>
      </c>
      <c r="J2" s="2" t="s">
        <v>24</v>
      </c>
      <c r="K2" s="2" t="s">
        <v>24</v>
      </c>
      <c r="L2" s="2" t="s">
        <v>24</v>
      </c>
      <c r="M2" s="2" t="s">
        <v>24</v>
      </c>
      <c r="N2" s="2" t="s">
        <v>24</v>
      </c>
      <c r="O2" s="2" t="s">
        <v>24</v>
      </c>
      <c r="P2" s="2" t="s">
        <v>24</v>
      </c>
      <c r="Q2" s="2" t="s">
        <v>24</v>
      </c>
      <c r="R2" s="2" t="s">
        <v>24</v>
      </c>
      <c r="S2" s="2" t="s">
        <v>18</v>
      </c>
      <c r="T2" s="2" t="s">
        <v>24</v>
      </c>
      <c r="U2" s="2" t="s">
        <v>24</v>
      </c>
      <c r="V2" s="2" t="s">
        <v>18</v>
      </c>
      <c r="W2" s="2" t="s">
        <v>18</v>
      </c>
    </row>
    <row r="3">
      <c r="A3" s="2">
        <v>2.0</v>
      </c>
      <c r="B3" s="4">
        <v>15.0</v>
      </c>
      <c r="C3" s="2" t="s">
        <v>26</v>
      </c>
      <c r="D3" s="2" t="s">
        <v>24</v>
      </c>
      <c r="E3" s="2" t="s">
        <v>25</v>
      </c>
      <c r="F3" s="2" t="s">
        <v>18</v>
      </c>
      <c r="H3" s="2" t="s">
        <v>18</v>
      </c>
      <c r="I3" s="2" t="s">
        <v>18</v>
      </c>
      <c r="J3" s="2" t="s">
        <v>18</v>
      </c>
      <c r="K3" s="2" t="s">
        <v>18</v>
      </c>
      <c r="L3" s="2" t="s">
        <v>18</v>
      </c>
      <c r="M3" s="2" t="s">
        <v>18</v>
      </c>
      <c r="N3" s="2" t="s">
        <v>18</v>
      </c>
      <c r="O3" s="2" t="s">
        <v>18</v>
      </c>
      <c r="P3" s="2" t="s">
        <v>18</v>
      </c>
      <c r="Q3" s="2" t="s">
        <v>18</v>
      </c>
      <c r="R3" s="2" t="s">
        <v>24</v>
      </c>
      <c r="S3" s="2" t="s">
        <v>18</v>
      </c>
      <c r="T3" s="2" t="s">
        <v>18</v>
      </c>
      <c r="U3" s="2" t="s">
        <v>24</v>
      </c>
      <c r="V3" s="2" t="s">
        <v>24</v>
      </c>
      <c r="W3" s="2" t="s">
        <v>18</v>
      </c>
    </row>
    <row r="4">
      <c r="A4" s="2">
        <v>3.0</v>
      </c>
      <c r="B4" s="4">
        <v>3.0</v>
      </c>
      <c r="C4" s="2" t="s">
        <v>23</v>
      </c>
      <c r="D4" s="2" t="s">
        <v>24</v>
      </c>
      <c r="E4" s="2" t="s">
        <v>25</v>
      </c>
      <c r="F4" s="2" t="s">
        <v>18</v>
      </c>
      <c r="H4" s="2" t="s">
        <v>18</v>
      </c>
      <c r="I4" s="2" t="s">
        <v>18</v>
      </c>
      <c r="J4" s="2" t="s">
        <v>18</v>
      </c>
      <c r="K4" s="2" t="s">
        <v>18</v>
      </c>
      <c r="L4" s="2" t="s">
        <v>18</v>
      </c>
      <c r="M4" s="2" t="s">
        <v>18</v>
      </c>
      <c r="N4" s="2" t="s">
        <v>18</v>
      </c>
      <c r="O4" s="2" t="s">
        <v>18</v>
      </c>
      <c r="P4" s="2" t="s">
        <v>18</v>
      </c>
      <c r="Q4" s="2" t="s">
        <v>18</v>
      </c>
      <c r="R4" s="2" t="s">
        <v>24</v>
      </c>
      <c r="S4" s="2" t="s">
        <v>24</v>
      </c>
      <c r="T4" s="2" t="s">
        <v>18</v>
      </c>
      <c r="U4" s="2" t="s">
        <v>18</v>
      </c>
      <c r="V4" s="2" t="s">
        <v>24</v>
      </c>
      <c r="W4" s="2" t="s">
        <v>24</v>
      </c>
    </row>
    <row r="5">
      <c r="A5" s="2">
        <v>4.0</v>
      </c>
      <c r="B5" s="4">
        <v>48.0</v>
      </c>
      <c r="C5" s="2" t="s">
        <v>23</v>
      </c>
      <c r="D5" s="2" t="s">
        <v>24</v>
      </c>
      <c r="E5" s="2" t="s">
        <v>25</v>
      </c>
      <c r="F5" s="2" t="s">
        <v>18</v>
      </c>
      <c r="H5" s="2" t="s">
        <v>18</v>
      </c>
      <c r="I5" s="2" t="s">
        <v>18</v>
      </c>
      <c r="J5" s="2" t="s">
        <v>18</v>
      </c>
      <c r="K5" s="2" t="s">
        <v>18</v>
      </c>
      <c r="L5" s="2" t="s">
        <v>18</v>
      </c>
      <c r="M5" s="2" t="s">
        <v>18</v>
      </c>
      <c r="N5" s="2" t="s">
        <v>18</v>
      </c>
      <c r="O5" s="2" t="s">
        <v>18</v>
      </c>
      <c r="P5" s="2" t="s">
        <v>18</v>
      </c>
      <c r="Q5" s="2" t="s">
        <v>18</v>
      </c>
      <c r="R5" s="2" t="s">
        <v>24</v>
      </c>
      <c r="S5" s="2" t="s">
        <v>24</v>
      </c>
      <c r="T5" s="2" t="s">
        <v>18</v>
      </c>
      <c r="U5" s="2" t="s">
        <v>18</v>
      </c>
      <c r="V5" s="2" t="s">
        <v>24</v>
      </c>
      <c r="W5" s="2" t="s">
        <v>24</v>
      </c>
    </row>
    <row r="6">
      <c r="A6" s="2">
        <v>5.0</v>
      </c>
      <c r="D6" s="2" t="s">
        <v>24</v>
      </c>
      <c r="E6" s="2" t="s">
        <v>27</v>
      </c>
      <c r="F6" s="2" t="s">
        <v>28</v>
      </c>
    </row>
    <row r="7">
      <c r="A7" s="2">
        <v>6.0</v>
      </c>
      <c r="B7" s="4">
        <v>61.0</v>
      </c>
      <c r="C7" s="2" t="s">
        <v>23</v>
      </c>
      <c r="D7" s="2" t="s">
        <v>24</v>
      </c>
      <c r="E7" s="2" t="s">
        <v>25</v>
      </c>
      <c r="F7" s="2" t="s">
        <v>18</v>
      </c>
      <c r="H7" s="2" t="s">
        <v>18</v>
      </c>
      <c r="I7" s="2" t="s">
        <v>18</v>
      </c>
      <c r="J7" s="2" t="s">
        <v>18</v>
      </c>
      <c r="K7" s="2" t="s">
        <v>18</v>
      </c>
      <c r="L7" s="2" t="s">
        <v>18</v>
      </c>
      <c r="M7" s="2" t="s">
        <v>18</v>
      </c>
      <c r="N7" s="2" t="s">
        <v>18</v>
      </c>
      <c r="O7" s="2" t="s">
        <v>18</v>
      </c>
      <c r="P7" s="2" t="s">
        <v>18</v>
      </c>
      <c r="Q7" s="2" t="s">
        <v>18</v>
      </c>
      <c r="R7" s="2" t="s">
        <v>24</v>
      </c>
      <c r="S7" s="2" t="s">
        <v>24</v>
      </c>
      <c r="T7" s="2" t="s">
        <v>18</v>
      </c>
      <c r="U7" s="2" t="s">
        <v>18</v>
      </c>
      <c r="V7" s="2" t="s">
        <v>24</v>
      </c>
      <c r="W7" s="2" t="s">
        <v>18</v>
      </c>
    </row>
    <row r="8">
      <c r="A8" s="2">
        <v>7.0</v>
      </c>
      <c r="B8" s="4">
        <v>62.0</v>
      </c>
      <c r="C8" s="2" t="s">
        <v>29</v>
      </c>
      <c r="D8" s="2" t="s">
        <v>24</v>
      </c>
      <c r="E8" s="2" t="s">
        <v>25</v>
      </c>
      <c r="F8" s="2" t="s">
        <v>24</v>
      </c>
      <c r="G8" s="5">
        <v>44563.0</v>
      </c>
      <c r="H8" s="2" t="s">
        <v>24</v>
      </c>
      <c r="I8" s="2" t="s">
        <v>24</v>
      </c>
      <c r="J8" s="2" t="s">
        <v>24</v>
      </c>
      <c r="K8" s="2" t="s">
        <v>24</v>
      </c>
      <c r="L8" s="2" t="s">
        <v>24</v>
      </c>
      <c r="M8" s="2" t="s">
        <v>24</v>
      </c>
      <c r="N8" s="2" t="s">
        <v>24</v>
      </c>
      <c r="O8" s="2" t="s">
        <v>18</v>
      </c>
      <c r="P8" s="2" t="s">
        <v>18</v>
      </c>
      <c r="Q8" s="2" t="s">
        <v>18</v>
      </c>
      <c r="R8" s="2" t="s">
        <v>24</v>
      </c>
      <c r="S8" s="2" t="s">
        <v>18</v>
      </c>
      <c r="T8" s="2" t="s">
        <v>24</v>
      </c>
      <c r="U8" s="2" t="s">
        <v>24</v>
      </c>
      <c r="V8" s="2" t="s">
        <v>18</v>
      </c>
      <c r="W8" s="2" t="s">
        <v>18</v>
      </c>
    </row>
    <row r="9">
      <c r="A9" s="2">
        <v>8.0</v>
      </c>
      <c r="B9" s="4">
        <v>27.0</v>
      </c>
      <c r="C9" s="2" t="s">
        <v>26</v>
      </c>
      <c r="D9" s="2" t="s">
        <v>24</v>
      </c>
      <c r="E9" s="2" t="s">
        <v>25</v>
      </c>
      <c r="F9" s="2" t="s">
        <v>24</v>
      </c>
      <c r="G9" s="5">
        <v>44564.0</v>
      </c>
      <c r="H9" s="2" t="s">
        <v>24</v>
      </c>
      <c r="I9" s="2" t="s">
        <v>18</v>
      </c>
      <c r="J9" s="2" t="s">
        <v>18</v>
      </c>
      <c r="K9" s="2" t="s">
        <v>18</v>
      </c>
      <c r="L9" s="2" t="s">
        <v>24</v>
      </c>
      <c r="M9" s="2" t="s">
        <v>24</v>
      </c>
      <c r="N9" s="2" t="s">
        <v>24</v>
      </c>
      <c r="O9" s="2" t="s">
        <v>24</v>
      </c>
      <c r="P9" s="2" t="s">
        <v>24</v>
      </c>
      <c r="Q9" s="2" t="s">
        <v>24</v>
      </c>
      <c r="R9" s="2" t="s">
        <v>24</v>
      </c>
      <c r="S9" s="2" t="s">
        <v>18</v>
      </c>
      <c r="T9" s="2" t="s">
        <v>24</v>
      </c>
      <c r="U9" s="2" t="s">
        <v>24</v>
      </c>
      <c r="V9" s="2" t="s">
        <v>18</v>
      </c>
      <c r="W9" s="2" t="s">
        <v>18</v>
      </c>
    </row>
    <row r="10">
      <c r="A10" s="2">
        <v>9.0</v>
      </c>
      <c r="B10" s="4">
        <v>49.0</v>
      </c>
      <c r="C10" s="2" t="s">
        <v>23</v>
      </c>
      <c r="D10" s="2" t="s">
        <v>24</v>
      </c>
      <c r="E10" s="2" t="s">
        <v>25</v>
      </c>
      <c r="F10" s="2" t="s">
        <v>24</v>
      </c>
      <c r="G10" s="5">
        <v>44566.0</v>
      </c>
      <c r="H10" s="2" t="s">
        <v>24</v>
      </c>
      <c r="I10" s="2" t="s">
        <v>24</v>
      </c>
      <c r="J10" s="2" t="s">
        <v>24</v>
      </c>
      <c r="K10" s="2" t="s">
        <v>24</v>
      </c>
      <c r="L10" s="2" t="s">
        <v>24</v>
      </c>
      <c r="M10" s="2" t="s">
        <v>24</v>
      </c>
      <c r="N10" s="2" t="s">
        <v>24</v>
      </c>
      <c r="O10" s="2" t="s">
        <v>24</v>
      </c>
      <c r="P10" s="2" t="s">
        <v>18</v>
      </c>
      <c r="Q10" s="2" t="s">
        <v>18</v>
      </c>
      <c r="R10" s="2" t="s">
        <v>24</v>
      </c>
      <c r="S10" s="2" t="s">
        <v>18</v>
      </c>
      <c r="T10" s="2" t="s">
        <v>24</v>
      </c>
      <c r="U10" s="2" t="s">
        <v>24</v>
      </c>
      <c r="V10" s="2" t="s">
        <v>24</v>
      </c>
      <c r="W10" s="2" t="s">
        <v>24</v>
      </c>
    </row>
    <row r="11">
      <c r="A11" s="2">
        <v>10.0</v>
      </c>
      <c r="B11" s="4">
        <v>63.0</v>
      </c>
      <c r="C11" s="2" t="s">
        <v>23</v>
      </c>
      <c r="D11" s="2" t="s">
        <v>24</v>
      </c>
      <c r="E11" s="2" t="s">
        <v>25</v>
      </c>
      <c r="F11" s="2" t="s">
        <v>24</v>
      </c>
      <c r="G11" s="5">
        <v>44566.0</v>
      </c>
      <c r="H11" s="2" t="s">
        <v>24</v>
      </c>
      <c r="I11" s="2" t="s">
        <v>18</v>
      </c>
      <c r="J11" s="2" t="s">
        <v>18</v>
      </c>
      <c r="K11" s="2" t="s">
        <v>18</v>
      </c>
      <c r="L11" s="2" t="s">
        <v>18</v>
      </c>
      <c r="M11" s="2" t="s">
        <v>24</v>
      </c>
      <c r="N11" s="2" t="s">
        <v>24</v>
      </c>
      <c r="O11" s="2" t="s">
        <v>24</v>
      </c>
      <c r="P11" s="2" t="s">
        <v>24</v>
      </c>
      <c r="Q11" s="2" t="s">
        <v>24</v>
      </c>
      <c r="R11" s="2" t="s">
        <v>24</v>
      </c>
      <c r="S11" s="2" t="s">
        <v>18</v>
      </c>
      <c r="T11" s="2" t="s">
        <v>18</v>
      </c>
      <c r="U11" s="2" t="s">
        <v>24</v>
      </c>
      <c r="V11" s="2" t="s">
        <v>18</v>
      </c>
      <c r="W11" s="2" t="s">
        <v>24</v>
      </c>
    </row>
    <row r="12">
      <c r="A12" s="2">
        <v>11.0</v>
      </c>
      <c r="B12" s="4">
        <v>14.0</v>
      </c>
      <c r="C12" s="2" t="s">
        <v>23</v>
      </c>
      <c r="D12" s="2" t="s">
        <v>24</v>
      </c>
      <c r="E12" s="2" t="s">
        <v>25</v>
      </c>
      <c r="F12" s="2" t="s">
        <v>24</v>
      </c>
      <c r="G12" s="5">
        <v>44564.0</v>
      </c>
      <c r="H12" s="2" t="s">
        <v>24</v>
      </c>
      <c r="I12" s="2" t="s">
        <v>18</v>
      </c>
      <c r="J12" s="2" t="s">
        <v>24</v>
      </c>
      <c r="K12" s="2" t="s">
        <v>24</v>
      </c>
      <c r="L12" s="2" t="s">
        <v>24</v>
      </c>
      <c r="M12" s="2" t="s">
        <v>24</v>
      </c>
      <c r="N12" s="2" t="s">
        <v>24</v>
      </c>
      <c r="O12" s="2" t="s">
        <v>18</v>
      </c>
      <c r="P12" s="2" t="s">
        <v>18</v>
      </c>
      <c r="Q12" s="2" t="s">
        <v>18</v>
      </c>
      <c r="R12" s="2" t="s">
        <v>24</v>
      </c>
      <c r="S12" s="2" t="s">
        <v>18</v>
      </c>
      <c r="T12" s="2" t="s">
        <v>18</v>
      </c>
      <c r="U12" s="2" t="s">
        <v>24</v>
      </c>
      <c r="V12" s="2" t="s">
        <v>18</v>
      </c>
      <c r="W12" s="2" t="s">
        <v>24</v>
      </c>
    </row>
    <row r="13">
      <c r="A13" s="2">
        <v>12.0</v>
      </c>
      <c r="B13" s="4">
        <v>43.0</v>
      </c>
      <c r="C13" s="2" t="s">
        <v>26</v>
      </c>
      <c r="D13" s="2" t="s">
        <v>24</v>
      </c>
      <c r="E13" s="2" t="s">
        <v>25</v>
      </c>
      <c r="F13" s="2" t="s">
        <v>24</v>
      </c>
      <c r="G13" s="5">
        <v>44564.0</v>
      </c>
      <c r="H13" s="2" t="s">
        <v>24</v>
      </c>
      <c r="I13" s="2" t="s">
        <v>18</v>
      </c>
      <c r="J13" s="2" t="s">
        <v>18</v>
      </c>
      <c r="K13" s="2" t="s">
        <v>24</v>
      </c>
      <c r="L13" s="2" t="s">
        <v>24</v>
      </c>
      <c r="M13" s="2" t="s">
        <v>24</v>
      </c>
      <c r="N13" s="2" t="s">
        <v>24</v>
      </c>
      <c r="O13" s="2" t="s">
        <v>24</v>
      </c>
      <c r="P13" s="2" t="s">
        <v>18</v>
      </c>
      <c r="Q13" s="2" t="s">
        <v>18</v>
      </c>
      <c r="R13" s="2" t="s">
        <v>24</v>
      </c>
      <c r="S13" s="2" t="s">
        <v>18</v>
      </c>
      <c r="T13" s="2" t="s">
        <v>18</v>
      </c>
      <c r="U13" s="2" t="s">
        <v>24</v>
      </c>
      <c r="V13" s="2" t="s">
        <v>18</v>
      </c>
      <c r="W13" s="2" t="s">
        <v>24</v>
      </c>
    </row>
    <row r="14">
      <c r="A14" s="2">
        <v>13.0</v>
      </c>
      <c r="B14" s="4">
        <v>73.0</v>
      </c>
      <c r="C14" s="2" t="s">
        <v>23</v>
      </c>
      <c r="D14" s="2" t="s">
        <v>24</v>
      </c>
      <c r="E14" s="2" t="s">
        <v>25</v>
      </c>
      <c r="F14" s="2" t="s">
        <v>24</v>
      </c>
      <c r="G14" s="5">
        <v>44564.0</v>
      </c>
      <c r="H14" s="2" t="s">
        <v>18</v>
      </c>
      <c r="I14" s="2" t="s">
        <v>18</v>
      </c>
      <c r="J14" s="2" t="s">
        <v>18</v>
      </c>
      <c r="K14" s="2" t="s">
        <v>18</v>
      </c>
      <c r="L14" s="2" t="s">
        <v>18</v>
      </c>
      <c r="M14" s="2" t="s">
        <v>18</v>
      </c>
      <c r="N14" s="2" t="s">
        <v>18</v>
      </c>
      <c r="O14" s="2" t="s">
        <v>18</v>
      </c>
      <c r="P14" s="2" t="s">
        <v>18</v>
      </c>
      <c r="Q14" s="2" t="s">
        <v>18</v>
      </c>
      <c r="R14" s="2" t="s">
        <v>24</v>
      </c>
      <c r="S14" s="2" t="s">
        <v>24</v>
      </c>
      <c r="T14" s="2" t="s">
        <v>18</v>
      </c>
      <c r="U14" s="2" t="s">
        <v>24</v>
      </c>
      <c r="V14" s="2" t="s">
        <v>18</v>
      </c>
      <c r="W14" s="2" t="s">
        <v>18</v>
      </c>
    </row>
    <row r="15">
      <c r="A15" s="2">
        <v>14.0</v>
      </c>
      <c r="D15" s="2" t="s">
        <v>24</v>
      </c>
      <c r="E15" s="2" t="s">
        <v>30</v>
      </c>
      <c r="F15" s="2" t="s">
        <v>28</v>
      </c>
    </row>
    <row r="16">
      <c r="A16" s="2">
        <v>15.0</v>
      </c>
      <c r="B16" s="4">
        <v>13.0</v>
      </c>
      <c r="C16" s="2" t="s">
        <v>29</v>
      </c>
      <c r="D16" s="2" t="s">
        <v>24</v>
      </c>
      <c r="E16" s="2" t="s">
        <v>25</v>
      </c>
      <c r="F16" s="2" t="s">
        <v>18</v>
      </c>
      <c r="H16" s="2" t="s">
        <v>18</v>
      </c>
      <c r="I16" s="2" t="s">
        <v>18</v>
      </c>
      <c r="J16" s="2" t="s">
        <v>18</v>
      </c>
      <c r="K16" s="2" t="s">
        <v>18</v>
      </c>
      <c r="L16" s="2" t="s">
        <v>18</v>
      </c>
      <c r="M16" s="2" t="s">
        <v>18</v>
      </c>
      <c r="N16" s="2" t="s">
        <v>18</v>
      </c>
      <c r="O16" s="2" t="s">
        <v>18</v>
      </c>
      <c r="P16" s="2" t="s">
        <v>18</v>
      </c>
      <c r="Q16" s="2" t="s">
        <v>18</v>
      </c>
      <c r="R16" s="2" t="s">
        <v>24</v>
      </c>
      <c r="S16" s="2" t="s">
        <v>18</v>
      </c>
      <c r="T16" s="2" t="s">
        <v>24</v>
      </c>
      <c r="U16" s="2" t="s">
        <v>18</v>
      </c>
      <c r="V16" s="2" t="s">
        <v>18</v>
      </c>
      <c r="W16" s="2" t="s">
        <v>24</v>
      </c>
    </row>
    <row r="17">
      <c r="A17" s="2">
        <v>16.0</v>
      </c>
      <c r="B17" s="4">
        <v>2.0</v>
      </c>
      <c r="C17" s="2" t="s">
        <v>29</v>
      </c>
      <c r="D17" s="2" t="s">
        <v>24</v>
      </c>
      <c r="E17" s="2" t="s">
        <v>25</v>
      </c>
      <c r="F17" s="2" t="s">
        <v>18</v>
      </c>
      <c r="H17" s="2" t="s">
        <v>18</v>
      </c>
      <c r="I17" s="2" t="s">
        <v>18</v>
      </c>
      <c r="J17" s="2" t="s">
        <v>18</v>
      </c>
      <c r="K17" s="2" t="s">
        <v>18</v>
      </c>
      <c r="L17" s="2" t="s">
        <v>18</v>
      </c>
      <c r="M17" s="2" t="s">
        <v>18</v>
      </c>
      <c r="N17" s="2" t="s">
        <v>18</v>
      </c>
      <c r="O17" s="2" t="s">
        <v>18</v>
      </c>
      <c r="P17" s="2" t="s">
        <v>18</v>
      </c>
      <c r="Q17" s="2" t="s">
        <v>18</v>
      </c>
      <c r="R17" s="2" t="s">
        <v>24</v>
      </c>
      <c r="S17" s="2" t="s">
        <v>18</v>
      </c>
      <c r="T17" s="2" t="s">
        <v>24</v>
      </c>
      <c r="U17" s="2" t="s">
        <v>18</v>
      </c>
      <c r="V17" s="2" t="s">
        <v>24</v>
      </c>
      <c r="W17" s="2" t="s">
        <v>24</v>
      </c>
    </row>
    <row r="18">
      <c r="A18" s="2">
        <v>17.0</v>
      </c>
      <c r="B18" s="4">
        <v>19.0</v>
      </c>
      <c r="C18" s="2" t="s">
        <v>29</v>
      </c>
      <c r="D18" s="2" t="s">
        <v>24</v>
      </c>
      <c r="E18" s="2" t="s">
        <v>25</v>
      </c>
      <c r="F18" s="2" t="s">
        <v>24</v>
      </c>
      <c r="G18" s="5">
        <v>44566.0</v>
      </c>
      <c r="H18" s="2" t="s">
        <v>24</v>
      </c>
      <c r="I18" s="2" t="s">
        <v>24</v>
      </c>
      <c r="J18" s="2" t="s">
        <v>24</v>
      </c>
      <c r="K18" s="2" t="s">
        <v>24</v>
      </c>
      <c r="L18" s="2" t="s">
        <v>24</v>
      </c>
      <c r="M18" s="2" t="s">
        <v>24</v>
      </c>
      <c r="N18" s="2" t="s">
        <v>24</v>
      </c>
      <c r="O18" s="2" t="s">
        <v>24</v>
      </c>
      <c r="P18" s="2" t="s">
        <v>24</v>
      </c>
      <c r="Q18" s="2" t="s">
        <v>24</v>
      </c>
      <c r="R18" s="2" t="s">
        <v>24</v>
      </c>
      <c r="S18" s="2" t="s">
        <v>18</v>
      </c>
      <c r="T18" s="2" t="s">
        <v>24</v>
      </c>
      <c r="U18" s="2" t="s">
        <v>24</v>
      </c>
      <c r="V18" s="2" t="s">
        <v>18</v>
      </c>
      <c r="W18" s="2" t="s">
        <v>24</v>
      </c>
    </row>
    <row r="19">
      <c r="A19" s="2">
        <v>18.0</v>
      </c>
      <c r="D19" s="2" t="s">
        <v>24</v>
      </c>
      <c r="E19" s="2" t="s">
        <v>27</v>
      </c>
      <c r="F19" s="2" t="s">
        <v>28</v>
      </c>
    </row>
    <row r="20">
      <c r="A20" s="2">
        <v>19.0</v>
      </c>
      <c r="B20" s="4">
        <v>46.0</v>
      </c>
      <c r="C20" s="2" t="s">
        <v>31</v>
      </c>
      <c r="D20" s="2" t="s">
        <v>24</v>
      </c>
      <c r="E20" s="2" t="s">
        <v>25</v>
      </c>
      <c r="F20" s="2" t="s">
        <v>24</v>
      </c>
      <c r="G20" s="5">
        <v>44566.0</v>
      </c>
      <c r="H20" s="2" t="s">
        <v>24</v>
      </c>
      <c r="I20" s="2" t="s">
        <v>18</v>
      </c>
      <c r="J20" s="2" t="s">
        <v>18</v>
      </c>
      <c r="K20" s="2" t="s">
        <v>18</v>
      </c>
      <c r="L20" s="2" t="s">
        <v>24</v>
      </c>
      <c r="M20" s="2" t="s">
        <v>24</v>
      </c>
      <c r="N20" s="2" t="s">
        <v>24</v>
      </c>
      <c r="O20" s="2" t="s">
        <v>24</v>
      </c>
      <c r="P20" s="2" t="s">
        <v>18</v>
      </c>
      <c r="Q20" s="2" t="s">
        <v>18</v>
      </c>
      <c r="R20" s="2" t="s">
        <v>24</v>
      </c>
      <c r="S20" s="2" t="s">
        <v>18</v>
      </c>
      <c r="T20" s="2" t="s">
        <v>24</v>
      </c>
      <c r="U20" s="2" t="s">
        <v>24</v>
      </c>
      <c r="V20" s="2" t="s">
        <v>18</v>
      </c>
      <c r="W20" s="2" t="s">
        <v>18</v>
      </c>
    </row>
    <row r="21">
      <c r="A21" s="2">
        <v>20.0</v>
      </c>
      <c r="B21" s="4">
        <v>33.0</v>
      </c>
      <c r="C21" s="2" t="s">
        <v>32</v>
      </c>
      <c r="D21" s="2" t="s">
        <v>24</v>
      </c>
      <c r="E21" s="2" t="s">
        <v>25</v>
      </c>
      <c r="F21" s="2" t="s">
        <v>24</v>
      </c>
      <c r="G21" s="5">
        <v>44566.0</v>
      </c>
      <c r="H21" s="2" t="s">
        <v>24</v>
      </c>
      <c r="I21" s="2" t="s">
        <v>24</v>
      </c>
      <c r="J21" s="2" t="s">
        <v>24</v>
      </c>
      <c r="K21" s="2" t="s">
        <v>24</v>
      </c>
      <c r="L21" s="2" t="s">
        <v>18</v>
      </c>
      <c r="M21" s="2" t="s">
        <v>18</v>
      </c>
      <c r="N21" s="2" t="s">
        <v>18</v>
      </c>
      <c r="O21" s="2" t="s">
        <v>18</v>
      </c>
      <c r="P21" s="2" t="s">
        <v>18</v>
      </c>
      <c r="Q21" s="2" t="s">
        <v>18</v>
      </c>
      <c r="R21" s="2" t="s">
        <v>24</v>
      </c>
      <c r="S21" s="2" t="s">
        <v>24</v>
      </c>
      <c r="T21" s="2" t="s">
        <v>18</v>
      </c>
      <c r="U21" s="2" t="s">
        <v>24</v>
      </c>
      <c r="V21" s="2" t="s">
        <v>24</v>
      </c>
      <c r="W21" s="2" t="s">
        <v>24</v>
      </c>
    </row>
    <row r="22">
      <c r="A22" s="2">
        <v>21.0</v>
      </c>
      <c r="B22" s="4">
        <v>11.0</v>
      </c>
      <c r="C22" s="2" t="s">
        <v>32</v>
      </c>
      <c r="D22" s="2" t="s">
        <v>24</v>
      </c>
      <c r="E22" s="2" t="s">
        <v>25</v>
      </c>
      <c r="F22" s="2" t="s">
        <v>18</v>
      </c>
      <c r="H22" s="2" t="s">
        <v>18</v>
      </c>
      <c r="I22" s="2" t="s">
        <v>18</v>
      </c>
      <c r="J22" s="2" t="s">
        <v>18</v>
      </c>
      <c r="K22" s="2" t="s">
        <v>18</v>
      </c>
      <c r="L22" s="2" t="s">
        <v>18</v>
      </c>
      <c r="M22" s="2" t="s">
        <v>18</v>
      </c>
      <c r="N22" s="2" t="s">
        <v>18</v>
      </c>
      <c r="O22" s="2" t="s">
        <v>18</v>
      </c>
      <c r="P22" s="2" t="s">
        <v>18</v>
      </c>
      <c r="Q22" s="2" t="s">
        <v>18</v>
      </c>
      <c r="R22" s="2" t="s">
        <v>24</v>
      </c>
      <c r="S22" s="2" t="s">
        <v>24</v>
      </c>
      <c r="T22" s="2" t="s">
        <v>18</v>
      </c>
      <c r="U22" s="2" t="s">
        <v>18</v>
      </c>
      <c r="V22" s="2" t="s">
        <v>18</v>
      </c>
      <c r="W22" s="2" t="s">
        <v>24</v>
      </c>
    </row>
    <row r="23">
      <c r="A23" s="2">
        <v>22.0</v>
      </c>
      <c r="B23" s="4">
        <v>24.0</v>
      </c>
      <c r="C23" s="2" t="s">
        <v>32</v>
      </c>
      <c r="D23" s="2" t="s">
        <v>24</v>
      </c>
      <c r="E23" s="2" t="s">
        <v>25</v>
      </c>
      <c r="F23" s="2" t="s">
        <v>24</v>
      </c>
      <c r="G23" s="5">
        <v>44567.0</v>
      </c>
      <c r="H23" s="2" t="s">
        <v>24</v>
      </c>
      <c r="I23" s="2" t="s">
        <v>24</v>
      </c>
      <c r="J23" s="2" t="s">
        <v>24</v>
      </c>
      <c r="K23" s="2" t="s">
        <v>24</v>
      </c>
      <c r="L23" s="2" t="s">
        <v>18</v>
      </c>
      <c r="M23" s="2" t="s">
        <v>18</v>
      </c>
      <c r="N23" s="2" t="s">
        <v>18</v>
      </c>
      <c r="O23" s="2" t="s">
        <v>18</v>
      </c>
      <c r="P23" s="2" t="s">
        <v>18</v>
      </c>
      <c r="Q23" s="2" t="s">
        <v>18</v>
      </c>
      <c r="R23" s="2" t="s">
        <v>24</v>
      </c>
      <c r="S23" s="2" t="s">
        <v>24</v>
      </c>
      <c r="T23" s="2" t="s">
        <v>24</v>
      </c>
      <c r="U23" s="2" t="s">
        <v>24</v>
      </c>
      <c r="V23" s="2" t="s">
        <v>24</v>
      </c>
      <c r="W23" s="2" t="s">
        <v>24</v>
      </c>
    </row>
    <row r="24">
      <c r="A24" s="2">
        <v>23.0</v>
      </c>
      <c r="B24" s="4">
        <v>35.0</v>
      </c>
      <c r="C24" s="2" t="s">
        <v>29</v>
      </c>
      <c r="D24" s="2" t="s">
        <v>24</v>
      </c>
      <c r="E24" s="2" t="s">
        <v>25</v>
      </c>
      <c r="F24" s="2" t="s">
        <v>24</v>
      </c>
      <c r="G24" s="5">
        <v>44568.0</v>
      </c>
      <c r="H24" s="2" t="s">
        <v>24</v>
      </c>
      <c r="I24" s="2" t="s">
        <v>24</v>
      </c>
      <c r="J24" s="2" t="s">
        <v>18</v>
      </c>
      <c r="K24" s="2" t="s">
        <v>18</v>
      </c>
      <c r="L24" s="2" t="s">
        <v>18</v>
      </c>
      <c r="M24" s="2" t="s">
        <v>24</v>
      </c>
      <c r="N24" s="2" t="s">
        <v>18</v>
      </c>
      <c r="O24" s="2" t="s">
        <v>18</v>
      </c>
      <c r="P24" s="2" t="s">
        <v>18</v>
      </c>
      <c r="Q24" s="2" t="s">
        <v>24</v>
      </c>
      <c r="R24" s="2" t="s">
        <v>24</v>
      </c>
      <c r="S24" s="2" t="s">
        <v>24</v>
      </c>
      <c r="T24" s="2" t="s">
        <v>18</v>
      </c>
      <c r="U24" s="2" t="s">
        <v>18</v>
      </c>
      <c r="V24" s="2" t="s">
        <v>24</v>
      </c>
      <c r="W24" s="2" t="s">
        <v>24</v>
      </c>
    </row>
    <row r="25">
      <c r="A25" s="2">
        <v>24.0</v>
      </c>
      <c r="D25" s="2" t="s">
        <v>24</v>
      </c>
      <c r="E25" s="2" t="s">
        <v>30</v>
      </c>
      <c r="F25" s="2" t="s">
        <v>28</v>
      </c>
      <c r="G25" s="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3.5"/>
  </cols>
  <sheetData>
    <row r="1">
      <c r="A1" s="2" t="s">
        <v>33</v>
      </c>
    </row>
    <row r="3">
      <c r="A3" s="2" t="s">
        <v>34</v>
      </c>
      <c r="B3" s="2" t="s">
        <v>35</v>
      </c>
      <c r="C3" s="2" t="s">
        <v>36</v>
      </c>
    </row>
    <row r="4">
      <c r="A4" s="2" t="s">
        <v>37</v>
      </c>
      <c r="B4" s="4">
        <f>count('Line List Sample'!A2:A25)</f>
        <v>24</v>
      </c>
      <c r="C4" s="6">
        <f>B4/B4</f>
        <v>1</v>
      </c>
    </row>
    <row r="5">
      <c r="A5" s="2" t="s">
        <v>3</v>
      </c>
      <c r="B5" s="4">
        <f>countif('Line List Sample'!E2:E25, "Interviewed")</f>
        <v>20</v>
      </c>
      <c r="C5" s="6">
        <f t="shared" ref="C5:C6" si="1">B5/B4</f>
        <v>0.8333333333</v>
      </c>
    </row>
    <row r="6">
      <c r="A6" s="2" t="s">
        <v>27</v>
      </c>
      <c r="B6" s="4">
        <f>countif('Line List Sample'!E2:E26, "Refused to participate")</f>
        <v>2</v>
      </c>
      <c r="C6" s="6">
        <f t="shared" si="1"/>
        <v>0.1</v>
      </c>
    </row>
    <row r="7">
      <c r="A7" s="2" t="s">
        <v>30</v>
      </c>
      <c r="B7" s="4">
        <f>countif('Line List Sample'!E2:E25, "Lost to follow-up or unable to contact")</f>
        <v>2</v>
      </c>
      <c r="C7" s="6">
        <f>B7/B5</f>
        <v>0.1</v>
      </c>
    </row>
    <row r="8">
      <c r="A8" s="2" t="s">
        <v>25</v>
      </c>
      <c r="B8" s="4">
        <f>countif('Line List Sample'!E2:E25, "Interviewed")</f>
        <v>20</v>
      </c>
      <c r="C8" s="6">
        <f>B8/B5</f>
        <v>1</v>
      </c>
    </row>
    <row r="9">
      <c r="A9" s="1" t="s">
        <v>38</v>
      </c>
      <c r="B9" s="4">
        <f>countif('Line List Sample'!E2:E25, "Interviewed")</f>
        <v>20</v>
      </c>
      <c r="C9" s="6">
        <f>B9/B5</f>
        <v>1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9.38"/>
  </cols>
  <sheetData>
    <row r="1">
      <c r="A1" s="2" t="s">
        <v>39</v>
      </c>
    </row>
    <row r="2">
      <c r="A2" s="2" t="s">
        <v>40</v>
      </c>
      <c r="B2" s="4">
        <f>'Table 1. Study Results'!B9</f>
        <v>20</v>
      </c>
    </row>
    <row r="3">
      <c r="A3" s="2" t="s">
        <v>41</v>
      </c>
      <c r="B3" s="2" t="s">
        <v>42</v>
      </c>
      <c r="C3" s="2" t="s">
        <v>36</v>
      </c>
    </row>
    <row r="4">
      <c r="A4" s="2" t="s">
        <v>43</v>
      </c>
    </row>
    <row r="5">
      <c r="A5" s="7" t="s">
        <v>44</v>
      </c>
      <c r="B5" s="4">
        <f>countifs('Line List Sample'!B2:B25, "&gt;=0", 'Line List Sample'!B2:B25, "&lt;=4")</f>
        <v>2</v>
      </c>
      <c r="C5" s="6">
        <f t="shared" ref="C5:C9" si="1">B5/20</f>
        <v>0.1</v>
      </c>
    </row>
    <row r="6">
      <c r="A6" s="8">
        <v>44695.0</v>
      </c>
      <c r="B6" s="4">
        <f>countifs('Line List Sample'!B2:B25, "&gt;=5", 'Line List Sample'!B2:B25, "&lt;=14")</f>
        <v>3</v>
      </c>
      <c r="C6" s="6">
        <f t="shared" si="1"/>
        <v>0.15</v>
      </c>
    </row>
    <row r="7">
      <c r="A7" s="7" t="s">
        <v>45</v>
      </c>
      <c r="B7" s="4">
        <f>countifs('Line List Sample'!B2:B25, "&gt;=15", 'Line List Sample'!B2:B25, "&lt;=44")</f>
        <v>7</v>
      </c>
      <c r="C7" s="6">
        <f t="shared" si="1"/>
        <v>0.35</v>
      </c>
    </row>
    <row r="8">
      <c r="A8" s="7" t="s">
        <v>46</v>
      </c>
      <c r="B8" s="4">
        <f>countifs('Line List Sample'!B2:B25, "&gt;=45", 'Line List Sample'!B2:B25, "&lt;=64")</f>
        <v>7</v>
      </c>
      <c r="C8" s="6">
        <f t="shared" si="1"/>
        <v>0.35</v>
      </c>
    </row>
    <row r="9">
      <c r="A9" s="7" t="s">
        <v>47</v>
      </c>
      <c r="B9" s="4">
        <f>countif('Line List Sample'!B2:B25, "&gt;=65")</f>
        <v>1</v>
      </c>
      <c r="C9" s="6">
        <f t="shared" si="1"/>
        <v>0.05</v>
      </c>
    </row>
    <row r="10">
      <c r="A10" s="2" t="s">
        <v>2</v>
      </c>
      <c r="C10" s="6"/>
    </row>
    <row r="11">
      <c r="A11" s="2" t="s">
        <v>23</v>
      </c>
      <c r="B11" s="4">
        <f>countif('Line List Sample'!C2:C25, "Female")</f>
        <v>8</v>
      </c>
      <c r="C11" s="6">
        <f t="shared" ref="C11:C15" si="2">B11/20</f>
        <v>0.4</v>
      </c>
    </row>
    <row r="12">
      <c r="A12" s="2" t="s">
        <v>29</v>
      </c>
      <c r="B12" s="4">
        <f>countif('Line List Sample'!C2:C25, "Male")</f>
        <v>5</v>
      </c>
      <c r="C12" s="6">
        <f t="shared" si="2"/>
        <v>0.25</v>
      </c>
    </row>
    <row r="13">
      <c r="A13" s="2" t="s">
        <v>26</v>
      </c>
      <c r="B13" s="4">
        <f>countif('Line List Sample'!C2:C25, "Non-Binary")</f>
        <v>3</v>
      </c>
      <c r="C13" s="6">
        <f t="shared" si="2"/>
        <v>0.15</v>
      </c>
    </row>
    <row r="14">
      <c r="A14" s="2" t="s">
        <v>31</v>
      </c>
      <c r="B14" s="4">
        <f>countif('Line List Sample'!C2:C25, "Transgender Female")</f>
        <v>1</v>
      </c>
      <c r="C14" s="6">
        <f t="shared" si="2"/>
        <v>0.05</v>
      </c>
    </row>
    <row r="15">
      <c r="A15" s="2" t="s">
        <v>32</v>
      </c>
      <c r="B15" s="4">
        <f>countif('Line List Sample'!C2:C25, "Transgender Male")</f>
        <v>3</v>
      </c>
      <c r="C15" s="6">
        <f t="shared" si="2"/>
        <v>0.15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88"/>
    <col customWidth="1" min="2" max="2" width="8.88"/>
    <col customWidth="1" min="3" max="3" width="10.88"/>
    <col customWidth="1" min="4" max="4" width="12.63"/>
    <col customWidth="1" min="5" max="5" width="10.75"/>
    <col customWidth="1" min="6" max="6" width="11.75"/>
    <col customWidth="1" min="7" max="7" width="10.0"/>
    <col customWidth="1" min="8" max="8" width="10.38"/>
    <col customWidth="1" min="9" max="27" width="18.13"/>
  </cols>
  <sheetData>
    <row r="1">
      <c r="A1" s="2" t="s">
        <v>48</v>
      </c>
    </row>
    <row r="3">
      <c r="A3" s="1" t="s">
        <v>41</v>
      </c>
      <c r="B3" s="1" t="s">
        <v>49</v>
      </c>
      <c r="C3" s="1" t="s">
        <v>50</v>
      </c>
      <c r="D3" s="1" t="s">
        <v>51</v>
      </c>
      <c r="E3" s="1" t="s">
        <v>52</v>
      </c>
      <c r="F3" s="1" t="s">
        <v>53</v>
      </c>
      <c r="G3" s="1" t="s">
        <v>54</v>
      </c>
      <c r="H3" s="1" t="s">
        <v>55</v>
      </c>
    </row>
    <row r="4">
      <c r="A4" s="1" t="s">
        <v>43</v>
      </c>
    </row>
    <row r="5">
      <c r="A5" s="7" t="s">
        <v>44</v>
      </c>
      <c r="B5" s="4">
        <f>countifs('Line List Sample'!B2:B25, "&gt;=0", 'Line List Sample'!B2:B25, "&lt;=4", 'Line List Sample'!F2:F25, "Yes")</f>
        <v>0</v>
      </c>
      <c r="C5" s="4">
        <f>'Table 2. Demographics'!B5</f>
        <v>2</v>
      </c>
      <c r="D5" s="6">
        <f t="shared" ref="D5:D9" si="1">B5/C5</f>
        <v>0</v>
      </c>
      <c r="E5" s="9">
        <f>(B5/C5)/(B7/C7)</f>
        <v>0</v>
      </c>
      <c r="F5" s="10" t="str">
        <f>sqrt(1/B5+1/B7-1/C5-1/C7)</f>
        <v>#DIV/0!</v>
      </c>
      <c r="G5" s="10" t="str">
        <f>exp(ln(E5)−1.96*F5)</f>
        <v>#ERROR!</v>
      </c>
      <c r="H5" s="10" t="str">
        <f t="shared" ref="H5:H6" si="2">exp(ln(E5)+1.96*F5)</f>
        <v>#NUM!</v>
      </c>
    </row>
    <row r="6">
      <c r="A6" s="8">
        <v>44695.0</v>
      </c>
      <c r="B6" s="4">
        <f>countifs('Line List Sample'!B2:B25, "&gt;=5", 'Line List Sample'!B2:B25, "&lt;=14",'Line List Sample'!F2:F25, "Yes")</f>
        <v>1</v>
      </c>
      <c r="C6" s="4">
        <f>'Table 2. Demographics'!B6</f>
        <v>3</v>
      </c>
      <c r="D6" s="6">
        <f t="shared" si="1"/>
        <v>0.3333333333</v>
      </c>
      <c r="E6" s="9">
        <f>(B6/C6)/(B7/C7)</f>
        <v>0.3888888889</v>
      </c>
      <c r="F6" s="10">
        <f>sqrt(1/B6-1/C6+1/B7-1/C7)</f>
        <v>0.8309489698</v>
      </c>
      <c r="G6" s="10">
        <f>exp(ln(E6)-1.96*F6)</f>
        <v>0.07629700536</v>
      </c>
      <c r="H6" s="10">
        <f t="shared" si="2"/>
        <v>1.982182226</v>
      </c>
    </row>
    <row r="7">
      <c r="A7" s="7" t="s">
        <v>56</v>
      </c>
      <c r="B7" s="4">
        <f>countifs('Line List Sample'!B2:B25, "&gt;=15", 'Line List Sample'!B2:B25, "&lt;=44", 'Line List Sample'!F2:F25, "Yes")</f>
        <v>6</v>
      </c>
      <c r="C7" s="4">
        <f>'Table 2. Demographics'!B7</f>
        <v>7</v>
      </c>
      <c r="D7" s="6">
        <f t="shared" si="1"/>
        <v>0.8571428571</v>
      </c>
      <c r="E7" s="11" t="s">
        <v>57</v>
      </c>
      <c r="F7" s="10"/>
      <c r="G7" s="10"/>
      <c r="H7" s="10"/>
    </row>
    <row r="8">
      <c r="A8" s="7" t="s">
        <v>46</v>
      </c>
      <c r="B8" s="4">
        <f>countifs('Line List Sample'!B2:B25, "&gt;=45", 'Line List Sample'!B2:B25, "&lt;=64",'Line List Sample'!F2:F25, "Yes")</f>
        <v>5</v>
      </c>
      <c r="C8" s="4">
        <f>'Table 2. Demographics'!B8</f>
        <v>7</v>
      </c>
      <c r="D8" s="6">
        <f t="shared" si="1"/>
        <v>0.7142857143</v>
      </c>
      <c r="E8" s="9">
        <f>(B8/C8)/(B7/C7)</f>
        <v>0.8333333333</v>
      </c>
      <c r="F8" s="10">
        <f>(1/B8-1/C8+1/B7-1/C7)</f>
        <v>0.08095238095</v>
      </c>
      <c r="G8" s="10">
        <f t="shared" ref="G8:G9" si="3">exp(ln(E8)-1.96*F8)</f>
        <v>0.7110672821</v>
      </c>
      <c r="H8" s="10">
        <f t="shared" ref="H8:H9" si="4">exp(ln(E8)+1.96*F8)</f>
        <v>0.9766226937</v>
      </c>
    </row>
    <row r="9">
      <c r="A9" s="7" t="s">
        <v>47</v>
      </c>
      <c r="B9" s="4">
        <f>COUNTIFS('Line List Sample'!B2:B25, "&gt;=65", 'Line List Sample'!F2:F25, "Yes")</f>
        <v>1</v>
      </c>
      <c r="C9" s="4">
        <f>'Table 2. Demographics'!B9</f>
        <v>1</v>
      </c>
      <c r="D9" s="6">
        <f t="shared" si="1"/>
        <v>1</v>
      </c>
      <c r="E9" s="9">
        <f>(B9/C9)/(B7/C7)</f>
        <v>1.166666667</v>
      </c>
      <c r="F9" s="10">
        <f>sqrt(1/B9-1/C9+1/B7-1/C7)</f>
        <v>0.15430335</v>
      </c>
      <c r="G9" s="10">
        <f t="shared" si="3"/>
        <v>0.8621863175</v>
      </c>
      <c r="H9" s="10">
        <f t="shared" si="4"/>
        <v>1.578673987</v>
      </c>
    </row>
    <row r="10">
      <c r="A10" s="1" t="s">
        <v>2</v>
      </c>
      <c r="C10" s="4" t="str">
        <f>'Table 2. Demographics'!B10</f>
        <v/>
      </c>
      <c r="D10" s="6"/>
      <c r="E10" s="9"/>
    </row>
    <row r="11">
      <c r="A11" s="2" t="s">
        <v>58</v>
      </c>
      <c r="B11" s="4">
        <f>COUNTIFS('Line List Sample'!C2:C25, "Female", 'Line List Sample'!F2:F25, "Yes")</f>
        <v>5</v>
      </c>
      <c r="C11" s="4">
        <f>'Table 2. Demographics'!B11</f>
        <v>8</v>
      </c>
      <c r="D11" s="6">
        <f t="shared" ref="D11:D16" si="5">B11/C11</f>
        <v>0.625</v>
      </c>
      <c r="E11" s="11" t="s">
        <v>57</v>
      </c>
    </row>
    <row r="12">
      <c r="A12" s="2" t="s">
        <v>29</v>
      </c>
      <c r="B12" s="4">
        <f>countifs('Line List Sample'!C2:C25, "Male", 'Line List Sample'!F2:F25, "Yes")</f>
        <v>3</v>
      </c>
      <c r="C12" s="4">
        <f>'Table 2. Demographics'!B12</f>
        <v>5</v>
      </c>
      <c r="D12" s="6">
        <f t="shared" si="5"/>
        <v>0.6</v>
      </c>
      <c r="E12" s="9">
        <f>(B12/C12)/(B11/C11)</f>
        <v>0.96</v>
      </c>
      <c r="F12" s="10">
        <f>sqrt(1/B12-1/C12+1/B11-1/C11)</f>
        <v>0.4564354646</v>
      </c>
      <c r="G12" s="10">
        <f t="shared" ref="G12:G15" si="6">exp(ln(E12)-1.96*F12)</f>
        <v>0.3924149296</v>
      </c>
      <c r="H12" s="10">
        <f t="shared" ref="H12:H15" si="7">exp(ln(E12)+1.96*F12)</f>
        <v>2.348534499</v>
      </c>
    </row>
    <row r="13">
      <c r="A13" s="2" t="s">
        <v>26</v>
      </c>
      <c r="B13" s="4">
        <f>countifs('Line List Sample'!C2:C25, "Non-Binary", 'Line List Sample'!F2:F25, "Yes")</f>
        <v>2</v>
      </c>
      <c r="C13" s="4">
        <f>'Table 2. Demographics'!B13</f>
        <v>3</v>
      </c>
      <c r="D13" s="6">
        <f t="shared" si="5"/>
        <v>0.6666666667</v>
      </c>
      <c r="E13" s="9">
        <f>(B13/C13)/(B11/C11)</f>
        <v>1.066666667</v>
      </c>
      <c r="F13" s="10">
        <f>sqrt(1/B13-1/C13+1/B11-1/C11)</f>
        <v>0.4915960401</v>
      </c>
      <c r="G13" s="10">
        <f t="shared" si="6"/>
        <v>0.4069806175</v>
      </c>
      <c r="H13" s="10">
        <f t="shared" si="7"/>
        <v>2.795655933</v>
      </c>
    </row>
    <row r="14">
      <c r="A14" s="2" t="s">
        <v>31</v>
      </c>
      <c r="B14" s="4">
        <f>countifs('Line List Sample'!C2:C25, "Transgender Female", 'Line List Sample'!F2:F25, "Yes")</f>
        <v>1</v>
      </c>
      <c r="C14" s="4">
        <f>'Table 2. Demographics'!B14</f>
        <v>1</v>
      </c>
      <c r="D14" s="6">
        <f t="shared" si="5"/>
        <v>1</v>
      </c>
      <c r="E14" s="9">
        <f>(B14/C14)/(B11/C11)</f>
        <v>1.6</v>
      </c>
      <c r="F14" s="10">
        <f>sqrt(1/B14-1/C14+1/B11-1/C11)</f>
        <v>0.2738612788</v>
      </c>
      <c r="G14" s="10">
        <f t="shared" si="6"/>
        <v>0.9354154872</v>
      </c>
      <c r="H14" s="10">
        <f t="shared" si="7"/>
        <v>2.736751781</v>
      </c>
    </row>
    <row r="15">
      <c r="A15" s="2" t="s">
        <v>32</v>
      </c>
      <c r="B15" s="4">
        <f>countifs('Line List Sample'!C2:C25, "Transgender Male", 'Line List Sample'!F2:F25, "Yes")</f>
        <v>2</v>
      </c>
      <c r="C15" s="4">
        <f>'Table 2. Demographics'!B15</f>
        <v>3</v>
      </c>
      <c r="D15" s="6">
        <f t="shared" si="5"/>
        <v>0.6666666667</v>
      </c>
      <c r="E15" s="9">
        <f>(B15/C15)/(B11/C11)</f>
        <v>1.066666667</v>
      </c>
      <c r="F15" s="10">
        <f>sqrt(1/B15-1/C15+1/B11-1/C11)</f>
        <v>0.4915960401</v>
      </c>
      <c r="G15" s="10">
        <f t="shared" si="6"/>
        <v>0.4069806175</v>
      </c>
      <c r="H15" s="10">
        <f t="shared" si="7"/>
        <v>2.795655933</v>
      </c>
    </row>
    <row r="16">
      <c r="A16" s="1" t="s">
        <v>59</v>
      </c>
      <c r="B16" s="4">
        <f>countifs('Line List Sample'!R2:R25, "Yes", 'Line List Sample'!F2:F25, "Yes")</f>
        <v>13</v>
      </c>
      <c r="C16" s="4">
        <f>countif('Line List Sample'!R2:R25, "Yes")</f>
        <v>20</v>
      </c>
      <c r="D16" s="6">
        <f t="shared" si="5"/>
        <v>0.65</v>
      </c>
      <c r="E16" s="9"/>
    </row>
  </sheetData>
  <conditionalFormatting sqref="I6">
    <cfRule type="cellIs" dxfId="0" priority="1" operator="lessThan">
      <formula>1</formula>
    </cfRule>
  </conditionalFormatting>
  <conditionalFormatting sqref="I6">
    <cfRule type="cellIs" dxfId="0" priority="2" operator="lessThan">
      <formula>1</formula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75"/>
  </cols>
  <sheetData>
    <row r="1">
      <c r="A1" s="2" t="s">
        <v>60</v>
      </c>
    </row>
    <row r="3">
      <c r="A3" s="1" t="s">
        <v>7</v>
      </c>
      <c r="B3" s="1" t="s">
        <v>42</v>
      </c>
      <c r="C3" s="1" t="s">
        <v>36</v>
      </c>
    </row>
    <row r="4">
      <c r="A4" s="12" t="s">
        <v>8</v>
      </c>
      <c r="B4" s="13">
        <f>countif('Line List Sample'!I2:I25, "Yes")</f>
        <v>7</v>
      </c>
      <c r="C4" s="6">
        <f t="shared" ref="C4:C12" si="1">B4/13</f>
        <v>0.5384615385</v>
      </c>
    </row>
    <row r="5">
      <c r="A5" s="12" t="s">
        <v>9</v>
      </c>
      <c r="B5" s="13">
        <f>countif('Line List Sample'!J2:J25, "Yes")</f>
        <v>7</v>
      </c>
      <c r="C5" s="6">
        <f t="shared" si="1"/>
        <v>0.5384615385</v>
      </c>
    </row>
    <row r="6">
      <c r="A6" s="12" t="s">
        <v>10</v>
      </c>
      <c r="B6" s="14">
        <f>countif('Line List Sample'!K2:K25, "Yes")</f>
        <v>8</v>
      </c>
      <c r="C6" s="6">
        <f t="shared" si="1"/>
        <v>0.6153846154</v>
      </c>
    </row>
    <row r="7">
      <c r="A7" s="12" t="s">
        <v>11</v>
      </c>
      <c r="B7" s="14">
        <f>countif('Line List Sample'!L2:L25, "Yes")</f>
        <v>8</v>
      </c>
      <c r="C7" s="6">
        <f t="shared" si="1"/>
        <v>0.6153846154</v>
      </c>
    </row>
    <row r="8">
      <c r="A8" s="12" t="s">
        <v>12</v>
      </c>
      <c r="B8" s="14">
        <f>countif('Line List Sample'!M2:M25, "Yes")</f>
        <v>10</v>
      </c>
      <c r="C8" s="6">
        <f t="shared" si="1"/>
        <v>0.7692307692</v>
      </c>
    </row>
    <row r="9">
      <c r="A9" s="12" t="s">
        <v>13</v>
      </c>
      <c r="B9" s="14">
        <f>countif('Line List Sample'!N2:N25, "Yes")</f>
        <v>9</v>
      </c>
      <c r="C9" s="6">
        <f t="shared" si="1"/>
        <v>0.6923076923</v>
      </c>
    </row>
    <row r="10">
      <c r="A10" s="12" t="s">
        <v>14</v>
      </c>
      <c r="B10" s="14">
        <f>countif('Line List Sample'!O2:O25, "Yes")</f>
        <v>7</v>
      </c>
      <c r="C10" s="6">
        <f t="shared" si="1"/>
        <v>0.5384615385</v>
      </c>
    </row>
    <row r="11">
      <c r="A11" s="12" t="s">
        <v>15</v>
      </c>
      <c r="B11" s="14">
        <f>countif('Line List Sample'!P2:P25, "Yes")</f>
        <v>4</v>
      </c>
      <c r="C11" s="6">
        <f t="shared" si="1"/>
        <v>0.3076923077</v>
      </c>
    </row>
    <row r="12">
      <c r="A12" s="12" t="s">
        <v>16</v>
      </c>
      <c r="B12" s="14">
        <f>countif('Line List Sample'!Q2:Q25, "Yes")</f>
        <v>5</v>
      </c>
      <c r="C12" s="6">
        <f t="shared" si="1"/>
        <v>0.3846153846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61</v>
      </c>
    </row>
    <row r="3">
      <c r="B3" s="2" t="s">
        <v>62</v>
      </c>
      <c r="E3" s="2" t="s">
        <v>63</v>
      </c>
    </row>
    <row r="4">
      <c r="A4" s="2" t="s">
        <v>64</v>
      </c>
      <c r="B4" s="2" t="s">
        <v>65</v>
      </c>
      <c r="C4" s="2" t="s">
        <v>66</v>
      </c>
      <c r="D4" s="2" t="s">
        <v>67</v>
      </c>
      <c r="E4" s="2" t="s">
        <v>65</v>
      </c>
      <c r="F4" s="2" t="s">
        <v>66</v>
      </c>
      <c r="G4" s="2" t="s">
        <v>67</v>
      </c>
      <c r="H4" s="2" t="s">
        <v>52</v>
      </c>
      <c r="I4" s="2" t="s">
        <v>68</v>
      </c>
      <c r="J4" s="2" t="s">
        <v>54</v>
      </c>
      <c r="K4" s="2" t="s">
        <v>55</v>
      </c>
      <c r="L4" s="2" t="s">
        <v>69</v>
      </c>
    </row>
    <row r="5">
      <c r="A5" s="2" t="s">
        <v>70</v>
      </c>
      <c r="B5" s="4">
        <f>countifs('Line List Sample'!S2:S25, "Yes", 'Line List Sample'!F2:F25, "Yes")</f>
        <v>4</v>
      </c>
      <c r="C5" s="15">
        <f>countif('Line List Sample'!S2:S25, "Yes")</f>
        <v>8</v>
      </c>
      <c r="D5" s="6">
        <f t="shared" ref="D5:D9" si="1">B5/C5</f>
        <v>0.5</v>
      </c>
      <c r="E5" s="4">
        <f t="shared" ref="E5:E9" si="2">13-B5</f>
        <v>9</v>
      </c>
      <c r="F5" s="4">
        <f t="shared" ref="F5:F9" si="3">20-C5</f>
        <v>12</v>
      </c>
      <c r="G5" s="6">
        <f t="shared" ref="G5:G9" si="4">E5/F5</f>
        <v>0.75</v>
      </c>
      <c r="H5" s="10">
        <f t="shared" ref="H5:H9" si="5">(B5/C5)/(E5/F5)</f>
        <v>0.6666666667</v>
      </c>
      <c r="I5" s="10">
        <f t="shared" ref="I5:I9" si="6">sqrt(1/B5-1/C5+1/E5-1/F5)</f>
        <v>0.39086798</v>
      </c>
      <c r="J5" s="10">
        <f t="shared" ref="J5:J9" si="7">exp(ln(H5)-1.96*I5)</f>
        <v>0.3098811789</v>
      </c>
      <c r="K5" s="10">
        <f t="shared" ref="K5:K9" si="8">exp(ln(H5)+1.96*I5)</f>
        <v>1.434241492</v>
      </c>
      <c r="L5" s="6">
        <f t="shared" ref="L5:L9" si="9">B5/13</f>
        <v>0.3076923077</v>
      </c>
    </row>
    <row r="6">
      <c r="A6" s="2" t="s">
        <v>19</v>
      </c>
      <c r="B6" s="4">
        <f>countifs('Line List Sample'!T2:T25, "Yes", 'Line List Sample'!F2:F25, "Yes")</f>
        <v>7</v>
      </c>
      <c r="C6" s="16">
        <f>countif('Line List Sample'!T2:T25, "Yes")</f>
        <v>9</v>
      </c>
      <c r="D6" s="6">
        <f t="shared" si="1"/>
        <v>0.7777777778</v>
      </c>
      <c r="E6" s="4">
        <f t="shared" si="2"/>
        <v>6</v>
      </c>
      <c r="F6" s="4">
        <f t="shared" si="3"/>
        <v>11</v>
      </c>
      <c r="G6" s="6">
        <f t="shared" si="4"/>
        <v>0.5454545455</v>
      </c>
      <c r="H6" s="10">
        <f t="shared" si="5"/>
        <v>1.425925926</v>
      </c>
      <c r="I6" s="10">
        <f t="shared" si="6"/>
        <v>0.3278774276</v>
      </c>
      <c r="J6" s="10">
        <f t="shared" si="7"/>
        <v>0.7498977743</v>
      </c>
      <c r="K6" s="10">
        <f t="shared" si="8"/>
        <v>2.711389227</v>
      </c>
      <c r="L6" s="6">
        <f t="shared" si="9"/>
        <v>0.5384615385</v>
      </c>
    </row>
    <row r="7">
      <c r="A7" s="2" t="s">
        <v>20</v>
      </c>
      <c r="B7" s="4">
        <f>countifs('Line List Sample'!U2:U25, "Yes", 'Line List Sample'!F2:F25, "Yes")</f>
        <v>12</v>
      </c>
      <c r="C7" s="4">
        <f>countif('Line List Sample'!U2:U25, "Yes")</f>
        <v>13</v>
      </c>
      <c r="D7" s="6">
        <f t="shared" si="1"/>
        <v>0.9230769231</v>
      </c>
      <c r="E7" s="4">
        <f t="shared" si="2"/>
        <v>1</v>
      </c>
      <c r="F7" s="4">
        <f t="shared" si="3"/>
        <v>7</v>
      </c>
      <c r="G7" s="6">
        <f t="shared" si="4"/>
        <v>0.1428571429</v>
      </c>
      <c r="H7" s="10">
        <f t="shared" si="5"/>
        <v>6.461538462</v>
      </c>
      <c r="I7" s="10">
        <f t="shared" si="6"/>
        <v>0.9292755854</v>
      </c>
      <c r="J7" s="10">
        <f t="shared" si="7"/>
        <v>1.045491693</v>
      </c>
      <c r="K7" s="10">
        <f t="shared" si="8"/>
        <v>39.93477861</v>
      </c>
      <c r="L7" s="6">
        <f t="shared" si="9"/>
        <v>0.9230769231</v>
      </c>
    </row>
    <row r="8">
      <c r="A8" s="2" t="s">
        <v>21</v>
      </c>
      <c r="B8" s="4">
        <f>countifs('Line List Sample'!V2:V25, "Yes", 'Line List Sample'!F2:F25, "Yes")</f>
        <v>4</v>
      </c>
      <c r="C8" s="4">
        <f>countif('Line List Sample'!V2:V25, "Yes")</f>
        <v>9</v>
      </c>
      <c r="D8" s="6">
        <f t="shared" si="1"/>
        <v>0.4444444444</v>
      </c>
      <c r="E8" s="4">
        <f t="shared" si="2"/>
        <v>9</v>
      </c>
      <c r="F8" s="4">
        <f t="shared" si="3"/>
        <v>11</v>
      </c>
      <c r="G8" s="6">
        <f t="shared" si="4"/>
        <v>0.8181818182</v>
      </c>
      <c r="H8" s="10">
        <f t="shared" si="5"/>
        <v>0.5432098765</v>
      </c>
      <c r="I8" s="10">
        <f t="shared" si="6"/>
        <v>0.3988620176</v>
      </c>
      <c r="J8" s="10">
        <f t="shared" si="7"/>
        <v>0.2485704245</v>
      </c>
      <c r="K8" s="10">
        <f t="shared" si="8"/>
        <v>1.187096054</v>
      </c>
      <c r="L8" s="6">
        <f t="shared" si="9"/>
        <v>0.3076923077</v>
      </c>
    </row>
    <row r="9">
      <c r="A9" s="2" t="s">
        <v>22</v>
      </c>
      <c r="B9" s="4">
        <f>countifs('Line List Sample'!W2:W25, "Yes", 'Line List Sample'!F2:F25, "Yes")</f>
        <v>8</v>
      </c>
      <c r="C9" s="4">
        <f>countif('Line List Sample'!W2:W25, "Yes")</f>
        <v>13</v>
      </c>
      <c r="D9" s="6">
        <f t="shared" si="1"/>
        <v>0.6153846154</v>
      </c>
      <c r="E9" s="4">
        <f t="shared" si="2"/>
        <v>5</v>
      </c>
      <c r="F9" s="4">
        <f t="shared" si="3"/>
        <v>7</v>
      </c>
      <c r="G9" s="6">
        <f t="shared" si="4"/>
        <v>0.7142857143</v>
      </c>
      <c r="H9" s="10">
        <f t="shared" si="5"/>
        <v>0.8615384615</v>
      </c>
      <c r="I9" s="10">
        <f t="shared" si="6"/>
        <v>0.3243759859</v>
      </c>
      <c r="J9" s="10">
        <f t="shared" si="7"/>
        <v>0.456205227</v>
      </c>
      <c r="K9" s="10">
        <f t="shared" si="8"/>
        <v>1.627005735</v>
      </c>
      <c r="L9" s="6">
        <f t="shared" si="9"/>
        <v>0.6153846154</v>
      </c>
    </row>
  </sheetData>
  <drawing r:id="rId1"/>
</worksheet>
</file>