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-440" windowWidth="25600" windowHeight="16000" tabRatio="808" firstSheet="1" activeTab="1"/>
  </bookViews>
  <sheets>
    <sheet name="Análise Granulometrica" sheetId="1" r:id="rId1"/>
    <sheet name="Amassadura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" l="1"/>
  <c r="H8" i="2"/>
  <c r="I15" i="2"/>
  <c r="G22" i="2"/>
  <c r="M28" i="2"/>
  <c r="K28" i="2"/>
  <c r="I28" i="2"/>
  <c r="H28" i="2"/>
  <c r="G28" i="2"/>
  <c r="F28" i="2"/>
  <c r="K8" i="2"/>
  <c r="F17" i="2"/>
  <c r="E17" i="2"/>
  <c r="F16" i="2"/>
  <c r="E16" i="2"/>
  <c r="H14" i="2"/>
  <c r="H13" i="2"/>
  <c r="H12" i="2"/>
  <c r="AE6" i="2"/>
  <c r="C22" i="2"/>
  <c r="M5" i="2"/>
  <c r="D44" i="2"/>
  <c r="D32" i="2"/>
  <c r="H5" i="2"/>
  <c r="F5" i="2"/>
  <c r="L5" i="2"/>
  <c r="K11" i="2"/>
  <c r="N5" i="2"/>
  <c r="C17" i="2"/>
  <c r="D28" i="2"/>
  <c r="C2" i="2"/>
  <c r="D36" i="2"/>
  <c r="M4" i="2"/>
  <c r="L11" i="2"/>
  <c r="F7" i="2"/>
  <c r="I11" i="2"/>
  <c r="C7" i="2"/>
  <c r="D40" i="2"/>
  <c r="E22" i="2"/>
  <c r="D4" i="2"/>
  <c r="K5" i="2"/>
  <c r="C16" i="2"/>
  <c r="F11" i="2"/>
  <c r="I12" i="2"/>
  <c r="K12" i="2"/>
  <c r="I14" i="2"/>
  <c r="I13" i="2"/>
  <c r="F29" i="2"/>
  <c r="H34" i="2"/>
  <c r="M26" i="2"/>
  <c r="H30" i="2"/>
  <c r="M29" i="2"/>
  <c r="M27" i="2"/>
  <c r="K29" i="2"/>
  <c r="K27" i="2"/>
  <c r="K26" i="2"/>
  <c r="H42" i="2"/>
  <c r="H38" i="2"/>
  <c r="I29" i="2"/>
  <c r="H29" i="2"/>
  <c r="G29" i="2"/>
  <c r="I27" i="2"/>
  <c r="H27" i="2"/>
  <c r="G27" i="2"/>
  <c r="F27" i="2"/>
  <c r="I26" i="2"/>
  <c r="H26" i="2"/>
  <c r="G26" i="2"/>
  <c r="F26" i="2"/>
  <c r="D28" i="1"/>
  <c r="E22" i="1"/>
  <c r="G22" i="1"/>
  <c r="E20" i="1"/>
  <c r="F20" i="1"/>
  <c r="E21" i="1"/>
  <c r="E23" i="1"/>
  <c r="G23" i="1"/>
  <c r="E24" i="1"/>
  <c r="E25" i="1"/>
  <c r="G25" i="1"/>
  <c r="E26" i="1"/>
  <c r="E27" i="1"/>
  <c r="G27" i="1"/>
  <c r="C27" i="1"/>
  <c r="G26" i="1"/>
  <c r="G24" i="1"/>
  <c r="G21" i="1"/>
  <c r="D13" i="1"/>
  <c r="E5" i="1"/>
  <c r="E7" i="1"/>
  <c r="E9" i="1"/>
  <c r="E11" i="1"/>
  <c r="C12" i="1"/>
  <c r="G11" i="1"/>
  <c r="G9" i="1"/>
  <c r="G7" i="1"/>
  <c r="D10" i="2"/>
  <c r="G38" i="2"/>
  <c r="G30" i="2"/>
  <c r="L19" i="2"/>
  <c r="F24" i="2"/>
  <c r="D35" i="2"/>
  <c r="C19" i="2"/>
  <c r="D39" i="2"/>
  <c r="D31" i="2"/>
  <c r="D27" i="2"/>
  <c r="E11" i="2"/>
  <c r="H11" i="2"/>
  <c r="E5" i="2"/>
  <c r="K4" i="2"/>
  <c r="P1" i="2"/>
  <c r="D43" i="2"/>
  <c r="C1" i="2"/>
  <c r="K14" i="2"/>
  <c r="L12" i="2"/>
  <c r="L13" i="2"/>
  <c r="K13" i="2"/>
  <c r="F21" i="1"/>
  <c r="H20" i="1"/>
  <c r="F5" i="1"/>
  <c r="G5" i="1"/>
  <c r="E12" i="1"/>
  <c r="G12" i="1"/>
  <c r="E10" i="1"/>
  <c r="G10" i="1"/>
  <c r="E8" i="1"/>
  <c r="G8" i="1"/>
  <c r="E6" i="1"/>
  <c r="G6" i="1"/>
  <c r="G20" i="1"/>
  <c r="D26" i="2"/>
  <c r="D45" i="2"/>
  <c r="G42" i="2"/>
  <c r="H19" i="2"/>
  <c r="D33" i="2"/>
  <c r="G11" i="2"/>
  <c r="D11" i="2"/>
  <c r="D5" i="2"/>
  <c r="D29" i="2"/>
  <c r="D41" i="2"/>
  <c r="G34" i="2"/>
  <c r="C21" i="2"/>
  <c r="C18" i="2"/>
  <c r="I10" i="2"/>
  <c r="G5" i="2"/>
  <c r="I5" i="2"/>
  <c r="D37" i="2"/>
  <c r="L14" i="2"/>
  <c r="I40" i="2"/>
  <c r="K39" i="2"/>
  <c r="H39" i="2"/>
  <c r="F39" i="2"/>
  <c r="M39" i="2"/>
  <c r="I39" i="2"/>
  <c r="I41" i="2"/>
  <c r="G39" i="2"/>
  <c r="H31" i="2"/>
  <c r="M31" i="2"/>
  <c r="G31" i="2"/>
  <c r="K31" i="2"/>
  <c r="F31" i="2"/>
  <c r="I31" i="2"/>
  <c r="K36" i="2"/>
  <c r="G36" i="2"/>
  <c r="M36" i="2"/>
  <c r="H36" i="2"/>
  <c r="I36" i="2"/>
  <c r="F36" i="2"/>
  <c r="H32" i="2"/>
  <c r="G32" i="2"/>
  <c r="K32" i="2"/>
  <c r="F32" i="2"/>
  <c r="I32" i="2"/>
  <c r="M32" i="2"/>
  <c r="M35" i="2"/>
  <c r="M37" i="2"/>
  <c r="K35" i="2"/>
  <c r="K37" i="2"/>
  <c r="F35" i="2"/>
  <c r="F37" i="2"/>
  <c r="I35" i="2"/>
  <c r="I37" i="2"/>
  <c r="H35" i="2"/>
  <c r="H37" i="2"/>
  <c r="G35" i="2"/>
  <c r="G37" i="2"/>
  <c r="F6" i="1"/>
  <c r="H5" i="1"/>
  <c r="F22" i="1"/>
  <c r="H21" i="1"/>
  <c r="I33" i="2"/>
  <c r="K33" i="2"/>
  <c r="M33" i="2"/>
  <c r="F33" i="2"/>
  <c r="G33" i="2"/>
  <c r="H33" i="2"/>
  <c r="H40" i="2"/>
  <c r="H41" i="2"/>
  <c r="G40" i="2"/>
  <c r="G41" i="2"/>
  <c r="F40" i="2"/>
  <c r="F41" i="2"/>
  <c r="M40" i="2"/>
  <c r="M41" i="2"/>
  <c r="K40" i="2"/>
  <c r="K41" i="2"/>
  <c r="K15" i="2"/>
  <c r="L15" i="2"/>
  <c r="F23" i="1"/>
  <c r="H22" i="1"/>
  <c r="F7" i="1"/>
  <c r="H6" i="1"/>
  <c r="G43" i="2"/>
  <c r="G44" i="2"/>
  <c r="G45" i="2"/>
  <c r="H43" i="2"/>
  <c r="I43" i="2"/>
  <c r="M43" i="2"/>
  <c r="F43" i="2"/>
  <c r="K43" i="2"/>
  <c r="I44" i="2"/>
  <c r="K44" i="2"/>
  <c r="M44" i="2"/>
  <c r="H44" i="2"/>
  <c r="F44" i="2"/>
  <c r="F8" i="1"/>
  <c r="H7" i="1"/>
  <c r="H23" i="1"/>
  <c r="F24" i="1"/>
  <c r="F45" i="2"/>
  <c r="I45" i="2"/>
  <c r="K45" i="2"/>
  <c r="M45" i="2"/>
  <c r="H45" i="2"/>
  <c r="F9" i="1"/>
  <c r="H8" i="1"/>
  <c r="F25" i="1"/>
  <c r="H24" i="1"/>
  <c r="H25" i="1"/>
  <c r="F26" i="1"/>
  <c r="F10" i="1"/>
  <c r="H9" i="1"/>
  <c r="F27" i="1"/>
  <c r="H27" i="1"/>
  <c r="H26" i="1"/>
  <c r="F11" i="1"/>
  <c r="H10" i="1"/>
  <c r="F12" i="1"/>
  <c r="H12" i="1"/>
  <c r="H11" i="1"/>
</calcChain>
</file>

<file path=xl/sharedStrings.xml><?xml version="1.0" encoding="utf-8"?>
<sst xmlns="http://schemas.openxmlformats.org/spreadsheetml/2006/main" count="101" uniqueCount="88">
  <si>
    <t>Peneiro</t>
  </si>
  <si>
    <t>ASTM</t>
  </si>
  <si>
    <t>mm</t>
  </si>
  <si>
    <t>Mat.Ret.(g)</t>
  </si>
  <si>
    <t>%Ret</t>
  </si>
  <si>
    <t>%Ret.Cum.</t>
  </si>
  <si>
    <t>%Pass.</t>
  </si>
  <si>
    <t>%Pass.Cum.</t>
  </si>
  <si>
    <t>Resto</t>
  </si>
  <si>
    <t>Total=</t>
  </si>
  <si>
    <t>g</t>
  </si>
  <si>
    <t>Análise Granulométrica do caulino branco</t>
  </si>
  <si>
    <t>Análise Granulométrica do caulino amarelo</t>
  </si>
  <si>
    <t>% de sólidos</t>
  </si>
  <si>
    <t>1 L</t>
  </si>
  <si>
    <t>1,5 L</t>
  </si>
  <si>
    <t>2,0 L</t>
  </si>
  <si>
    <t>2,5 L</t>
  </si>
  <si>
    <t>L=</t>
  </si>
  <si>
    <t>Ligante I</t>
  </si>
  <si>
    <t>Ligante II</t>
  </si>
  <si>
    <t>SuperPlastificante</t>
  </si>
  <si>
    <t>Volume de vazios</t>
  </si>
  <si>
    <t>*preencher os apenas os campos</t>
  </si>
  <si>
    <t>Miguel Silva</t>
  </si>
  <si>
    <t>Quantidade SP</t>
  </si>
  <si>
    <t>Cálculo da dosagem de materiais para argamassas</t>
  </si>
  <si>
    <t>Language</t>
  </si>
  <si>
    <t>English</t>
  </si>
  <si>
    <t>PT</t>
  </si>
  <si>
    <t>EN</t>
  </si>
  <si>
    <t>Language Types</t>
  </si>
  <si>
    <t>Português</t>
  </si>
  <si>
    <t>Translations</t>
  </si>
  <si>
    <t>Sel</t>
  </si>
  <si>
    <t>Água</t>
  </si>
  <si>
    <t>W/L</t>
  </si>
  <si>
    <t>Determination of material quantities for mortars</t>
  </si>
  <si>
    <t>Binder I</t>
  </si>
  <si>
    <t>Binder II</t>
  </si>
  <si>
    <t>Water</t>
  </si>
  <si>
    <t>W/B</t>
  </si>
  <si>
    <t>Void volume</t>
  </si>
  <si>
    <t>Superplasticizer (SP)</t>
  </si>
  <si>
    <t>SP Quantity</t>
  </si>
  <si>
    <t>Superplasticizer with</t>
  </si>
  <si>
    <t>% of solids</t>
  </si>
  <si>
    <t>Quantities</t>
  </si>
  <si>
    <t>* fill down the fields with bk color</t>
  </si>
  <si>
    <t>Areia I</t>
  </si>
  <si>
    <t>Areia II</t>
  </si>
  <si>
    <t>Absorção Água(%)</t>
  </si>
  <si>
    <t>Binder III</t>
  </si>
  <si>
    <t>Ligante III</t>
  </si>
  <si>
    <t>Aggregate I</t>
  </si>
  <si>
    <t>Aggregate II</t>
  </si>
  <si>
    <t>Peso específico dos materiais</t>
  </si>
  <si>
    <t>Relação % com o Ligante I</t>
  </si>
  <si>
    <t>Binder I Ratio</t>
  </si>
  <si>
    <t>Relação % com total de ligante</t>
  </si>
  <si>
    <t>Total Binder Ratio</t>
  </si>
  <si>
    <t>Aggregates I &amp; II ratio</t>
  </si>
  <si>
    <t>Relação % dos agregados I &amp; II</t>
  </si>
  <si>
    <t>Agregados eq.</t>
  </si>
  <si>
    <t>Aggregates eq.</t>
  </si>
  <si>
    <t>Idioma</t>
  </si>
  <si>
    <t>Specific Weight of Materials</t>
  </si>
  <si>
    <t>Teor humidade (%)</t>
  </si>
  <si>
    <t>Superplastificante com</t>
  </si>
  <si>
    <t>Quantidade de materiais - Resultados:</t>
  </si>
  <si>
    <t>Material quantities - Results:</t>
  </si>
  <si>
    <t>Para  W/L de</t>
  </si>
  <si>
    <t>o traço em peso é:</t>
  </si>
  <si>
    <t>For a W/B of</t>
  </si>
  <si>
    <r>
      <t>V(cm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)=</t>
    </r>
  </si>
  <si>
    <t>the ratio in weight is:</t>
  </si>
  <si>
    <r>
      <t>L/m</t>
    </r>
    <r>
      <rPr>
        <b/>
        <vertAlign val="superscript"/>
        <sz val="10"/>
        <rFont val="Arial"/>
        <family val="2"/>
      </rPr>
      <t>3</t>
    </r>
  </si>
  <si>
    <r>
      <t>Kg/m</t>
    </r>
    <r>
      <rPr>
        <vertAlign val="superscript"/>
        <sz val="10"/>
        <rFont val="Arial"/>
        <family val="2"/>
      </rPr>
      <t>3</t>
    </r>
  </si>
  <si>
    <t>Water Absorption(%)</t>
  </si>
  <si>
    <t>Humidity Content(%)</t>
  </si>
  <si>
    <t>Quantidades</t>
  </si>
  <si>
    <r>
      <rPr>
        <sz val="12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 xml:space="preserve">Meq= </t>
    </r>
  </si>
  <si>
    <r>
      <t>Ligantes(Kg/m</t>
    </r>
    <r>
      <rPr>
        <vertAlign val="superscript"/>
        <sz val="10"/>
        <color theme="0"/>
        <rFont val="Arial"/>
        <family val="2"/>
      </rPr>
      <t>3</t>
    </r>
    <r>
      <rPr>
        <sz val="10"/>
        <color theme="0"/>
        <rFont val="Arial"/>
        <family val="2"/>
      </rPr>
      <t>)</t>
    </r>
  </si>
  <si>
    <r>
      <t>Binders (Kg/m</t>
    </r>
    <r>
      <rPr>
        <vertAlign val="superscript"/>
        <sz val="10"/>
        <color theme="0"/>
        <rFont val="Arial"/>
        <family val="2"/>
      </rPr>
      <t>3</t>
    </r>
    <r>
      <rPr>
        <sz val="10"/>
        <color theme="0"/>
        <rFont val="Arial"/>
        <family val="2"/>
      </rPr>
      <t>)</t>
    </r>
  </si>
  <si>
    <r>
      <t>Água (L/m</t>
    </r>
    <r>
      <rPr>
        <vertAlign val="superscript"/>
        <sz val="10"/>
        <color theme="0"/>
        <rFont val="Arial"/>
        <family val="2"/>
      </rPr>
      <t>3</t>
    </r>
    <r>
      <rPr>
        <sz val="10"/>
        <color theme="0"/>
        <rFont val="Arial"/>
        <family val="2"/>
      </rPr>
      <t>)</t>
    </r>
  </si>
  <si>
    <r>
      <t>Water (L/m</t>
    </r>
    <r>
      <rPr>
        <vertAlign val="superscript"/>
        <sz val="10"/>
        <color theme="0"/>
        <rFont val="Arial"/>
        <family val="2"/>
      </rPr>
      <t>3</t>
    </r>
    <r>
      <rPr>
        <sz val="10"/>
        <color theme="0"/>
        <rFont val="Arial"/>
        <family val="2"/>
      </rPr>
      <t>)</t>
    </r>
  </si>
  <si>
    <r>
      <t>Agregados(Kg/m</t>
    </r>
    <r>
      <rPr>
        <vertAlign val="superscript"/>
        <sz val="10"/>
        <color theme="0"/>
        <rFont val="Arial"/>
        <family val="2"/>
      </rPr>
      <t>3</t>
    </r>
    <r>
      <rPr>
        <sz val="10"/>
        <color theme="0"/>
        <rFont val="Arial"/>
        <family val="2"/>
      </rPr>
      <t>)</t>
    </r>
  </si>
  <si>
    <r>
      <t>Aggregates (Kg/m</t>
    </r>
    <r>
      <rPr>
        <vertAlign val="superscript"/>
        <sz val="10"/>
        <color theme="0"/>
        <rFont val="Arial"/>
        <family val="2"/>
      </rPr>
      <t>3</t>
    </r>
    <r>
      <rPr>
        <sz val="10"/>
        <color theme="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</si>
</sst>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9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Verdana"/>
      <family val="2"/>
    </font>
    <font>
      <b/>
      <u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bscript"/>
      <sz val="10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2"/>
      <name val="Symbol"/>
      <family val="1"/>
      <charset val="2"/>
    </font>
    <font>
      <vertAlign val="superscript"/>
      <sz val="10"/>
      <color theme="0"/>
      <name val="Arial"/>
      <family val="2"/>
    </font>
    <font>
      <u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CC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164" fontId="0" fillId="0" borderId="11" xfId="0" applyNumberFormat="1" applyBorder="1" applyAlignment="1">
      <alignment horizontal="center"/>
    </xf>
    <xf numFmtId="0" fontId="0" fillId="2" borderId="15" xfId="0" applyFill="1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2" borderId="18" xfId="0" applyFill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/>
    <xf numFmtId="0" fontId="4" fillId="0" borderId="0" xfId="0" applyFont="1"/>
    <xf numFmtId="0" fontId="0" fillId="3" borderId="0" xfId="0" applyFill="1"/>
    <xf numFmtId="0" fontId="7" fillId="3" borderId="19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1" fillId="3" borderId="20" xfId="0" applyFont="1" applyFill="1" applyBorder="1" applyAlignment="1">
      <alignment horizontal="center"/>
    </xf>
    <xf numFmtId="0" fontId="6" fillId="3" borderId="0" xfId="1" applyFont="1" applyFill="1" applyAlignment="1" applyProtection="1"/>
    <xf numFmtId="0" fontId="8" fillId="3" borderId="0" xfId="0" applyFont="1" applyFill="1"/>
    <xf numFmtId="0" fontId="0" fillId="3" borderId="19" xfId="0" applyFill="1" applyBorder="1"/>
    <xf numFmtId="0" fontId="0" fillId="3" borderId="0" xfId="0" applyFill="1" applyBorder="1" applyAlignment="1">
      <alignment horizontal="center"/>
    </xf>
    <xf numFmtId="0" fontId="0" fillId="3" borderId="20" xfId="0" applyFill="1" applyBorder="1"/>
    <xf numFmtId="0" fontId="0" fillId="3" borderId="2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0" xfId="0" applyFill="1" applyBorder="1" applyAlignment="1">
      <alignment vertical="center"/>
    </xf>
    <xf numFmtId="0" fontId="1" fillId="3" borderId="0" xfId="0" applyFont="1" applyFill="1" applyBorder="1"/>
    <xf numFmtId="0" fontId="1" fillId="3" borderId="19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1" fontId="0" fillId="3" borderId="28" xfId="0" applyNumberFormat="1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2" fontId="0" fillId="3" borderId="28" xfId="0" applyNumberFormat="1" applyFill="1" applyBorder="1" applyAlignment="1">
      <alignment horizontal="center"/>
    </xf>
    <xf numFmtId="1" fontId="0" fillId="3" borderId="27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4" borderId="12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4" borderId="0" xfId="0" applyFill="1"/>
    <xf numFmtId="0" fontId="9" fillId="3" borderId="0" xfId="0" applyFont="1" applyFill="1"/>
    <xf numFmtId="0" fontId="1" fillId="3" borderId="24" xfId="0" applyFont="1" applyFill="1" applyBorder="1" applyAlignment="1">
      <alignment horizontal="center"/>
    </xf>
    <xf numFmtId="0" fontId="1" fillId="3" borderId="24" xfId="0" applyFont="1" applyFill="1" applyBorder="1" applyAlignment="1"/>
    <xf numFmtId="165" fontId="11" fillId="3" borderId="0" xfId="0" applyNumberFormat="1" applyFont="1" applyFill="1" applyAlignment="1">
      <alignment horizontal="center"/>
    </xf>
    <xf numFmtId="165" fontId="11" fillId="3" borderId="0" xfId="0" applyNumberFormat="1" applyFont="1" applyFill="1" applyBorder="1" applyAlignment="1" applyProtection="1">
      <alignment horizontal="center" vertical="center"/>
    </xf>
    <xf numFmtId="165" fontId="11" fillId="3" borderId="0" xfId="0" applyNumberFormat="1" applyFont="1" applyFill="1" applyBorder="1" applyAlignment="1" applyProtection="1">
      <alignment horizontal="center"/>
    </xf>
    <xf numFmtId="0" fontId="10" fillId="3" borderId="0" xfId="0" applyFont="1" applyFill="1" applyBorder="1"/>
    <xf numFmtId="10" fontId="0" fillId="3" borderId="32" xfId="0" applyNumberFormat="1" applyFill="1" applyBorder="1" applyAlignment="1">
      <alignment horizontal="center"/>
    </xf>
    <xf numFmtId="10" fontId="10" fillId="5" borderId="12" xfId="0" applyNumberFormat="1" applyFont="1" applyFill="1" applyBorder="1" applyAlignment="1" applyProtection="1">
      <alignment horizontal="center"/>
      <protection locked="0"/>
    </xf>
    <xf numFmtId="10" fontId="10" fillId="4" borderId="23" xfId="0" applyNumberFormat="1" applyFont="1" applyFill="1" applyBorder="1" applyAlignment="1" applyProtection="1">
      <alignment horizontal="center"/>
      <protection locked="0"/>
    </xf>
    <xf numFmtId="10" fontId="0" fillId="4" borderId="21" xfId="0" applyNumberFormat="1" applyFill="1" applyBorder="1" applyAlignment="1" applyProtection="1">
      <alignment horizontal="center"/>
      <protection locked="0"/>
    </xf>
    <xf numFmtId="1" fontId="0" fillId="3" borderId="12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0" fontId="13" fillId="4" borderId="12" xfId="0" applyFont="1" applyFill="1" applyBorder="1" applyAlignment="1" applyProtection="1">
      <alignment horizontal="center"/>
      <protection locked="0"/>
    </xf>
    <xf numFmtId="1" fontId="0" fillId="3" borderId="19" xfId="0" applyNumberForma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3" borderId="21" xfId="0" applyNumberFormat="1" applyFill="1" applyBorder="1" applyAlignment="1">
      <alignment horizontal="center"/>
    </xf>
    <xf numFmtId="1" fontId="0" fillId="3" borderId="25" xfId="0" applyNumberFormat="1" applyFill="1" applyBorder="1" applyAlignment="1" applyProtection="1">
      <alignment horizontal="center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3" borderId="19" xfId="0" applyFill="1" applyBorder="1" applyAlignment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1" fontId="1" fillId="3" borderId="0" xfId="0" applyNumberFormat="1" applyFont="1" applyFill="1" applyBorder="1"/>
    <xf numFmtId="0" fontId="1" fillId="6" borderId="19" xfId="0" applyFont="1" applyFill="1" applyBorder="1"/>
    <xf numFmtId="0" fontId="0" fillId="6" borderId="0" xfId="0" applyFill="1" applyBorder="1"/>
    <xf numFmtId="0" fontId="0" fillId="6" borderId="20" xfId="0" applyFill="1" applyBorder="1"/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30" xfId="0" applyFill="1" applyBorder="1"/>
    <xf numFmtId="0" fontId="1" fillId="7" borderId="31" xfId="0" applyFont="1" applyFill="1" applyBorder="1" applyAlignment="1">
      <alignment horizontal="right"/>
    </xf>
    <xf numFmtId="2" fontId="1" fillId="7" borderId="31" xfId="0" applyNumberFormat="1" applyFont="1" applyFill="1" applyBorder="1" applyAlignment="1">
      <alignment horizontal="left"/>
    </xf>
    <xf numFmtId="0" fontId="0" fillId="7" borderId="29" xfId="0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1" fillId="7" borderId="12" xfId="0" applyFont="1" applyFill="1" applyBorder="1" applyAlignment="1">
      <alignment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0" fillId="3" borderId="20" xfId="0" applyFill="1" applyBorder="1" applyAlignment="1"/>
    <xf numFmtId="1" fontId="0" fillId="3" borderId="28" xfId="0" applyNumberFormat="1" applyFill="1" applyBorder="1" applyAlignment="1" applyProtection="1">
      <alignment horizontal="center"/>
    </xf>
    <xf numFmtId="0" fontId="1" fillId="3" borderId="0" xfId="0" applyFont="1" applyFill="1" applyBorder="1" applyAlignment="1"/>
    <xf numFmtId="0" fontId="1" fillId="3" borderId="20" xfId="0" applyFont="1" applyFill="1" applyBorder="1" applyAlignment="1"/>
    <xf numFmtId="164" fontId="0" fillId="7" borderId="28" xfId="0" applyNumberFormat="1" applyFill="1" applyBorder="1"/>
    <xf numFmtId="164" fontId="0" fillId="7" borderId="24" xfId="0" applyNumberFormat="1" applyFill="1" applyBorder="1"/>
    <xf numFmtId="0" fontId="0" fillId="7" borderId="24" xfId="0" applyFill="1" applyBorder="1" applyAlignment="1">
      <alignment horizontal="center"/>
    </xf>
    <xf numFmtId="164" fontId="0" fillId="7" borderId="27" xfId="0" applyNumberFormat="1" applyFill="1" applyBorder="1"/>
    <xf numFmtId="2" fontId="0" fillId="7" borderId="24" xfId="0" applyNumberFormat="1" applyFill="1" applyBorder="1" applyAlignment="1">
      <alignment horizontal="center"/>
    </xf>
    <xf numFmtId="0" fontId="0" fillId="7" borderId="24" xfId="0" applyFill="1" applyBorder="1"/>
    <xf numFmtId="164" fontId="4" fillId="7" borderId="28" xfId="0" applyNumberFormat="1" applyFont="1" applyFill="1" applyBorder="1"/>
    <xf numFmtId="0" fontId="18" fillId="3" borderId="0" xfId="1" applyFont="1" applyFill="1" applyAlignment="1" applyProtection="1"/>
    <xf numFmtId="0" fontId="0" fillId="5" borderId="12" xfId="0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" fontId="0" fillId="3" borderId="21" xfId="0" applyNumberFormat="1" applyFill="1" applyBorder="1" applyAlignment="1" applyProtection="1">
      <alignment horizontal="center"/>
    </xf>
    <xf numFmtId="1" fontId="0" fillId="3" borderId="23" xfId="0" applyNumberFormat="1" applyFill="1" applyBorder="1" applyAlignment="1" applyProtection="1">
      <alignment horizontal="center"/>
    </xf>
    <xf numFmtId="0" fontId="1" fillId="7" borderId="19" xfId="0" applyFont="1" applyFill="1" applyBorder="1" applyAlignment="1">
      <alignment horizontal="right"/>
    </xf>
    <xf numFmtId="0" fontId="1" fillId="7" borderId="20" xfId="0" applyFont="1" applyFill="1" applyBorder="1" applyAlignment="1">
      <alignment horizontal="right"/>
    </xf>
    <xf numFmtId="0" fontId="0" fillId="3" borderId="19" xfId="0" applyFill="1" applyBorder="1" applyAlignment="1">
      <alignment horizontal="right"/>
    </xf>
    <xf numFmtId="0" fontId="0" fillId="3" borderId="20" xfId="0" applyFill="1" applyBorder="1" applyAlignment="1">
      <alignment horizontal="right"/>
    </xf>
    <xf numFmtId="0" fontId="1" fillId="3" borderId="19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1" fillId="3" borderId="19" xfId="0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1" fontId="0" fillId="3" borderId="19" xfId="0" applyNumberForma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4" borderId="12" xfId="0" applyFill="1" applyBorder="1" applyAlignment="1" applyProtection="1">
      <alignment horizontal="center" vertical="center"/>
      <protection locked="0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4" borderId="21" xfId="0" applyFill="1" applyBorder="1" applyAlignment="1" applyProtection="1">
      <alignment horizontal="center" vertical="center"/>
      <protection locked="0"/>
    </xf>
    <xf numFmtId="1" fontId="0" fillId="3" borderId="25" xfId="0" applyNumberFormat="1" applyFill="1" applyBorder="1" applyAlignment="1" applyProtection="1">
      <alignment horizontal="center"/>
    </xf>
    <xf numFmtId="1" fontId="0" fillId="3" borderId="26" xfId="0" applyNumberFormat="1" applyFill="1" applyBorder="1" applyAlignment="1" applyProtection="1">
      <alignment horizontal="center"/>
    </xf>
    <xf numFmtId="0" fontId="1" fillId="7" borderId="25" xfId="0" applyFont="1" applyFill="1" applyBorder="1" applyAlignment="1">
      <alignment horizontal="right"/>
    </xf>
    <xf numFmtId="0" fontId="1" fillId="7" borderId="26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center"/>
    </xf>
    <xf numFmtId="0" fontId="0" fillId="3" borderId="22" xfId="0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1" fillId="3" borderId="23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1" fillId="3" borderId="20" xfId="0" applyFont="1" applyFill="1" applyBorder="1" applyAlignment="1">
      <alignment horizontal="right" vertical="center" wrapText="1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164" fontId="0" fillId="7" borderId="31" xfId="0" applyNumberFormat="1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99CCFF"/>
      <color rgb="FFFF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145676</xdr:colOff>
      <xdr:row>7</xdr:row>
      <xdr:rowOff>47625</xdr:rowOff>
    </xdr:from>
    <xdr:to>
      <xdr:col>8</xdr:col>
      <xdr:colOff>650501</xdr:colOff>
      <xdr:row>7</xdr:row>
      <xdr:rowOff>142875</xdr:rowOff>
    </xdr:to>
    <xdr:sp macro="" textlink="">
      <xdr:nvSpPr>
        <xdr:cNvPr id="2" name="Right Arrow 1"/>
        <xdr:cNvSpPr/>
      </xdr:nvSpPr>
      <xdr:spPr>
        <a:xfrm>
          <a:off x="5759823" y="1067360"/>
          <a:ext cx="50482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guelsilva@civil.uminho.pt;mtpsilva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E34" sqref="E34"/>
    </sheetView>
  </sheetViews>
  <sheetFormatPr baseColWidth="10" defaultColWidth="8.83203125" defaultRowHeight="12" x14ac:dyDescent="0"/>
  <sheetData>
    <row r="1" spans="1:13">
      <c r="A1" s="23" t="s">
        <v>11</v>
      </c>
      <c r="B1" s="23"/>
      <c r="C1" s="23"/>
      <c r="D1" s="23"/>
      <c r="E1" s="22"/>
      <c r="F1" s="22"/>
      <c r="G1" s="22"/>
      <c r="H1" s="22"/>
      <c r="I1" s="22"/>
      <c r="J1" s="22"/>
      <c r="K1" s="22"/>
      <c r="L1" s="22"/>
      <c r="M1" s="22"/>
    </row>
    <row r="2" spans="1:13" ht="13" thickBot="1"/>
    <row r="3" spans="1:13">
      <c r="B3" s="1" t="s">
        <v>0</v>
      </c>
      <c r="C3" s="2"/>
      <c r="D3" s="3"/>
      <c r="E3" s="3"/>
      <c r="F3" s="4"/>
      <c r="G3" s="2"/>
      <c r="H3" s="2"/>
    </row>
    <row r="4" spans="1:13" ht="13" thickBot="1">
      <c r="B4" s="5" t="s">
        <v>1</v>
      </c>
      <c r="C4" s="6" t="s">
        <v>2</v>
      </c>
      <c r="D4" s="7" t="s">
        <v>3</v>
      </c>
      <c r="E4" s="7" t="s">
        <v>4</v>
      </c>
      <c r="F4" s="8" t="s">
        <v>5</v>
      </c>
      <c r="G4" s="7" t="s">
        <v>6</v>
      </c>
      <c r="H4" s="9" t="s">
        <v>7</v>
      </c>
    </row>
    <row r="5" spans="1:13">
      <c r="B5" s="10">
        <v>30</v>
      </c>
      <c r="C5" s="16">
        <v>0.59499999999999997</v>
      </c>
      <c r="D5" s="12">
        <v>0.13900000000000001</v>
      </c>
      <c r="E5" s="13">
        <f>ROUND($D5/$D$13*100,2)</f>
        <v>0.01</v>
      </c>
      <c r="F5" s="13">
        <f>E5</f>
        <v>0.01</v>
      </c>
      <c r="G5" s="13">
        <f>100-$E5</f>
        <v>99.99</v>
      </c>
      <c r="H5" s="14">
        <f>100-$F5</f>
        <v>99.99</v>
      </c>
    </row>
    <row r="6" spans="1:13">
      <c r="B6" s="10">
        <v>50</v>
      </c>
      <c r="C6" s="16">
        <v>0.29699999999999999</v>
      </c>
      <c r="D6" s="15">
        <v>1.1970000000000001</v>
      </c>
      <c r="E6" s="13">
        <f t="shared" ref="E6:E12" si="0">ROUND($D6/$D$13*100,2)</f>
        <v>0.12</v>
      </c>
      <c r="F6" s="13">
        <f>$F5+$E6</f>
        <v>0.13</v>
      </c>
      <c r="G6" s="13">
        <f t="shared" ref="G6:G12" si="1">100-$E6</f>
        <v>99.88</v>
      </c>
      <c r="H6" s="14">
        <f t="shared" ref="H6:H12" si="2">100-$F6</f>
        <v>99.87</v>
      </c>
    </row>
    <row r="7" spans="1:13">
      <c r="B7" s="10">
        <v>70</v>
      </c>
      <c r="C7" s="11"/>
      <c r="D7" s="15">
        <v>226.3</v>
      </c>
      <c r="E7" s="13">
        <f t="shared" si="0"/>
        <v>22.77</v>
      </c>
      <c r="F7" s="13">
        <f t="shared" ref="F7:F12" si="3">$F6+$E7</f>
        <v>22.9</v>
      </c>
      <c r="G7" s="13">
        <f t="shared" si="1"/>
        <v>77.23</v>
      </c>
      <c r="H7" s="14">
        <f t="shared" si="2"/>
        <v>77.099999999999994</v>
      </c>
    </row>
    <row r="8" spans="1:13">
      <c r="B8" s="10">
        <v>100</v>
      </c>
      <c r="C8" s="16"/>
      <c r="D8" s="15">
        <v>136.173</v>
      </c>
      <c r="E8" s="13">
        <f t="shared" si="0"/>
        <v>13.7</v>
      </c>
      <c r="F8" s="13">
        <f t="shared" si="3"/>
        <v>36.599999999999994</v>
      </c>
      <c r="G8" s="13">
        <f t="shared" si="1"/>
        <v>86.3</v>
      </c>
      <c r="H8" s="14">
        <f t="shared" si="2"/>
        <v>63.400000000000006</v>
      </c>
    </row>
    <row r="9" spans="1:13">
      <c r="B9" s="10">
        <v>140</v>
      </c>
      <c r="C9" s="16"/>
      <c r="D9" s="15">
        <v>150.31399999999999</v>
      </c>
      <c r="E9" s="13">
        <f t="shared" si="0"/>
        <v>15.13</v>
      </c>
      <c r="F9" s="13">
        <f t="shared" si="3"/>
        <v>51.73</v>
      </c>
      <c r="G9" s="13">
        <f t="shared" si="1"/>
        <v>84.87</v>
      </c>
      <c r="H9" s="14">
        <f t="shared" si="2"/>
        <v>48.27</v>
      </c>
    </row>
    <row r="10" spans="1:13">
      <c r="B10" s="10">
        <v>170</v>
      </c>
      <c r="C10" s="16"/>
      <c r="D10" s="15">
        <v>47.503</v>
      </c>
      <c r="E10" s="13">
        <f t="shared" si="0"/>
        <v>4.78</v>
      </c>
      <c r="F10" s="13">
        <f t="shared" si="3"/>
        <v>56.51</v>
      </c>
      <c r="G10" s="13">
        <f t="shared" si="1"/>
        <v>95.22</v>
      </c>
      <c r="H10" s="14">
        <f t="shared" si="2"/>
        <v>43.49</v>
      </c>
    </row>
    <row r="11" spans="1:13">
      <c r="B11" s="10">
        <v>200</v>
      </c>
      <c r="C11" s="16">
        <v>7.3999999999999996E-2</v>
      </c>
      <c r="D11" s="17">
        <v>164.47</v>
      </c>
      <c r="E11" s="13">
        <f t="shared" si="0"/>
        <v>16.55</v>
      </c>
      <c r="F11" s="13">
        <f t="shared" si="3"/>
        <v>73.06</v>
      </c>
      <c r="G11" s="13">
        <f t="shared" si="1"/>
        <v>83.45</v>
      </c>
      <c r="H11" s="14">
        <f t="shared" si="2"/>
        <v>26.939999999999998</v>
      </c>
    </row>
    <row r="12" spans="1:13" ht="13" thickBot="1">
      <c r="B12" s="18" t="s">
        <v>8</v>
      </c>
      <c r="C12" s="19" t="str">
        <f>"--"</f>
        <v>--</v>
      </c>
      <c r="D12" s="20">
        <v>267.68</v>
      </c>
      <c r="E12" s="13">
        <f t="shared" si="0"/>
        <v>26.94</v>
      </c>
      <c r="F12" s="13">
        <f t="shared" si="3"/>
        <v>100</v>
      </c>
      <c r="G12" s="13">
        <f t="shared" si="1"/>
        <v>73.06</v>
      </c>
      <c r="H12" s="14">
        <f t="shared" si="2"/>
        <v>0</v>
      </c>
    </row>
    <row r="13" spans="1:13">
      <c r="C13" s="21" t="s">
        <v>9</v>
      </c>
      <c r="D13">
        <f>SUM(D5:D12)</f>
        <v>993.77600000000007</v>
      </c>
      <c r="E13" t="s">
        <v>10</v>
      </c>
    </row>
    <row r="16" spans="1:13">
      <c r="A16" s="109" t="s">
        <v>12</v>
      </c>
      <c r="B16" s="109"/>
      <c r="C16" s="109"/>
      <c r="D16" s="109"/>
      <c r="E16" s="109"/>
      <c r="F16" s="22"/>
      <c r="G16" s="22"/>
      <c r="H16" s="22"/>
    </row>
    <row r="17" spans="2:8" ht="13" thickBot="1"/>
    <row r="18" spans="2:8">
      <c r="B18" s="1" t="s">
        <v>0</v>
      </c>
      <c r="C18" s="2"/>
      <c r="D18" s="3"/>
      <c r="E18" s="3"/>
      <c r="F18" s="4"/>
      <c r="G18" s="2"/>
      <c r="H18" s="2"/>
    </row>
    <row r="19" spans="2:8" ht="13" thickBot="1">
      <c r="B19" s="5" t="s">
        <v>1</v>
      </c>
      <c r="C19" s="6" t="s">
        <v>2</v>
      </c>
      <c r="D19" s="7" t="s">
        <v>3</v>
      </c>
      <c r="E19" s="7" t="s">
        <v>4</v>
      </c>
      <c r="F19" s="8" t="s">
        <v>5</v>
      </c>
      <c r="G19" s="7" t="s">
        <v>6</v>
      </c>
      <c r="H19" s="9" t="s">
        <v>7</v>
      </c>
    </row>
    <row r="20" spans="2:8">
      <c r="B20" s="10">
        <v>30</v>
      </c>
      <c r="C20" s="16">
        <v>0.59499999999999997</v>
      </c>
      <c r="D20" s="12">
        <v>0.28799999999999998</v>
      </c>
      <c r="E20" s="13">
        <f t="shared" ref="E20:E27" si="4">ROUND($D20/$D$28*100,2)</f>
        <v>0.03</v>
      </c>
      <c r="F20" s="13">
        <f>E20</f>
        <v>0.03</v>
      </c>
      <c r="G20" s="13">
        <f>100-$E20</f>
        <v>99.97</v>
      </c>
      <c r="H20" s="14">
        <f>100-$F20</f>
        <v>99.97</v>
      </c>
    </row>
    <row r="21" spans="2:8">
      <c r="B21" s="10">
        <v>50</v>
      </c>
      <c r="C21" s="16">
        <v>0.29699999999999999</v>
      </c>
      <c r="D21" s="15">
        <v>5.5739999999999998</v>
      </c>
      <c r="E21" s="13">
        <f t="shared" si="4"/>
        <v>0.56000000000000005</v>
      </c>
      <c r="F21" s="13">
        <f>$F20+$E21</f>
        <v>0.59000000000000008</v>
      </c>
      <c r="G21" s="13">
        <f t="shared" ref="G21:G27" si="5">100-$E21</f>
        <v>99.44</v>
      </c>
      <c r="H21" s="14">
        <f t="shared" ref="H21:H27" si="6">100-$F21</f>
        <v>99.41</v>
      </c>
    </row>
    <row r="22" spans="2:8">
      <c r="B22" s="10">
        <v>70</v>
      </c>
      <c r="C22" s="11"/>
      <c r="D22" s="15">
        <v>28.440999999999999</v>
      </c>
      <c r="E22" s="13">
        <f t="shared" si="4"/>
        <v>2.86</v>
      </c>
      <c r="F22" s="13">
        <f t="shared" ref="F22:F27" si="7">$F21+$E22</f>
        <v>3.45</v>
      </c>
      <c r="G22" s="13">
        <f>100-$E22</f>
        <v>97.14</v>
      </c>
      <c r="H22" s="14">
        <f t="shared" si="6"/>
        <v>96.55</v>
      </c>
    </row>
    <row r="23" spans="2:8">
      <c r="B23" s="10">
        <v>100</v>
      </c>
      <c r="C23" s="16"/>
      <c r="D23" s="15">
        <v>274.5</v>
      </c>
      <c r="E23" s="13">
        <f t="shared" si="4"/>
        <v>27.61</v>
      </c>
      <c r="F23" s="13">
        <f>$F22+$E23</f>
        <v>31.06</v>
      </c>
      <c r="G23" s="13">
        <f t="shared" si="5"/>
        <v>72.39</v>
      </c>
      <c r="H23" s="14">
        <f t="shared" si="6"/>
        <v>68.94</v>
      </c>
    </row>
    <row r="24" spans="2:8">
      <c r="B24" s="10">
        <v>140</v>
      </c>
      <c r="C24" s="16"/>
      <c r="D24" s="15">
        <v>177.61</v>
      </c>
      <c r="E24" s="13">
        <f t="shared" si="4"/>
        <v>17.86</v>
      </c>
      <c r="F24" s="13">
        <f t="shared" si="7"/>
        <v>48.92</v>
      </c>
      <c r="G24" s="13">
        <f t="shared" si="5"/>
        <v>82.14</v>
      </c>
      <c r="H24" s="14">
        <f t="shared" si="6"/>
        <v>51.08</v>
      </c>
    </row>
    <row r="25" spans="2:8">
      <c r="B25" s="10">
        <v>170</v>
      </c>
      <c r="C25" s="16"/>
      <c r="D25" s="15">
        <v>110.383</v>
      </c>
      <c r="E25" s="13">
        <f t="shared" si="4"/>
        <v>11.1</v>
      </c>
      <c r="F25" s="13">
        <f t="shared" si="7"/>
        <v>60.02</v>
      </c>
      <c r="G25" s="13">
        <f t="shared" si="5"/>
        <v>88.9</v>
      </c>
      <c r="H25" s="14">
        <f t="shared" si="6"/>
        <v>39.979999999999997</v>
      </c>
    </row>
    <row r="26" spans="2:8">
      <c r="B26" s="10">
        <v>200</v>
      </c>
      <c r="C26" s="16">
        <v>7.3999999999999996E-2</v>
      </c>
      <c r="D26" s="17">
        <v>192.03</v>
      </c>
      <c r="E26" s="13">
        <f t="shared" si="4"/>
        <v>19.309999999999999</v>
      </c>
      <c r="F26" s="13">
        <f t="shared" si="7"/>
        <v>79.33</v>
      </c>
      <c r="G26" s="13">
        <f t="shared" si="5"/>
        <v>80.69</v>
      </c>
      <c r="H26" s="14">
        <f t="shared" si="6"/>
        <v>20.67</v>
      </c>
    </row>
    <row r="27" spans="2:8" ht="13" thickBot="1">
      <c r="B27" s="18" t="s">
        <v>8</v>
      </c>
      <c r="C27" s="19" t="str">
        <f>"--"</f>
        <v>--</v>
      </c>
      <c r="D27" s="20">
        <v>205.49</v>
      </c>
      <c r="E27" s="13">
        <f t="shared" si="4"/>
        <v>20.67</v>
      </c>
      <c r="F27" s="13">
        <f t="shared" si="7"/>
        <v>100</v>
      </c>
      <c r="G27" s="13">
        <f t="shared" si="5"/>
        <v>79.33</v>
      </c>
      <c r="H27" s="14">
        <f t="shared" si="6"/>
        <v>0</v>
      </c>
    </row>
    <row r="28" spans="2:8">
      <c r="C28" s="21" t="s">
        <v>9</v>
      </c>
      <c r="D28">
        <f>SUM(D20:D27)</f>
        <v>994.31600000000003</v>
      </c>
      <c r="E28" t="s">
        <v>10</v>
      </c>
    </row>
    <row r="34" spans="5:5">
      <c r="E34" s="24"/>
    </row>
  </sheetData>
  <mergeCells count="1">
    <mergeCell ref="A16:E16"/>
  </mergeCells>
  <phoneticPr fontId="3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46"/>
  <sheetViews>
    <sheetView tabSelected="1" topLeftCell="B1" workbookViewId="0">
      <selection activeCell="K25" sqref="K25"/>
    </sheetView>
  </sheetViews>
  <sheetFormatPr baseColWidth="10" defaultColWidth="8.83203125" defaultRowHeight="12" x14ac:dyDescent="0"/>
  <cols>
    <col min="1" max="1" width="0" style="25" hidden="1" customWidth="1"/>
    <col min="2" max="2" width="2" style="25" customWidth="1"/>
    <col min="3" max="3" width="13.5" style="25" customWidth="1"/>
    <col min="4" max="4" width="11.5" style="25" customWidth="1"/>
    <col min="5" max="5" width="14.1640625" style="25" customWidth="1"/>
    <col min="6" max="6" width="11.6640625" style="25" customWidth="1"/>
    <col min="7" max="7" width="11.5" style="25" customWidth="1"/>
    <col min="8" max="8" width="12.5" style="25" bestFit="1" customWidth="1"/>
    <col min="9" max="9" width="10.5" style="25" bestFit="1" customWidth="1"/>
    <col min="10" max="10" width="5.1640625" style="25" customWidth="1"/>
    <col min="11" max="11" width="10.5" style="25" bestFit="1" customWidth="1"/>
    <col min="12" max="12" width="10.83203125" style="25" bestFit="1" customWidth="1"/>
    <col min="13" max="13" width="10.5" style="25" bestFit="1" customWidth="1"/>
    <col min="14" max="14" width="10.83203125" style="25" bestFit="1" customWidth="1"/>
    <col min="15" max="15" width="2.6640625" style="25" customWidth="1"/>
    <col min="16" max="16" width="12.5" style="25" customWidth="1"/>
    <col min="17" max="18" width="9.1640625" style="25" customWidth="1"/>
    <col min="19" max="19" width="4" style="25" customWidth="1"/>
    <col min="20" max="30" width="9.1640625" style="25" customWidth="1"/>
    <col min="31" max="31" width="8.83203125" style="56"/>
    <col min="32" max="32" width="18" style="56" customWidth="1"/>
    <col min="33" max="33" width="45.83203125" style="56" customWidth="1"/>
    <col min="34" max="34" width="66.33203125" style="56" customWidth="1"/>
    <col min="35" max="16384" width="8.83203125" style="25"/>
  </cols>
  <sheetData>
    <row r="1" spans="3:34">
      <c r="C1" s="124" t="str">
        <f ca="1">INDIRECT("$"&amp;$AE$6&amp;"6")</f>
        <v>Determination of material quantities for mortars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P1" s="25" t="str">
        <f ca="1">INDIRECT("$"&amp;$AE$6&amp;"23")</f>
        <v>* fill down the fields with bk color</v>
      </c>
      <c r="S1" s="55"/>
      <c r="AE1" s="31"/>
      <c r="AF1" s="31"/>
      <c r="AG1" s="31"/>
      <c r="AH1" s="31"/>
    </row>
    <row r="2" spans="3:34">
      <c r="C2" s="57" t="str">
        <f ca="1">INDIRECT("$"&amp;$AE$6&amp;"30")</f>
        <v>Language</v>
      </c>
      <c r="D2" s="69" t="s">
        <v>28</v>
      </c>
      <c r="E2" s="27"/>
      <c r="F2" s="27"/>
      <c r="G2" s="27"/>
      <c r="H2" s="27"/>
      <c r="I2" s="27"/>
      <c r="J2" s="27"/>
      <c r="K2" s="28"/>
      <c r="L2" s="28"/>
      <c r="M2" s="27"/>
      <c r="N2" s="29"/>
      <c r="P2" s="107" t="s">
        <v>24</v>
      </c>
      <c r="AE2" s="31"/>
      <c r="AF2" s="31"/>
      <c r="AG2" s="31"/>
      <c r="AH2" s="31"/>
    </row>
    <row r="3" spans="3:34" ht="6" customHeight="1">
      <c r="C3" s="26"/>
      <c r="H3" s="27"/>
      <c r="I3" s="27"/>
      <c r="J3" s="27"/>
      <c r="K3" s="28"/>
      <c r="L3" s="28"/>
      <c r="M3" s="27"/>
      <c r="N3" s="29"/>
      <c r="P3" s="30"/>
      <c r="AE3" s="31"/>
      <c r="AF3" s="31"/>
      <c r="AG3" s="31"/>
      <c r="AH3" s="31"/>
    </row>
    <row r="4" spans="3:34">
      <c r="C4" s="26"/>
      <c r="D4" s="133" t="str">
        <f ca="1">INDIRECT("$"&amp;$AE$6&amp;"31")</f>
        <v>Specific Weight of Materials</v>
      </c>
      <c r="E4" s="133"/>
      <c r="F4" s="133"/>
      <c r="G4" s="133"/>
      <c r="H4" s="133"/>
      <c r="I4" s="133"/>
      <c r="J4" s="27"/>
      <c r="K4" s="133" t="str">
        <f ca="1">INDIRECT("$"&amp;$AE$6&amp;"11")</f>
        <v>Water Absorption(%)</v>
      </c>
      <c r="L4" s="133"/>
      <c r="M4" s="133" t="str">
        <f ca="1">INDIRECT("$"&amp;$AE$6&amp;"32")</f>
        <v>Humidity Content(%)</v>
      </c>
      <c r="N4" s="136"/>
      <c r="P4" s="30"/>
      <c r="AE4" s="31"/>
      <c r="AF4" s="31"/>
      <c r="AG4" s="31" t="s">
        <v>33</v>
      </c>
      <c r="AH4" s="31"/>
    </row>
    <row r="5" spans="3:34">
      <c r="C5" s="32"/>
      <c r="D5" s="81" t="str">
        <f ca="1">INDIRECT("$"&amp;$AE$6&amp;"7")</f>
        <v>Binder I</v>
      </c>
      <c r="E5" s="86" t="str">
        <f ca="1">INDIRECT("$"&amp;$AE$6&amp;"8")</f>
        <v>Binder II</v>
      </c>
      <c r="F5" s="86" t="str">
        <f ca="1">INDIRECT("$"&amp;$AE$6&amp;"24")</f>
        <v>Binder III</v>
      </c>
      <c r="G5" s="86" t="str">
        <f ca="1">INDIRECT("$"&amp;$AE$6&amp;"9")</f>
        <v>Aggregate I</v>
      </c>
      <c r="H5" s="86" t="str">
        <f ca="1">INDIRECT("$"&amp;$AE$6&amp;"25")</f>
        <v>Aggregate II</v>
      </c>
      <c r="I5" s="82" t="str">
        <f ca="1">INDIRECT("$"&amp;$AE$6&amp;"10")</f>
        <v>Water</v>
      </c>
      <c r="J5" s="28"/>
      <c r="K5" s="81" t="str">
        <f ca="1">INDIRECT("$"&amp;$AE$6&amp;"9")</f>
        <v>Aggregate I</v>
      </c>
      <c r="L5" s="82" t="str">
        <f ca="1">INDIRECT("$"&amp;$AE$6&amp;"25")</f>
        <v>Aggregate II</v>
      </c>
      <c r="M5" s="81" t="str">
        <f ca="1">INDIRECT("$"&amp;$AE$6&amp;"9")</f>
        <v>Aggregate I</v>
      </c>
      <c r="N5" s="82" t="str">
        <f ca="1">INDIRECT("$"&amp;$AE$6&amp;"25")</f>
        <v>Aggregate II</v>
      </c>
      <c r="AE5" s="31" t="s">
        <v>34</v>
      </c>
      <c r="AF5" s="31" t="s">
        <v>31</v>
      </c>
      <c r="AG5" s="31" t="s">
        <v>29</v>
      </c>
      <c r="AH5" s="31" t="s">
        <v>30</v>
      </c>
    </row>
    <row r="6" spans="3:34">
      <c r="C6" s="32"/>
      <c r="D6" s="53">
        <v>3100</v>
      </c>
      <c r="E6" s="54">
        <v>2600</v>
      </c>
      <c r="F6" s="54">
        <v>2600</v>
      </c>
      <c r="G6" s="54">
        <v>2570</v>
      </c>
      <c r="H6" s="54">
        <v>2330</v>
      </c>
      <c r="I6" s="52">
        <v>1000</v>
      </c>
      <c r="J6" s="28"/>
      <c r="K6" s="66">
        <v>2.5999999999999999E-2</v>
      </c>
      <c r="L6" s="65">
        <v>4.5999999999999999E-2</v>
      </c>
      <c r="M6" s="66">
        <v>0</v>
      </c>
      <c r="N6" s="65">
        <v>0</v>
      </c>
      <c r="AE6" s="31" t="str">
        <f>IF($D$2="Português","AG","AH")</f>
        <v>AH</v>
      </c>
      <c r="AF6" s="31" t="s">
        <v>32</v>
      </c>
      <c r="AG6" s="31" t="s">
        <v>26</v>
      </c>
      <c r="AH6" s="31" t="s">
        <v>37</v>
      </c>
    </row>
    <row r="7" spans="3:34">
      <c r="C7" s="116" t="str">
        <f ca="1">INDIRECT("$"&amp;$AE$6&amp;"16")</f>
        <v>Void volume</v>
      </c>
      <c r="D7" s="117"/>
      <c r="E7" s="28"/>
      <c r="F7" s="28" t="str">
        <f ca="1">INDIRECT("$"&amp;$AE$6&amp;"28")</f>
        <v>Aggregates I &amp; II ratio</v>
      </c>
      <c r="G7" s="39"/>
      <c r="H7" s="28"/>
      <c r="I7" s="28"/>
      <c r="J7" s="28"/>
      <c r="K7" s="28"/>
      <c r="L7" s="28"/>
      <c r="M7" s="28"/>
      <c r="N7" s="34"/>
      <c r="AE7" s="31"/>
      <c r="AF7" s="31" t="s">
        <v>28</v>
      </c>
      <c r="AG7" s="31" t="s">
        <v>19</v>
      </c>
      <c r="AH7" s="31" t="s">
        <v>38</v>
      </c>
    </row>
    <row r="8" spans="3:34" ht="14">
      <c r="C8" s="58"/>
      <c r="D8" s="50">
        <v>5</v>
      </c>
      <c r="E8" s="39" t="s">
        <v>76</v>
      </c>
      <c r="F8" s="28"/>
      <c r="G8" s="64">
        <v>0.73740000000000006</v>
      </c>
      <c r="H8" s="63">
        <f>1-G8</f>
        <v>0.26259999999999994</v>
      </c>
      <c r="I8" s="28"/>
      <c r="J8" s="62" t="s">
        <v>81</v>
      </c>
      <c r="K8" s="67">
        <f>(G6*G8+H6*H8)</f>
        <v>2506.9760000000001</v>
      </c>
      <c r="L8" s="62" t="s">
        <v>77</v>
      </c>
      <c r="M8" s="28"/>
      <c r="N8" s="34"/>
      <c r="AE8" s="31"/>
      <c r="AF8" s="31"/>
      <c r="AG8" s="31" t="s">
        <v>20</v>
      </c>
      <c r="AH8" s="31" t="s">
        <v>39</v>
      </c>
    </row>
    <row r="9" spans="3:34" ht="3.75" customHeight="1">
      <c r="C9" s="32"/>
      <c r="M9" s="28"/>
      <c r="N9" s="34"/>
      <c r="AE9" s="31"/>
      <c r="AF9" s="31"/>
      <c r="AG9" s="31" t="s">
        <v>49</v>
      </c>
      <c r="AH9" s="31" t="s">
        <v>54</v>
      </c>
    </row>
    <row r="10" spans="3:34" ht="12.75" customHeight="1">
      <c r="C10" s="32"/>
      <c r="D10" s="120" t="str">
        <f ca="1">INDIRECT("$"&amp;$AE$6&amp;"12")</f>
        <v>Binders (Kg/m3)</v>
      </c>
      <c r="E10" s="120"/>
      <c r="F10" s="120"/>
      <c r="I10" s="133" t="str">
        <f ca="1">INDIRECT("$"&amp;$AE$6&amp;"15")</f>
        <v>Aggregates (Kg/m3)</v>
      </c>
      <c r="J10" s="133"/>
      <c r="K10" s="133"/>
      <c r="L10" s="133"/>
      <c r="M10" s="98"/>
      <c r="N10" s="99"/>
      <c r="AE10" s="31"/>
      <c r="AF10" s="31"/>
      <c r="AG10" s="31" t="s">
        <v>35</v>
      </c>
      <c r="AH10" s="31" t="s">
        <v>40</v>
      </c>
    </row>
    <row r="11" spans="3:34">
      <c r="C11" s="32"/>
      <c r="D11" s="88" t="str">
        <f ca="1">INDIRECT("$"&amp;$AE$6&amp;"7")</f>
        <v>Binder I</v>
      </c>
      <c r="E11" s="89" t="str">
        <f ca="1">INDIRECT("$"&amp;$AE$6&amp;"8")</f>
        <v>Binder II</v>
      </c>
      <c r="F11" s="90" t="str">
        <f ca="1">INDIRECT("$"&amp;$AE$6&amp;"24")</f>
        <v>Binder III</v>
      </c>
      <c r="G11" s="92" t="str">
        <f ca="1">INDIRECT("$"&amp;$AE$6&amp;"13")</f>
        <v>W/B</v>
      </c>
      <c r="H11" s="91" t="str">
        <f ca="1">INDIRECT("$"&amp;$AE$6&amp;"14")</f>
        <v>Water (L/m3)</v>
      </c>
      <c r="I11" s="144" t="str">
        <f ca="1">INDIRECT("$"&amp;$AE$6&amp;"29")</f>
        <v>Aggregates eq.</v>
      </c>
      <c r="J11" s="145"/>
      <c r="K11" s="89" t="str">
        <f ca="1">INDIRECT("$"&amp;$AE$6&amp;"9")</f>
        <v>Aggregate I</v>
      </c>
      <c r="L11" s="90" t="str">
        <f ca="1">INDIRECT("$"&amp;$AE$6&amp;"25")</f>
        <v>Aggregate II</v>
      </c>
      <c r="M11" s="28"/>
      <c r="N11" s="96"/>
      <c r="AE11" s="31"/>
      <c r="AF11" s="31"/>
      <c r="AG11" s="31" t="s">
        <v>51</v>
      </c>
      <c r="AH11" s="31" t="s">
        <v>78</v>
      </c>
    </row>
    <row r="12" spans="3:34">
      <c r="C12" s="32"/>
      <c r="D12" s="127">
        <v>260</v>
      </c>
      <c r="E12" s="123">
        <v>0</v>
      </c>
      <c r="F12" s="123">
        <v>0</v>
      </c>
      <c r="G12" s="51">
        <v>0.3</v>
      </c>
      <c r="H12" s="75">
        <f>($D$12+$E$12+F12)*$G12</f>
        <v>78</v>
      </c>
      <c r="I12" s="129">
        <f>(1-($D$12/$D$6+$E$12/$E$6+$F$12/$F$6+$D$8/1000+$H12/$I$6))/($G$8/$G$6+$H$8/$H$6)</f>
        <v>2084.7513263822325</v>
      </c>
      <c r="J12" s="130"/>
      <c r="K12" s="73">
        <f>I12*G8</f>
        <v>1537.2956280742583</v>
      </c>
      <c r="L12" s="97">
        <f>I12*H8</f>
        <v>547.4556983079741</v>
      </c>
      <c r="N12" s="76"/>
      <c r="AE12" s="31"/>
      <c r="AF12" s="31"/>
      <c r="AG12" s="31" t="s">
        <v>82</v>
      </c>
      <c r="AH12" s="31" t="s">
        <v>83</v>
      </c>
    </row>
    <row r="13" spans="3:34">
      <c r="C13" s="32"/>
      <c r="D13" s="127"/>
      <c r="E13" s="123"/>
      <c r="F13" s="123"/>
      <c r="G13" s="51">
        <v>0.35</v>
      </c>
      <c r="H13" s="75">
        <f>($D$12+$E$12+F12)*$G13</f>
        <v>91</v>
      </c>
      <c r="I13" s="121">
        <f>(1-($D$12/$D$6+$E$12/$E$6+$F$12/$F$6+$D$8/1000+$H13/$I$6))/($G$8/$G$6+$H$8/$H$6)</f>
        <v>2052.2212305704065</v>
      </c>
      <c r="J13" s="122"/>
      <c r="K13" s="70">
        <f>I13*G8</f>
        <v>1513.3079354226179</v>
      </c>
      <c r="L13" s="44">
        <f>I13*H8</f>
        <v>538.91329514778863</v>
      </c>
      <c r="N13" s="71"/>
      <c r="AE13" s="31"/>
      <c r="AF13" s="31"/>
      <c r="AG13" s="31" t="s">
        <v>36</v>
      </c>
      <c r="AH13" s="31" t="s">
        <v>41</v>
      </c>
    </row>
    <row r="14" spans="3:34">
      <c r="C14" s="32"/>
      <c r="D14" s="127"/>
      <c r="E14" s="123"/>
      <c r="F14" s="123"/>
      <c r="G14" s="51">
        <v>0.4</v>
      </c>
      <c r="H14" s="75">
        <f>($D$12+$E$12+F12)*$G14</f>
        <v>104</v>
      </c>
      <c r="I14" s="121">
        <f>(1-($D$12/$D$6+$E$12/$E$6+$F$12/$F$6+$D$8/1000+$H14/$I$6))/($G$8/$G$6+$H$8/$H$6)</f>
        <v>2019.6911347585801</v>
      </c>
      <c r="J14" s="122"/>
      <c r="K14" s="70">
        <f>I14*G8</f>
        <v>1489.3202427709771</v>
      </c>
      <c r="L14" s="44">
        <f>I14*H8</f>
        <v>530.37089198760304</v>
      </c>
      <c r="N14" s="71"/>
      <c r="AE14" s="31"/>
      <c r="AF14" s="31"/>
      <c r="AG14" s="31" t="s">
        <v>84</v>
      </c>
      <c r="AH14" s="31" t="s">
        <v>85</v>
      </c>
    </row>
    <row r="15" spans="3:34">
      <c r="C15" s="32"/>
      <c r="D15" s="128"/>
      <c r="E15" s="123"/>
      <c r="F15" s="123"/>
      <c r="G15" s="52">
        <v>0.5</v>
      </c>
      <c r="H15" s="36">
        <f>($D$12+$E$12+F12)*$G15</f>
        <v>130</v>
      </c>
      <c r="I15" s="110">
        <f>(1-($D$12/$D$6+$E$12/$E$6+$F$12/$F$6+$D$8/1000+$H15/$I$6))/($G$8/$G$6+$H$8/$H$6)</f>
        <v>1954.6309431349273</v>
      </c>
      <c r="J15" s="111"/>
      <c r="K15" s="72">
        <f>I15*G8</f>
        <v>1441.3448574676954</v>
      </c>
      <c r="L15" s="48">
        <f>I15*H8</f>
        <v>513.28608566723176</v>
      </c>
      <c r="N15" s="71"/>
      <c r="AE15" s="31"/>
      <c r="AF15" s="31"/>
      <c r="AG15" s="31" t="s">
        <v>86</v>
      </c>
      <c r="AH15" s="31" t="s">
        <v>87</v>
      </c>
    </row>
    <row r="16" spans="3:34">
      <c r="C16" s="118" t="str">
        <f ca="1">INDIRECT("$"&amp;$AE$6&amp;"26")</f>
        <v>Binder I Ratio</v>
      </c>
      <c r="D16" s="119"/>
      <c r="E16" s="60">
        <f>E12/D12</f>
        <v>0</v>
      </c>
      <c r="F16" s="61">
        <f>F12/D12</f>
        <v>0</v>
      </c>
      <c r="G16" s="33"/>
      <c r="H16" s="33"/>
      <c r="I16" s="33"/>
      <c r="J16" s="38"/>
      <c r="K16" s="38"/>
      <c r="L16" s="38"/>
      <c r="M16" s="28"/>
      <c r="N16" s="34"/>
      <c r="AE16" s="31"/>
      <c r="AF16" s="31"/>
      <c r="AG16" s="31" t="s">
        <v>22</v>
      </c>
      <c r="AH16" s="31" t="s">
        <v>42</v>
      </c>
    </row>
    <row r="17" spans="3:34">
      <c r="C17" s="118" t="str">
        <f ca="1">INDIRECT("$"&amp;$AE$6&amp;"27")</f>
        <v>Total Binder Ratio</v>
      </c>
      <c r="D17" s="119"/>
      <c r="E17" s="59">
        <f>E12/SUM(D12:F15)</f>
        <v>0</v>
      </c>
      <c r="F17" s="59">
        <f>F12/SUM(D12:F15)</f>
        <v>0</v>
      </c>
      <c r="M17" s="28"/>
      <c r="N17" s="34"/>
      <c r="AE17" s="31"/>
      <c r="AF17" s="31"/>
      <c r="AG17" s="31" t="s">
        <v>21</v>
      </c>
      <c r="AH17" s="31" t="s">
        <v>43</v>
      </c>
    </row>
    <row r="18" spans="3:34">
      <c r="C18" s="78" t="str">
        <f ca="1">INDIRECT("$"&amp;$AE$6&amp;"17")</f>
        <v>Superplasticizer (SP)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0"/>
      <c r="AE18" s="31"/>
      <c r="AF18" s="31"/>
      <c r="AG18" s="31" t="s">
        <v>25</v>
      </c>
      <c r="AH18" s="31" t="s">
        <v>44</v>
      </c>
    </row>
    <row r="19" spans="3:34">
      <c r="C19" s="141" t="str">
        <f ca="1">INDIRECT("$"&amp;$AE$6&amp;"18")</f>
        <v>SP Quantity</v>
      </c>
      <c r="D19" s="142"/>
      <c r="E19" s="143"/>
      <c r="F19" s="74">
        <v>0</v>
      </c>
      <c r="G19" s="39" t="s">
        <v>76</v>
      </c>
      <c r="H19" s="146" t="str">
        <f ca="1">INDIRECT("$"&amp;$AE$6&amp;"19")</f>
        <v>Superplasticizer with</v>
      </c>
      <c r="I19" s="146"/>
      <c r="J19" s="146"/>
      <c r="K19" s="50">
        <v>40</v>
      </c>
      <c r="L19" s="39" t="str">
        <f ca="1">INDIRECT("$"&amp;$AE$6&amp;"20")</f>
        <v>% of solids</v>
      </c>
      <c r="M19" s="28"/>
      <c r="N19" s="34"/>
      <c r="AE19" s="31"/>
      <c r="AF19" s="31"/>
      <c r="AG19" s="31" t="s">
        <v>68</v>
      </c>
      <c r="AH19" s="31" t="s">
        <v>45</v>
      </c>
    </row>
    <row r="20" spans="3:34" ht="4.5" customHeight="1">
      <c r="C20" s="32"/>
      <c r="D20" s="28"/>
      <c r="J20" s="28"/>
      <c r="K20" s="28"/>
      <c r="L20" s="28"/>
      <c r="M20" s="28"/>
      <c r="N20" s="34"/>
      <c r="AE20" s="31"/>
      <c r="AF20" s="31"/>
      <c r="AG20" s="31" t="s">
        <v>13</v>
      </c>
      <c r="AH20" s="31" t="s">
        <v>46</v>
      </c>
    </row>
    <row r="21" spans="3:34" ht="12.75" customHeight="1">
      <c r="C21" s="147" t="str">
        <f ca="1">INDIRECT("$"&amp;$AE$6&amp;"21")</f>
        <v>Material quantities - Results:</v>
      </c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9"/>
      <c r="AE21" s="31"/>
      <c r="AF21" s="31"/>
      <c r="AG21" s="31" t="s">
        <v>69</v>
      </c>
      <c r="AH21" s="31" t="s">
        <v>70</v>
      </c>
    </row>
    <row r="22" spans="3:34">
      <c r="C22" s="87" t="str">
        <f ca="1">INDIRECT("$"&amp;$AE$6&amp;"33")</f>
        <v>For a W/B of</v>
      </c>
      <c r="D22" s="108">
        <v>0.5</v>
      </c>
      <c r="E22" s="137" t="str">
        <f ca="1">INDIRECT("$"&amp;$AE$6&amp;"34")</f>
        <v>the ratio in weight is:</v>
      </c>
      <c r="F22" s="138"/>
      <c r="G22" s="77" t="str">
        <f>"1 : "&amp;ROUND((VLOOKUP($D$22,G12:J15,3,FALSE)/SUM(D12:F15)),1)&amp;" : "&amp;D22</f>
        <v>1 : 7,5 : 0,5</v>
      </c>
      <c r="H22" s="28"/>
      <c r="I22" s="28"/>
      <c r="J22" s="28"/>
      <c r="K22" s="28"/>
      <c r="L22" s="28"/>
      <c r="M22" s="28"/>
      <c r="N22" s="34"/>
      <c r="AE22" s="31"/>
      <c r="AF22" s="31"/>
      <c r="AG22" s="31" t="s">
        <v>80</v>
      </c>
      <c r="AH22" s="31" t="s">
        <v>47</v>
      </c>
    </row>
    <row r="23" spans="3:34" ht="5.25" customHeight="1">
      <c r="C23" s="32"/>
      <c r="N23" s="34"/>
      <c r="AE23" s="31"/>
      <c r="AF23" s="31"/>
      <c r="AG23" s="31" t="s">
        <v>23</v>
      </c>
      <c r="AH23" s="31" t="s">
        <v>48</v>
      </c>
    </row>
    <row r="24" spans="3:34">
      <c r="C24" s="40"/>
      <c r="D24" s="41"/>
      <c r="E24" s="41"/>
      <c r="F24" s="133" t="str">
        <f ca="1">INDIRECT("$"&amp;$AE$6&amp;"22")</f>
        <v>Quantities</v>
      </c>
      <c r="G24" s="133"/>
      <c r="H24" s="133"/>
      <c r="I24" s="133"/>
      <c r="J24" s="133"/>
      <c r="K24" s="133"/>
      <c r="L24" s="133"/>
      <c r="M24" s="133"/>
      <c r="N24" s="34"/>
      <c r="AE24" s="31"/>
      <c r="AF24" s="31"/>
      <c r="AG24" s="31" t="s">
        <v>53</v>
      </c>
      <c r="AH24" s="31" t="s">
        <v>52</v>
      </c>
    </row>
    <row r="25" spans="3:34">
      <c r="C25" s="32"/>
      <c r="D25" s="134"/>
      <c r="E25" s="135"/>
      <c r="F25" s="93" t="s">
        <v>14</v>
      </c>
      <c r="G25" s="94" t="s">
        <v>15</v>
      </c>
      <c r="H25" s="94" t="s">
        <v>16</v>
      </c>
      <c r="I25" s="94" t="s">
        <v>17</v>
      </c>
      <c r="J25" s="95" t="s">
        <v>18</v>
      </c>
      <c r="K25" s="51">
        <v>40</v>
      </c>
      <c r="L25" s="95" t="s">
        <v>74</v>
      </c>
      <c r="M25" s="51">
        <v>5</v>
      </c>
      <c r="N25" s="34"/>
      <c r="AE25" s="31"/>
      <c r="AF25" s="31"/>
      <c r="AG25" s="31" t="s">
        <v>50</v>
      </c>
      <c r="AH25" s="31" t="s">
        <v>55</v>
      </c>
    </row>
    <row r="26" spans="3:34">
      <c r="C26" s="32"/>
      <c r="D26" s="131" t="str">
        <f ca="1">INDIRECT("$"&amp;$AE$6&amp;"7")&amp;" (g)"</f>
        <v>Binder I (g)</v>
      </c>
      <c r="E26" s="132"/>
      <c r="F26" s="42">
        <f>$D$12*0.001*1000</f>
        <v>260</v>
      </c>
      <c r="G26" s="42">
        <f>$D$12*1.5*0.001*1000</f>
        <v>390</v>
      </c>
      <c r="H26" s="42">
        <f>$D$12*2*0.001*1000</f>
        <v>520</v>
      </c>
      <c r="I26" s="42">
        <f>$D$12*2.5*0.001*1000</f>
        <v>650</v>
      </c>
      <c r="J26" s="100"/>
      <c r="K26" s="42">
        <f>$D$12*$K$25*0.001*1000</f>
        <v>10400</v>
      </c>
      <c r="L26" s="100"/>
      <c r="M26" s="43">
        <f>$D$12*$M$25*0.001</f>
        <v>1.3</v>
      </c>
      <c r="N26" s="34"/>
      <c r="AE26" s="31"/>
      <c r="AF26" s="31"/>
      <c r="AG26" s="31" t="s">
        <v>57</v>
      </c>
      <c r="AH26" s="31" t="s">
        <v>58</v>
      </c>
    </row>
    <row r="27" spans="3:34">
      <c r="C27" s="32"/>
      <c r="D27" s="112" t="str">
        <f ca="1">INDIRECT("$"&amp;$AE$6&amp;"8")&amp;" (g)"</f>
        <v>Binder II (g)</v>
      </c>
      <c r="E27" s="113"/>
      <c r="F27" s="44">
        <f>$E$12*0.001*1000</f>
        <v>0</v>
      </c>
      <c r="G27" s="44">
        <f>$E$12*1.5*0.001*1000</f>
        <v>0</v>
      </c>
      <c r="H27" s="44">
        <f>$E$12*2*0.001*1000</f>
        <v>0</v>
      </c>
      <c r="I27" s="44">
        <f>$E$12*2.5*0.001*1000</f>
        <v>0</v>
      </c>
      <c r="J27" s="101"/>
      <c r="K27" s="44">
        <f>$E$12*$K$25*0.001*1000</f>
        <v>0</v>
      </c>
      <c r="L27" s="101"/>
      <c r="M27" s="45">
        <f>$E$12*$M$25*0.001</f>
        <v>0</v>
      </c>
      <c r="N27" s="34"/>
      <c r="AE27" s="31"/>
      <c r="AF27" s="31"/>
      <c r="AG27" s="31" t="s">
        <v>59</v>
      </c>
      <c r="AH27" s="31" t="s">
        <v>60</v>
      </c>
    </row>
    <row r="28" spans="3:34">
      <c r="C28" s="32"/>
      <c r="D28" s="112" t="str">
        <f ca="1">INDIRECT("$"&amp;$AE$6&amp;"24")&amp;" (g)"</f>
        <v>Binder III (g)</v>
      </c>
      <c r="E28" s="113"/>
      <c r="F28" s="37">
        <f>$F$12*0.001*1000</f>
        <v>0</v>
      </c>
      <c r="G28" s="37">
        <f>$F$12*1.5*0.001*1000</f>
        <v>0</v>
      </c>
      <c r="H28" s="37">
        <f>$F$12*2*0.001*1000</f>
        <v>0</v>
      </c>
      <c r="I28" s="37">
        <f>$F$12*2.5*0.001*1000</f>
        <v>0</v>
      </c>
      <c r="J28" s="102"/>
      <c r="K28" s="44">
        <f>$F$12*$K$25*0.001*1000</f>
        <v>0</v>
      </c>
      <c r="L28" s="102"/>
      <c r="M28" s="45">
        <f>$F$12*$M$25*0.001</f>
        <v>0</v>
      </c>
      <c r="N28" s="34"/>
      <c r="AE28" s="31"/>
      <c r="AF28" s="31"/>
      <c r="AG28" s="31" t="s">
        <v>62</v>
      </c>
      <c r="AH28" s="31" t="s">
        <v>61</v>
      </c>
    </row>
    <row r="29" spans="3:34">
      <c r="C29" s="32"/>
      <c r="D29" s="112" t="str">
        <f ca="1">INDIRECT("$"&amp;$AE$6&amp;"17")&amp;" (ml)"</f>
        <v>Superplasticizer (SP) (ml)</v>
      </c>
      <c r="E29" s="113"/>
      <c r="F29" s="46">
        <f>$F$19*0.001*1000</f>
        <v>0</v>
      </c>
      <c r="G29" s="46">
        <f>$F$19*0.001*1000*1.5</f>
        <v>0</v>
      </c>
      <c r="H29" s="46">
        <f>$F$19*0.001*1000*2</f>
        <v>0</v>
      </c>
      <c r="I29" s="46">
        <f>$F$19*0.001*1000*2.5</f>
        <v>0</v>
      </c>
      <c r="J29" s="103"/>
      <c r="K29" s="48">
        <f>$F$19*0.001*1000*$K$25</f>
        <v>0</v>
      </c>
      <c r="L29" s="103"/>
      <c r="M29" s="48">
        <f>$F$19*0.001*$M$25</f>
        <v>0</v>
      </c>
      <c r="N29" s="34"/>
      <c r="AE29" s="31"/>
      <c r="AF29" s="31"/>
      <c r="AG29" s="31" t="s">
        <v>63</v>
      </c>
      <c r="AH29" s="31" t="s">
        <v>64</v>
      </c>
    </row>
    <row r="30" spans="3:34">
      <c r="C30" s="32"/>
      <c r="D30" s="114"/>
      <c r="E30" s="115"/>
      <c r="F30" s="83"/>
      <c r="G30" s="84" t="str">
        <f ca="1">INDIRECT("$"&amp;$AE$6&amp;"13")&amp;"="</f>
        <v>W/B=</v>
      </c>
      <c r="H30" s="85">
        <f>$G$12</f>
        <v>0.3</v>
      </c>
      <c r="I30" s="150"/>
      <c r="J30" s="150"/>
      <c r="K30" s="150"/>
      <c r="L30" s="150"/>
      <c r="M30" s="151"/>
      <c r="N30" s="34"/>
      <c r="AE30" s="31"/>
      <c r="AF30" s="31"/>
      <c r="AG30" s="31" t="s">
        <v>65</v>
      </c>
      <c r="AH30" s="31" t="s">
        <v>27</v>
      </c>
    </row>
    <row r="31" spans="3:34">
      <c r="C31" s="32"/>
      <c r="D31" s="112" t="str">
        <f ca="1">INDIRECT("$"&amp;$AE$6&amp;"9")&amp;" (Kg)"</f>
        <v>Aggregate I (Kg)</v>
      </c>
      <c r="E31" s="113"/>
      <c r="F31" s="47">
        <f>$K$12*0.001</f>
        <v>1.5372956280742582</v>
      </c>
      <c r="G31" s="47">
        <f>$K$12*1.5*0.001</f>
        <v>2.3059434421113876</v>
      </c>
      <c r="H31" s="47">
        <f>$K$12*0.001*2</f>
        <v>3.0745912561485165</v>
      </c>
      <c r="I31" s="47">
        <f>$K$12*0.001*2.5</f>
        <v>3.8432390701856454</v>
      </c>
      <c r="J31" s="100"/>
      <c r="K31" s="43">
        <f>$K$12*0.001*$K$25</f>
        <v>61.491825122970326</v>
      </c>
      <c r="L31" s="100"/>
      <c r="M31" s="43">
        <f>$K$12*0.001*$M$25/1000</f>
        <v>7.686478140371291E-3</v>
      </c>
      <c r="N31" s="34"/>
      <c r="AE31" s="31"/>
      <c r="AF31" s="31"/>
      <c r="AG31" s="31" t="s">
        <v>56</v>
      </c>
      <c r="AH31" s="31" t="s">
        <v>66</v>
      </c>
    </row>
    <row r="32" spans="3:34">
      <c r="C32" s="32"/>
      <c r="D32" s="112" t="str">
        <f ca="1">INDIRECT("$"&amp;$AE$6&amp;"25")&amp;" (Kg)"</f>
        <v>Aggregate II (Kg)</v>
      </c>
      <c r="E32" s="113"/>
      <c r="F32" s="68">
        <f>$L$12*0.001</f>
        <v>0.54745569830797414</v>
      </c>
      <c r="G32" s="68">
        <f>$L$12*1.5*0.001</f>
        <v>0.82118354746196109</v>
      </c>
      <c r="H32" s="68">
        <f>$L$12*0.001*2</f>
        <v>1.0949113966159483</v>
      </c>
      <c r="I32" s="68">
        <f>$L$12*0.001*2.5</f>
        <v>1.3686392457699355</v>
      </c>
      <c r="J32" s="104"/>
      <c r="K32" s="68">
        <f>$L$12*0.001*$K$25</f>
        <v>21.898227932318967</v>
      </c>
      <c r="L32" s="104"/>
      <c r="M32" s="68">
        <f>$L$12*0.001*$M$25/1000</f>
        <v>2.737278491539871E-3</v>
      </c>
      <c r="N32" s="34"/>
      <c r="AE32" s="31"/>
      <c r="AF32" s="31"/>
      <c r="AG32" s="31" t="s">
        <v>67</v>
      </c>
      <c r="AH32" s="31" t="s">
        <v>79</v>
      </c>
    </row>
    <row r="33" spans="3:34">
      <c r="C33" s="32"/>
      <c r="D33" s="112" t="str">
        <f ca="1">INDIRECT("$"&amp;$AE$6&amp;"10")&amp;" (ml)"</f>
        <v>Water (ml)</v>
      </c>
      <c r="E33" s="113"/>
      <c r="F33" s="48">
        <f>$H$12+(F31*$K$6+F32*$L$6)*1000-(F31*$M$6+F32*$N$6)*1000</f>
        <v>143.15264845209754</v>
      </c>
      <c r="G33" s="48">
        <f>$H$12*1.5+(G31*$K$6+G32*$L$6)*1000-(G31*$M$6+G32*$N$6)*1000</f>
        <v>214.72897267814631</v>
      </c>
      <c r="H33" s="48">
        <f>$H$12*2+(H31*$K$6+H32*$L$6)*1000-(H31*$M$6+H32*$N$6)*1000</f>
        <v>286.30529690419507</v>
      </c>
      <c r="I33" s="48">
        <f>$H$12*2.5+(I31*$K$6+I32*$L$6)*1000-(I31*$M$6+I32*$N$6)*1000</f>
        <v>357.88162113024379</v>
      </c>
      <c r="J33" s="103"/>
      <c r="K33" s="48">
        <f>$H$12*$K$25+(K31*$K$6+K32*$L$6)*1000-(K31*$M$6+K32*$N$6)*1000</f>
        <v>5726.1059380839006</v>
      </c>
      <c r="L33" s="103"/>
      <c r="M33" s="48">
        <f>$H$12*0.001*$M$25+(M31*$K$6+M32*$L$6)*1000-(M31*$M$6+M32*$N$6)*1000</f>
        <v>0.7157632422604876</v>
      </c>
      <c r="N33" s="34"/>
      <c r="AE33" s="31"/>
      <c r="AF33" s="31"/>
      <c r="AG33" s="31" t="s">
        <v>71</v>
      </c>
      <c r="AH33" s="31" t="s">
        <v>73</v>
      </c>
    </row>
    <row r="34" spans="3:34">
      <c r="C34" s="32"/>
      <c r="D34" s="114"/>
      <c r="E34" s="115"/>
      <c r="F34" s="83"/>
      <c r="G34" s="84" t="str">
        <f ca="1">INDIRECT("$"&amp;$AE$6&amp;"13")&amp;"="</f>
        <v>W/B=</v>
      </c>
      <c r="H34" s="85">
        <f>G13</f>
        <v>0.35</v>
      </c>
      <c r="I34" s="150"/>
      <c r="J34" s="150"/>
      <c r="K34" s="150"/>
      <c r="L34" s="150"/>
      <c r="M34" s="151"/>
      <c r="N34" s="34"/>
      <c r="AE34" s="31"/>
      <c r="AF34" s="31"/>
      <c r="AG34" s="31" t="s">
        <v>72</v>
      </c>
      <c r="AH34" s="31" t="s">
        <v>75</v>
      </c>
    </row>
    <row r="35" spans="3:34">
      <c r="C35" s="32"/>
      <c r="D35" s="112" t="str">
        <f ca="1">INDIRECT("$"&amp;$AE$6&amp;"9")&amp;" (Kg)"</f>
        <v>Aggregate I (Kg)</v>
      </c>
      <c r="E35" s="113"/>
      <c r="F35" s="47">
        <f>$K$13*0.001</f>
        <v>1.513307935422618</v>
      </c>
      <c r="G35" s="47">
        <f>$K$13*1.5*0.001</f>
        <v>2.2699619031339271</v>
      </c>
      <c r="H35" s="47">
        <f>$K$13*0.001*2</f>
        <v>3.026615870845236</v>
      </c>
      <c r="I35" s="47">
        <f>$K$13*0.001*2.5</f>
        <v>3.7832698385565449</v>
      </c>
      <c r="J35" s="100"/>
      <c r="K35" s="43">
        <f>$K$13*0.001*$K$25</f>
        <v>60.532317416904718</v>
      </c>
      <c r="L35" s="100"/>
      <c r="M35" s="43">
        <f>$K$13*0.001*$M$25/1000</f>
        <v>7.5665396771130902E-3</v>
      </c>
      <c r="N35" s="34"/>
      <c r="AE35" s="31"/>
      <c r="AF35" s="31"/>
      <c r="AG35" s="31"/>
      <c r="AH35" s="31"/>
    </row>
    <row r="36" spans="3:34">
      <c r="C36" s="32"/>
      <c r="D36" s="112" t="str">
        <f ca="1">INDIRECT("$"&amp;$AE$6&amp;"25")&amp;" (Kg)"</f>
        <v>Aggregate II (Kg)</v>
      </c>
      <c r="E36" s="113"/>
      <c r="F36" s="68">
        <f>$L$13*0.001</f>
        <v>0.53891329514778863</v>
      </c>
      <c r="G36" s="68">
        <f>$L$13*1.5*0.001</f>
        <v>0.80836994272168294</v>
      </c>
      <c r="H36" s="68">
        <f>$L$13*0.001*2</f>
        <v>1.0778265902955773</v>
      </c>
      <c r="I36" s="68">
        <f>$L$13*0.001*2.5</f>
        <v>1.3472832378694717</v>
      </c>
      <c r="J36" s="105"/>
      <c r="K36" s="45">
        <f>$L$13*0.001*$K$25</f>
        <v>21.556531805911547</v>
      </c>
      <c r="L36" s="105"/>
      <c r="M36" s="45">
        <f>$L$13*0.001*$M$25/1000</f>
        <v>2.6945664757389433E-3</v>
      </c>
      <c r="N36" s="34"/>
      <c r="AE36" s="31"/>
      <c r="AF36" s="31"/>
      <c r="AG36" s="31"/>
      <c r="AH36" s="31"/>
    </row>
    <row r="37" spans="3:34">
      <c r="C37" s="32"/>
      <c r="D37" s="112" t="str">
        <f ca="1">INDIRECT("$"&amp;$AE$6&amp;"10")&amp;" (ml)"</f>
        <v>Water (ml)</v>
      </c>
      <c r="E37" s="113"/>
      <c r="F37" s="48">
        <f>$H$13+(F35*$K$6+$L$6*F36)*1000-(F35*$M$6+F36*$N$6)*1000</f>
        <v>155.13601789778633</v>
      </c>
      <c r="G37" s="48">
        <f>$H$13*1.5+(G35*$K$6+$L$6*G36)*1000-(G35*$M$6+G36*$N$6)*1000</f>
        <v>232.70402684667951</v>
      </c>
      <c r="H37" s="48">
        <f>$H$13*2+(H35*$K$6+$L$6*H36)*1000-(H35*$M$6+H36*$N$6)*1000</f>
        <v>310.27203579557266</v>
      </c>
      <c r="I37" s="48">
        <f>$H$13*2.5+(I35*$K$6+$L$6*I36)*1000-(I35*$M$6+I36*$N$6)*1000</f>
        <v>387.8400447444659</v>
      </c>
      <c r="J37" s="103"/>
      <c r="K37" s="48">
        <f>$H$13*$K$25+(K35*$K$6+K36*$L$6)*1000-(K35*$M$6+K36*$N$6)*1000</f>
        <v>6205.4407159114544</v>
      </c>
      <c r="L37" s="103"/>
      <c r="M37" s="48">
        <f>$H$13*0.001*$M$25+(M35*$K$6+$L$6*M36)*1000-(M35*$M$6+M36*$N$6)*1000</f>
        <v>0.77568008948893175</v>
      </c>
      <c r="N37" s="34"/>
      <c r="AE37" s="31"/>
      <c r="AF37" s="31"/>
      <c r="AG37" s="31"/>
      <c r="AH37" s="31"/>
    </row>
    <row r="38" spans="3:34">
      <c r="C38" s="32"/>
      <c r="D38" s="32"/>
      <c r="E38" s="34"/>
      <c r="F38" s="83"/>
      <c r="G38" s="84" t="str">
        <f ca="1">INDIRECT("$"&amp;$AE$6&amp;"13")&amp;"="</f>
        <v>W/B=</v>
      </c>
      <c r="H38" s="85">
        <f>$G$14</f>
        <v>0.4</v>
      </c>
      <c r="I38" s="150"/>
      <c r="J38" s="150"/>
      <c r="K38" s="150"/>
      <c r="L38" s="150"/>
      <c r="M38" s="151"/>
      <c r="N38" s="34"/>
      <c r="AE38" s="31"/>
      <c r="AF38" s="31"/>
      <c r="AG38" s="31"/>
      <c r="AH38" s="31"/>
    </row>
    <row r="39" spans="3:34">
      <c r="C39" s="32"/>
      <c r="D39" s="112" t="str">
        <f ca="1">INDIRECT("$"&amp;$AE$6&amp;"9")&amp;" (Kg)"</f>
        <v>Aggregate I (Kg)</v>
      </c>
      <c r="E39" s="113"/>
      <c r="F39" s="47">
        <f>$K$14*0.001</f>
        <v>1.4893202427709771</v>
      </c>
      <c r="G39" s="47">
        <f>$K$14*1.5*0.001</f>
        <v>2.2339803641564657</v>
      </c>
      <c r="H39" s="47">
        <f>$K$14*0.001*2</f>
        <v>2.9786404855419542</v>
      </c>
      <c r="I39" s="47">
        <f>$K$14*0.001*2.5</f>
        <v>3.7233006069274426</v>
      </c>
      <c r="J39" s="100"/>
      <c r="K39" s="43">
        <f>$K$14*0.001*$K$25</f>
        <v>59.572809710839081</v>
      </c>
      <c r="L39" s="100"/>
      <c r="M39" s="43">
        <f>$K$14*0.001*$M$25/1000</f>
        <v>7.4466012138548849E-3</v>
      </c>
      <c r="N39" s="34"/>
      <c r="AE39" s="31"/>
      <c r="AF39" s="31"/>
      <c r="AG39" s="31"/>
      <c r="AH39" s="31"/>
    </row>
    <row r="40" spans="3:34">
      <c r="C40" s="32"/>
      <c r="D40" s="112" t="str">
        <f ca="1">INDIRECT("$"&amp;$AE$6&amp;"25")&amp;" (Kg)"</f>
        <v>Aggregate II (Kg)</v>
      </c>
      <c r="E40" s="113"/>
      <c r="F40" s="68">
        <f>$L$14*0.001</f>
        <v>0.53037089198760301</v>
      </c>
      <c r="G40" s="68">
        <f>$L$14*1.5*0.001</f>
        <v>0.79555633798140457</v>
      </c>
      <c r="H40" s="68">
        <f>$L$14*0.001*2</f>
        <v>1.060741783975206</v>
      </c>
      <c r="I40" s="68">
        <f>$L$14*0.001*2.5</f>
        <v>1.3259272299690075</v>
      </c>
      <c r="J40" s="105"/>
      <c r="K40" s="45">
        <f>$L$14*0.001*$K$25</f>
        <v>21.21483567950412</v>
      </c>
      <c r="L40" s="105"/>
      <c r="M40" s="45">
        <f>$L$14*0.001*$M$25/1000</f>
        <v>2.6518544599380151E-3</v>
      </c>
      <c r="N40" s="34"/>
      <c r="AE40" s="31"/>
      <c r="AF40" s="31"/>
      <c r="AG40" s="31"/>
      <c r="AH40" s="31"/>
    </row>
    <row r="41" spans="3:34">
      <c r="C41" s="32"/>
      <c r="D41" s="112" t="str">
        <f ca="1">INDIRECT("$"&amp;$AE$6&amp;"10")&amp;" (ml)"</f>
        <v>Water (ml)</v>
      </c>
      <c r="E41" s="113"/>
      <c r="F41" s="48">
        <f>$H$14+(F39*$K$6+F40*$L$6)*1000-(F39*$M$6+F40*$N$6)*1000</f>
        <v>167.11938734347513</v>
      </c>
      <c r="G41" s="48">
        <f>$H$14*1.5+(G39*$K$6+G40*$L$6)*1000-(G39*$M$6+G40*$N$6)*1000</f>
        <v>250.67908101521272</v>
      </c>
      <c r="H41" s="48">
        <f>$H$14*2+(H39*$K$6+H40*$L$6)*1000-(H39*$M$6+H40*$N$6)*1000</f>
        <v>334.23877468695025</v>
      </c>
      <c r="I41" s="48">
        <f>$H$14*2.5+(I39*$K$6+I40*$L$6)*1000-(I39*$M$6+I40*$N$6)*1000</f>
        <v>417.79846835868784</v>
      </c>
      <c r="J41" s="103"/>
      <c r="K41" s="48">
        <f>$H$14*$K$25+(K39*$K$6+K40*L6)*1000-(K39*$M$6+K40*$N$6)*1000</f>
        <v>6684.7754937390055</v>
      </c>
      <c r="L41" s="103"/>
      <c r="M41" s="48">
        <f>$H$14*0.001*$M$25+(M39*$K$6+M40*$L$6)*1000-(M39*$M$6+M40*$N$6)*1000</f>
        <v>0.83559693671737567</v>
      </c>
      <c r="N41" s="34"/>
    </row>
    <row r="42" spans="3:34">
      <c r="C42" s="32"/>
      <c r="D42" s="32"/>
      <c r="E42" s="34"/>
      <c r="F42" s="83"/>
      <c r="G42" s="84" t="str">
        <f ca="1">INDIRECT("$"&amp;$AE$6&amp;"13")&amp;"="</f>
        <v>W/B=</v>
      </c>
      <c r="H42" s="85">
        <f>$G$15</f>
        <v>0.5</v>
      </c>
      <c r="I42" s="150"/>
      <c r="J42" s="150"/>
      <c r="K42" s="150"/>
      <c r="L42" s="150"/>
      <c r="M42" s="151"/>
      <c r="N42" s="34"/>
    </row>
    <row r="43" spans="3:34">
      <c r="C43" s="32"/>
      <c r="D43" s="112" t="str">
        <f ca="1">INDIRECT("$"&amp;$AE$6&amp;"9")&amp;" (Kg)"</f>
        <v>Aggregate I (Kg)</v>
      </c>
      <c r="E43" s="113"/>
      <c r="F43" s="47">
        <f>$K$15*0.001</f>
        <v>1.4413448574676955</v>
      </c>
      <c r="G43" s="47">
        <f>$K$15*0.001</f>
        <v>1.4413448574676955</v>
      </c>
      <c r="H43" s="47">
        <f>$K$15*0.001</f>
        <v>1.4413448574676955</v>
      </c>
      <c r="I43" s="47">
        <f>$K$15*0.001</f>
        <v>1.4413448574676955</v>
      </c>
      <c r="J43" s="106"/>
      <c r="K43" s="43">
        <f>$K$15*0.001*$K$25</f>
        <v>57.653794298707822</v>
      </c>
      <c r="L43" s="106"/>
      <c r="M43" s="43">
        <f>$K$15*0.001*$M$25/1000</f>
        <v>7.206724287338478E-3</v>
      </c>
      <c r="N43" s="34"/>
    </row>
    <row r="44" spans="3:34">
      <c r="C44" s="32"/>
      <c r="D44" s="112" t="str">
        <f ca="1">INDIRECT("$"&amp;$AE$6&amp;"25")&amp;" (Kg)"</f>
        <v>Aggregate II (Kg)</v>
      </c>
      <c r="E44" s="113"/>
      <c r="F44" s="68">
        <f>$L$15*0.001</f>
        <v>0.51328608566723177</v>
      </c>
      <c r="G44" s="68">
        <f>$L$15*0.001</f>
        <v>0.51328608566723177</v>
      </c>
      <c r="H44" s="68">
        <f>$L$15*0.001</f>
        <v>0.51328608566723177</v>
      </c>
      <c r="I44" s="68">
        <f>$L$15*0.001</f>
        <v>0.51328608566723177</v>
      </c>
      <c r="J44" s="105"/>
      <c r="K44" s="45">
        <f>$L$15*0.001*$K$25</f>
        <v>20.531443426689272</v>
      </c>
      <c r="L44" s="105"/>
      <c r="M44" s="45">
        <f>$L$15*0.001*$M$25/1000</f>
        <v>2.5664304283361588E-3</v>
      </c>
      <c r="N44" s="34"/>
    </row>
    <row r="45" spans="3:34">
      <c r="C45" s="32"/>
      <c r="D45" s="139" t="str">
        <f ca="1">INDIRECT("$"&amp;$AE$6&amp;"10")&amp;" (ml)"</f>
        <v>Water (ml)</v>
      </c>
      <c r="E45" s="140"/>
      <c r="F45" s="48">
        <f>$H$15+(F43*$K$6+F44*$L$6)*1000-(F43*$M$6+F44*$N$6)*1000</f>
        <v>191.08612623485274</v>
      </c>
      <c r="G45" s="48">
        <f>$H$15*1.5+(G43*$K$6+G44*$L$6)*1000-(G43*$M$6+G44*$N$6)*1000</f>
        <v>256.08612623485277</v>
      </c>
      <c r="H45" s="48">
        <f>$H$15*2+(H43*$K$6+H44*$L$6)*1000-(H43*$M$6+H44*$N$6)*1000</f>
        <v>321.08612623485277</v>
      </c>
      <c r="I45" s="48">
        <f>$H$15*2.5+(I43*$K$6+I44*$L$6)*1000-(I43*$M$6+I44*$N$6)*1000</f>
        <v>386.08612623485277</v>
      </c>
      <c r="J45" s="103"/>
      <c r="K45" s="48">
        <f>$H$15*$K$25+(K43*$K$6+K44*$L$6)*1000-(K43*$M$6+K44*$N$6)*1000</f>
        <v>7643.4450493941094</v>
      </c>
      <c r="L45" s="103"/>
      <c r="M45" s="48">
        <f>$H$15*0.001*$M$25+(M43*$K$6+M44*$L$6)*1000-(M43*$M$6+M44*$N$6)*1000</f>
        <v>0.95543063117426374</v>
      </c>
      <c r="N45" s="34"/>
    </row>
    <row r="46" spans="3:34" ht="6" customHeight="1">
      <c r="C46" s="36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49"/>
    </row>
  </sheetData>
  <sheetProtection password="DBC9" sheet="1" objects="1" scenarios="1" selectLockedCells="1"/>
  <mergeCells count="45">
    <mergeCell ref="D45:E45"/>
    <mergeCell ref="D35:E35"/>
    <mergeCell ref="K4:L4"/>
    <mergeCell ref="C19:E19"/>
    <mergeCell ref="I11:J11"/>
    <mergeCell ref="I14:J14"/>
    <mergeCell ref="H19:J19"/>
    <mergeCell ref="C21:N21"/>
    <mergeCell ref="D40:E40"/>
    <mergeCell ref="I30:M30"/>
    <mergeCell ref="I34:M34"/>
    <mergeCell ref="I42:M42"/>
    <mergeCell ref="I38:M38"/>
    <mergeCell ref="D41:E41"/>
    <mergeCell ref="D36:E36"/>
    <mergeCell ref="I13:J13"/>
    <mergeCell ref="F12:F15"/>
    <mergeCell ref="C1:N1"/>
    <mergeCell ref="D29:E29"/>
    <mergeCell ref="D12:D15"/>
    <mergeCell ref="E12:E15"/>
    <mergeCell ref="I12:J12"/>
    <mergeCell ref="D26:E26"/>
    <mergeCell ref="F24:M24"/>
    <mergeCell ref="D27:E27"/>
    <mergeCell ref="D25:E25"/>
    <mergeCell ref="D4:I4"/>
    <mergeCell ref="M4:N4"/>
    <mergeCell ref="E22:F22"/>
    <mergeCell ref="I10:L10"/>
    <mergeCell ref="D44:E44"/>
    <mergeCell ref="D28:E28"/>
    <mergeCell ref="C7:D7"/>
    <mergeCell ref="C16:D16"/>
    <mergeCell ref="C17:D17"/>
    <mergeCell ref="D10:F10"/>
    <mergeCell ref="D32:E32"/>
    <mergeCell ref="D43:E43"/>
    <mergeCell ref="I15:J15"/>
    <mergeCell ref="D39:E39"/>
    <mergeCell ref="D30:E30"/>
    <mergeCell ref="D31:E31"/>
    <mergeCell ref="D33:E33"/>
    <mergeCell ref="D34:E34"/>
    <mergeCell ref="D37:E37"/>
  </mergeCells>
  <phoneticPr fontId="3" type="noConversion"/>
  <dataValidations count="2">
    <dataValidation type="list" showInputMessage="1" showErrorMessage="1" sqref="D2">
      <formula1>$AF$6:$AF$7</formula1>
    </dataValidation>
    <dataValidation type="list" allowBlank="1" showInputMessage="1" showErrorMessage="1" sqref="D22">
      <formula1>$G$12:$G$15</formula1>
    </dataValidation>
  </dataValidations>
  <hyperlinks>
    <hyperlink ref="P2" r:id="rId1"/>
  </hyperlinks>
  <pageMargins left="0.75" right="0.75" top="0.22" bottom="0.14000000000000001" header="0" footer="0"/>
  <pageSetup paperSize="9" orientation="landscape"/>
  <headerFooter alignWithMargins="0"/>
  <ignoredErrors>
    <ignoredError sqref="L5" formula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Análise Granulometrica</vt:lpstr>
      <vt:lpstr>Amassaduras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Calculo da composição de argamassas</dc:title>
  <dc:creator>Miguel Tomas Silva</dc:creator>
  <cp:lastModifiedBy>Miguel Silva</cp:lastModifiedBy>
  <cp:lastPrinted>2009-01-29T16:05:46Z</cp:lastPrinted>
  <dcterms:created xsi:type="dcterms:W3CDTF">2005-05-24T17:58:03Z</dcterms:created>
  <dcterms:modified xsi:type="dcterms:W3CDTF">2014-01-27T20:23:21Z</dcterms:modified>
</cp:coreProperties>
</file>